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omments2.xml" ContentType="application/vnd.openxmlformats-officedocument.spreadsheetml.comments+xml"/>
  <Override PartName="/xl/drawings/drawing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drawings/drawing6.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showInkAnnotation="0" updateLinks="never" codeName="ThisWorkbook"/>
  <bookViews>
    <workbookView xWindow="-15" yWindow="-15" windowWidth="28800" windowHeight="29040" tabRatio="282"/>
  </bookViews>
  <sheets>
    <sheet name="CoverSheet" sheetId="9" r:id="rId1"/>
    <sheet name="Description" sheetId="20" r:id="rId2"/>
    <sheet name="Table of Contents" sheetId="11" r:id="rId3"/>
    <sheet name="Inputs" sheetId="27" r:id="rId4"/>
    <sheet name="Selection" sheetId="28" r:id="rId5"/>
    <sheet name="Calculation" sheetId="26" r:id="rId6"/>
    <sheet name="IRR" sheetId="24" r:id="rId7"/>
    <sheet name="Outputs" sheetId="16" r:id="rId8"/>
    <sheet name="Waterfall" sheetId="29" r:id="rId9"/>
    <sheet name="Chart data" sheetId="41" r:id="rId10"/>
    <sheet name="Charts" sheetId="47" r:id="rId11"/>
  </sheets>
  <definedNames>
    <definedName name="_xlnm._FilterDatabase" localSheetId="3" hidden="1">Inputs!$A$36:$BM$1059</definedName>
    <definedName name="EDB_Name">Selection!$C$5</definedName>
    <definedName name="_xlnm.Print_Area" localSheetId="5">Calculation!$A$1:$J$185</definedName>
    <definedName name="_xlnm.Print_Area" localSheetId="9">'Chart data'!$A$1:$BE$94</definedName>
    <definedName name="_xlnm.Print_Area" localSheetId="10">Charts!$A$1:$H$106</definedName>
    <definedName name="_xlnm.Print_Area" localSheetId="0">CoverSheet!$A$1:$D$17</definedName>
    <definedName name="_xlnm.Print_Area" localSheetId="1">Description!$A$1:$G$70</definedName>
    <definedName name="_xlnm.Print_Area" localSheetId="3">Inputs!$A$1:$BN$1060</definedName>
    <definedName name="_xlnm.Print_Area" localSheetId="6">IRR!$A$1:$T$75</definedName>
    <definedName name="_xlnm.Print_Area" localSheetId="7">Outputs!$A$1:$AI$47</definedName>
    <definedName name="_xlnm.Print_Area" localSheetId="4">Selection!$A$1:$I$76</definedName>
    <definedName name="_xlnm.Print_Area" localSheetId="2">'Table of Contents'!$A$1:$D$19</definedName>
    <definedName name="_xlnm.Print_Area" localSheetId="8">Waterfall!$A$1:$AG$100</definedName>
    <definedName name="ra_Active_Business">Inputs!$AN$36:$AN$1059</definedName>
    <definedName name="ra_Active_General">Inputs!$AN$28:$AN$32</definedName>
    <definedName name="ra_Items">Selection!$A$25:$A$75</definedName>
    <definedName name="ra_ScenarioSelect">Selection!$C$9</definedName>
    <definedName name="ra_ScenarioSelectNumber">Selection!$B$10</definedName>
    <definedName name="ra_ScName">Description!$C$45:$C$69</definedName>
    <definedName name="ra_ScNumber">Description!$B$45:$B$69</definedName>
    <definedName name="ra_Years">Selection!$C$24:$H$24</definedName>
    <definedName name="Z_2F530BD0_D284_4ADF_AC7F_C1C966DD4D52_.wvu.PrintArea" localSheetId="3" hidden="1">Inputs!$A$1:$V$13</definedName>
    <definedName name="Z_2F530BD0_D284_4ADF_AC7F_C1C966DD4D52_.wvu.PrintArea" localSheetId="7" hidden="1">Outputs!$A$1:$AG$10</definedName>
    <definedName name="Z_2F530BD0_D284_4ADF_AC7F_C1C966DD4D52_.wvu.PrintArea" localSheetId="4" hidden="1">Selection!$A$1:$H$6</definedName>
  </definedNames>
  <calcPr calcId="145621"/>
</workbook>
</file>

<file path=xl/calcChain.xml><?xml version="1.0" encoding="utf-8"?>
<calcChain xmlns="http://schemas.openxmlformats.org/spreadsheetml/2006/main">
  <c r="C4" i="16" l="1"/>
  <c r="C5" i="16"/>
  <c r="B13" i="28" l="1"/>
  <c r="D3" i="26" l="1"/>
  <c r="D2" i="26"/>
  <c r="E58" i="29" l="1"/>
  <c r="B16" i="29" l="1"/>
  <c r="AE7" i="29"/>
  <c r="AC7" i="29"/>
  <c r="AB7" i="29"/>
  <c r="AA7" i="29"/>
  <c r="Z7" i="29"/>
  <c r="Y7" i="29"/>
  <c r="X7" i="29"/>
  <c r="W7" i="29"/>
  <c r="V7" i="29"/>
  <c r="U7" i="29"/>
  <c r="T7" i="29"/>
  <c r="S7" i="29"/>
  <c r="R7" i="29"/>
  <c r="F7" i="29"/>
  <c r="G7" i="29"/>
  <c r="H7" i="29"/>
  <c r="I7" i="29"/>
  <c r="J7" i="29"/>
  <c r="K7" i="29"/>
  <c r="L7" i="29"/>
  <c r="N7" i="29"/>
  <c r="P7" i="29"/>
  <c r="E7" i="29"/>
  <c r="D8" i="29"/>
  <c r="B9" i="29"/>
  <c r="C8" i="29"/>
  <c r="C9" i="29" s="1"/>
  <c r="C13" i="29" s="1"/>
  <c r="C25" i="29" l="1"/>
  <c r="D9" i="29"/>
  <c r="D13" i="29" s="1"/>
  <c r="B11" i="29"/>
  <c r="B13" i="29"/>
  <c r="T46" i="16"/>
  <c r="B12" i="29" l="1"/>
  <c r="C10" i="29"/>
  <c r="J60" i="24"/>
  <c r="C11" i="29" l="1"/>
  <c r="F34" i="27"/>
  <c r="F33" i="27"/>
  <c r="C12" i="29" l="1"/>
  <c r="D10" i="29"/>
  <c r="BA49" i="41"/>
  <c r="BA50" i="41"/>
  <c r="BA51" i="41"/>
  <c r="BA52" i="41"/>
  <c r="BA53" i="41"/>
  <c r="BA54" i="41"/>
  <c r="BA55" i="41"/>
  <c r="BA56" i="41"/>
  <c r="BA57" i="41"/>
  <c r="BA58" i="41"/>
  <c r="BA59" i="41"/>
  <c r="BA60" i="41"/>
  <c r="BA61" i="41"/>
  <c r="BA62" i="41"/>
  <c r="BA63" i="41"/>
  <c r="BA64" i="41"/>
  <c r="BB66" i="41"/>
  <c r="BB67" i="41"/>
  <c r="BB68" i="41"/>
  <c r="BB69" i="41"/>
  <c r="BB70" i="41"/>
  <c r="BB71" i="41"/>
  <c r="BB72" i="41"/>
  <c r="BB73" i="41"/>
  <c r="BB74" i="41"/>
  <c r="BB75" i="41"/>
  <c r="BB76" i="41"/>
  <c r="BB77" i="41"/>
  <c r="D11" i="29" l="1"/>
  <c r="D12" i="29" s="1"/>
  <c r="BB80" i="41"/>
  <c r="BA80" i="41"/>
  <c r="BB87" i="41"/>
  <c r="BB85" i="41"/>
  <c r="BB83" i="41"/>
  <c r="BB81" i="41"/>
  <c r="BA87" i="41"/>
  <c r="BA85" i="41"/>
  <c r="BA83" i="41"/>
  <c r="BA81" i="41"/>
  <c r="BB86" i="41"/>
  <c r="BB84" i="41"/>
  <c r="BB82" i="41"/>
  <c r="BA86" i="41"/>
  <c r="BA84" i="41"/>
  <c r="BA82" i="41"/>
  <c r="BA90" i="41" l="1"/>
  <c r="BB90" i="41"/>
  <c r="BB88" i="41"/>
  <c r="BB91" i="41"/>
  <c r="BB89" i="41"/>
  <c r="BB92" i="41"/>
  <c r="BA88" i="41"/>
  <c r="BA91" i="41"/>
  <c r="BA89" i="41"/>
  <c r="BA92" i="41"/>
  <c r="F32" i="27" l="1"/>
  <c r="F31" i="27"/>
  <c r="E1059" i="27" l="1"/>
  <c r="E1058" i="27"/>
  <c r="E1057" i="27"/>
  <c r="E1055" i="27"/>
  <c r="E1054" i="27"/>
  <c r="E1053" i="27"/>
  <c r="E1051" i="27"/>
  <c r="E1050" i="27"/>
  <c r="E1049" i="27"/>
  <c r="E1047" i="27"/>
  <c r="E1046" i="27"/>
  <c r="E1045" i="27"/>
  <c r="E1043" i="27"/>
  <c r="E1042" i="27"/>
  <c r="E1041" i="27"/>
  <c r="E1039" i="27"/>
  <c r="E1038" i="27"/>
  <c r="E1037" i="27"/>
  <c r="E1035" i="27"/>
  <c r="E1034" i="27"/>
  <c r="E1033" i="27"/>
  <c r="E1031" i="27"/>
  <c r="E1030" i="27"/>
  <c r="E1029" i="27"/>
  <c r="E1027" i="27"/>
  <c r="E1026" i="27"/>
  <c r="E1025" i="27"/>
  <c r="E1023" i="27"/>
  <c r="E1022" i="27"/>
  <c r="E1021" i="27"/>
  <c r="E1019" i="27"/>
  <c r="E1018" i="27"/>
  <c r="E1017" i="27"/>
  <c r="E1015" i="27"/>
  <c r="E1014" i="27"/>
  <c r="E1013" i="27"/>
  <c r="E1011" i="27"/>
  <c r="E1010" i="27"/>
  <c r="E1009" i="27"/>
  <c r="E526" i="27"/>
  <c r="E525" i="27"/>
  <c r="E524" i="27"/>
  <c r="E523" i="27"/>
  <c r="E522" i="27"/>
  <c r="E521" i="27"/>
  <c r="E478" i="27"/>
  <c r="E477" i="27"/>
  <c r="E476" i="27"/>
  <c r="E475" i="27"/>
  <c r="E474" i="27"/>
  <c r="E473" i="27"/>
  <c r="E470" i="27"/>
  <c r="E469" i="27"/>
  <c r="E468" i="27"/>
  <c r="E467" i="27"/>
  <c r="E466" i="27"/>
  <c r="E465" i="27"/>
  <c r="E1006" i="27"/>
  <c r="E1005" i="27"/>
  <c r="E1004" i="27"/>
  <c r="E1003" i="27"/>
  <c r="E1002" i="27"/>
  <c r="E999" i="27"/>
  <c r="E996" i="27"/>
  <c r="E995" i="27"/>
  <c r="E994" i="27"/>
  <c r="E993" i="27"/>
  <c r="E992" i="27"/>
  <c r="E989" i="27"/>
  <c r="E988" i="27"/>
  <c r="E987" i="27"/>
  <c r="E986" i="27"/>
  <c r="E985" i="27"/>
  <c r="E982" i="27"/>
  <c r="E981" i="27"/>
  <c r="E980" i="27"/>
  <c r="E979" i="27"/>
  <c r="E978" i="27"/>
  <c r="E975" i="27"/>
  <c r="E974" i="27"/>
  <c r="E973" i="27"/>
  <c r="E972" i="27"/>
  <c r="E971" i="27"/>
  <c r="E968" i="27"/>
  <c r="E967" i="27"/>
  <c r="E966" i="27"/>
  <c r="E965" i="27"/>
  <c r="E964" i="27"/>
  <c r="E961" i="27"/>
  <c r="E960" i="27"/>
  <c r="E959" i="27"/>
  <c r="E958" i="27"/>
  <c r="E957" i="27"/>
  <c r="E954" i="27"/>
  <c r="E953" i="27"/>
  <c r="E952" i="27"/>
  <c r="E951" i="27"/>
  <c r="E950" i="27"/>
  <c r="E945" i="27"/>
  <c r="E944" i="27"/>
  <c r="E943" i="27"/>
  <c r="E942" i="27"/>
  <c r="E941" i="27"/>
  <c r="E938" i="27"/>
  <c r="E937" i="27"/>
  <c r="E936" i="27"/>
  <c r="E935" i="27"/>
  <c r="E934" i="27"/>
  <c r="E931" i="27"/>
  <c r="E930" i="27"/>
  <c r="E929" i="27"/>
  <c r="E928" i="27"/>
  <c r="E927" i="27"/>
  <c r="E926" i="27"/>
  <c r="E923" i="27"/>
  <c r="E922" i="27"/>
  <c r="E921" i="27"/>
  <c r="E920" i="27"/>
  <c r="E919" i="27"/>
  <c r="E918" i="27"/>
  <c r="E915" i="27"/>
  <c r="E914" i="27"/>
  <c r="E913" i="27"/>
  <c r="E912" i="27"/>
  <c r="E911" i="27"/>
  <c r="E908" i="27"/>
  <c r="E907" i="27"/>
  <c r="E906" i="27"/>
  <c r="E905" i="27"/>
  <c r="E904" i="27"/>
  <c r="E901" i="27"/>
  <c r="E900" i="27"/>
  <c r="E899" i="27"/>
  <c r="E898" i="27"/>
  <c r="E897" i="27"/>
  <c r="E894" i="27"/>
  <c r="E893" i="27"/>
  <c r="E892" i="27"/>
  <c r="E891" i="27"/>
  <c r="E890" i="27"/>
  <c r="E887" i="27"/>
  <c r="E886" i="27"/>
  <c r="E885" i="27"/>
  <c r="E884" i="27"/>
  <c r="E883" i="27"/>
  <c r="E882" i="27"/>
  <c r="E879" i="27"/>
  <c r="E878" i="27"/>
  <c r="E877" i="27"/>
  <c r="E876" i="27"/>
  <c r="E875" i="27"/>
  <c r="E874" i="27"/>
  <c r="E871" i="27"/>
  <c r="E870" i="27"/>
  <c r="E869" i="27"/>
  <c r="E868" i="27"/>
  <c r="E867" i="27"/>
  <c r="E866" i="27"/>
  <c r="E863" i="27"/>
  <c r="E862" i="27"/>
  <c r="E861" i="27"/>
  <c r="E860" i="27"/>
  <c r="E859" i="27"/>
  <c r="E858" i="27"/>
  <c r="E855" i="27"/>
  <c r="E854" i="27"/>
  <c r="E853" i="27"/>
  <c r="E852" i="27"/>
  <c r="E851" i="27"/>
  <c r="E850" i="27"/>
  <c r="E847" i="27"/>
  <c r="E846" i="27"/>
  <c r="E845" i="27"/>
  <c r="E844" i="27"/>
  <c r="E843" i="27"/>
  <c r="E842" i="27"/>
  <c r="E839" i="27"/>
  <c r="E838" i="27"/>
  <c r="E837" i="27"/>
  <c r="E836" i="27"/>
  <c r="E835" i="27"/>
  <c r="E834" i="27"/>
  <c r="E831" i="27"/>
  <c r="E830" i="27"/>
  <c r="E829" i="27"/>
  <c r="E828" i="27"/>
  <c r="E827" i="27"/>
  <c r="E826" i="27"/>
  <c r="E823" i="27"/>
  <c r="E822" i="27"/>
  <c r="E821" i="27"/>
  <c r="E820" i="27"/>
  <c r="E819" i="27"/>
  <c r="E818" i="27"/>
  <c r="E815" i="27"/>
  <c r="E814" i="27"/>
  <c r="E813" i="27"/>
  <c r="E812" i="27"/>
  <c r="E811" i="27"/>
  <c r="E810" i="27"/>
  <c r="E807" i="27"/>
  <c r="E806" i="27"/>
  <c r="E805" i="27"/>
  <c r="E804" i="27"/>
  <c r="E803" i="27"/>
  <c r="E802" i="27"/>
  <c r="E799" i="27"/>
  <c r="E798" i="27"/>
  <c r="E797" i="27"/>
  <c r="E796" i="27"/>
  <c r="E795" i="27"/>
  <c r="E794" i="27"/>
  <c r="E791" i="27"/>
  <c r="E790" i="27"/>
  <c r="E789" i="27"/>
  <c r="E788" i="27"/>
  <c r="E787" i="27"/>
  <c r="E786" i="27"/>
  <c r="E783" i="27"/>
  <c r="E782" i="27"/>
  <c r="E781" i="27"/>
  <c r="E780" i="27"/>
  <c r="E779" i="27"/>
  <c r="E778" i="27"/>
  <c r="E775" i="27"/>
  <c r="E774" i="27"/>
  <c r="E773" i="27"/>
  <c r="E772" i="27"/>
  <c r="E771" i="27"/>
  <c r="E770" i="27"/>
  <c r="E767" i="27"/>
  <c r="E766" i="27"/>
  <c r="E765" i="27"/>
  <c r="E764" i="27"/>
  <c r="E763" i="27"/>
  <c r="E762" i="27"/>
  <c r="E759" i="27"/>
  <c r="E758" i="27"/>
  <c r="E757" i="27"/>
  <c r="E756" i="27"/>
  <c r="E755" i="27"/>
  <c r="E754" i="27"/>
  <c r="E751" i="27"/>
  <c r="E750" i="27"/>
  <c r="E749" i="27"/>
  <c r="E748" i="27"/>
  <c r="E747" i="27"/>
  <c r="E746" i="27"/>
  <c r="E743" i="27"/>
  <c r="E742" i="27"/>
  <c r="E741" i="27"/>
  <c r="E740" i="27"/>
  <c r="E739" i="27"/>
  <c r="E738" i="27"/>
  <c r="E735" i="27"/>
  <c r="E734" i="27"/>
  <c r="E733" i="27"/>
  <c r="E732" i="27"/>
  <c r="E731" i="27"/>
  <c r="E728" i="27"/>
  <c r="E727" i="27"/>
  <c r="E726" i="27"/>
  <c r="E725" i="27"/>
  <c r="E724" i="27"/>
  <c r="E721" i="27"/>
  <c r="E720" i="27"/>
  <c r="E719" i="27"/>
  <c r="E718" i="27"/>
  <c r="E717" i="27"/>
  <c r="E714" i="27"/>
  <c r="E713" i="27"/>
  <c r="E712" i="27"/>
  <c r="E711" i="27"/>
  <c r="E710" i="27"/>
  <c r="E707" i="27"/>
  <c r="E706" i="27"/>
  <c r="E705" i="27"/>
  <c r="E704" i="27"/>
  <c r="E703" i="27"/>
  <c r="E700" i="27"/>
  <c r="E699" i="27"/>
  <c r="E698" i="27"/>
  <c r="E697" i="27"/>
  <c r="E696" i="27"/>
  <c r="E693" i="27"/>
  <c r="E692" i="27"/>
  <c r="E691" i="27"/>
  <c r="E690" i="27"/>
  <c r="E689" i="27"/>
  <c r="E686" i="27"/>
  <c r="E685" i="27"/>
  <c r="E684" i="27"/>
  <c r="E683" i="27"/>
  <c r="E682" i="27"/>
  <c r="E681" i="27"/>
  <c r="E678" i="27"/>
  <c r="E677" i="27"/>
  <c r="E676" i="27"/>
  <c r="E675" i="27"/>
  <c r="E674" i="27"/>
  <c r="E673" i="27"/>
  <c r="E670" i="27"/>
  <c r="E669" i="27"/>
  <c r="E668" i="27"/>
  <c r="E667" i="27"/>
  <c r="E666" i="27"/>
  <c r="E665" i="27"/>
  <c r="E662" i="27"/>
  <c r="E661" i="27"/>
  <c r="E660" i="27"/>
  <c r="E659" i="27"/>
  <c r="E658" i="27"/>
  <c r="E657" i="27"/>
  <c r="E654" i="27"/>
  <c r="E653" i="27"/>
  <c r="E652" i="27"/>
  <c r="E651" i="27"/>
  <c r="E650" i="27"/>
  <c r="E649" i="27"/>
  <c r="E646" i="27"/>
  <c r="E645" i="27"/>
  <c r="E644" i="27"/>
  <c r="E643" i="27"/>
  <c r="E642" i="27"/>
  <c r="E641" i="27"/>
  <c r="E638" i="27"/>
  <c r="E637" i="27"/>
  <c r="E636" i="27"/>
  <c r="E635" i="27"/>
  <c r="E634" i="27"/>
  <c r="E633" i="27"/>
  <c r="E630" i="27"/>
  <c r="E629" i="27"/>
  <c r="E628" i="27"/>
  <c r="E627" i="27"/>
  <c r="E626" i="27"/>
  <c r="E625" i="27"/>
  <c r="E622" i="27"/>
  <c r="E621" i="27"/>
  <c r="E620" i="27"/>
  <c r="E619" i="27"/>
  <c r="E618" i="27"/>
  <c r="E617" i="27"/>
  <c r="E614" i="27"/>
  <c r="E613" i="27"/>
  <c r="E612" i="27"/>
  <c r="E611" i="27"/>
  <c r="E610" i="27"/>
  <c r="E609" i="27"/>
  <c r="E606" i="27"/>
  <c r="E605" i="27"/>
  <c r="E604" i="27"/>
  <c r="E603" i="27"/>
  <c r="E602" i="27"/>
  <c r="E601" i="27"/>
  <c r="E598" i="27"/>
  <c r="E597" i="27"/>
  <c r="E596" i="27"/>
  <c r="E595" i="27"/>
  <c r="E594" i="27"/>
  <c r="E593" i="27"/>
  <c r="E590" i="27"/>
  <c r="E589" i="27"/>
  <c r="E588" i="27"/>
  <c r="E587" i="27"/>
  <c r="E586" i="27"/>
  <c r="E585" i="27"/>
  <c r="E582" i="27"/>
  <c r="E581" i="27"/>
  <c r="E580" i="27"/>
  <c r="E579" i="27"/>
  <c r="E578" i="27"/>
  <c r="E577" i="27"/>
  <c r="E574" i="27"/>
  <c r="E573" i="27"/>
  <c r="E572" i="27"/>
  <c r="E571" i="27"/>
  <c r="E570" i="27"/>
  <c r="E569" i="27"/>
  <c r="E566" i="27"/>
  <c r="E565" i="27"/>
  <c r="E564" i="27"/>
  <c r="E563" i="27"/>
  <c r="E562" i="27"/>
  <c r="E561" i="27"/>
  <c r="E558" i="27"/>
  <c r="E557" i="27"/>
  <c r="E556" i="27"/>
  <c r="E555" i="27"/>
  <c r="E554" i="27"/>
  <c r="E553" i="27"/>
  <c r="E550" i="27"/>
  <c r="E549" i="27"/>
  <c r="E548" i="27"/>
  <c r="E547" i="27"/>
  <c r="E546" i="27"/>
  <c r="E545" i="27"/>
  <c r="E542" i="27"/>
  <c r="E541" i="27"/>
  <c r="E540" i="27"/>
  <c r="E539" i="27"/>
  <c r="E538" i="27"/>
  <c r="E537" i="27"/>
  <c r="E534" i="27"/>
  <c r="E533" i="27"/>
  <c r="E532" i="27"/>
  <c r="E531" i="27"/>
  <c r="E530" i="27"/>
  <c r="E529" i="27"/>
  <c r="E518" i="27"/>
  <c r="E517" i="27"/>
  <c r="E516" i="27"/>
  <c r="E515" i="27"/>
  <c r="E514" i="27"/>
  <c r="E513" i="27"/>
  <c r="E510" i="27"/>
  <c r="E509" i="27"/>
  <c r="E508" i="27"/>
  <c r="E507" i="27"/>
  <c r="E506" i="27"/>
  <c r="E505" i="27"/>
  <c r="E502" i="27"/>
  <c r="E501" i="27"/>
  <c r="E500" i="27"/>
  <c r="E499" i="27"/>
  <c r="E498" i="27"/>
  <c r="E497" i="27"/>
  <c r="E494" i="27"/>
  <c r="E493" i="27"/>
  <c r="E492" i="27"/>
  <c r="E491" i="27"/>
  <c r="E490" i="27"/>
  <c r="E489" i="27"/>
  <c r="E486" i="27"/>
  <c r="E485" i="27"/>
  <c r="E484" i="27"/>
  <c r="E483" i="27"/>
  <c r="E482" i="27"/>
  <c r="E481" i="27"/>
  <c r="E462" i="27"/>
  <c r="E461" i="27"/>
  <c r="E460" i="27"/>
  <c r="E459" i="27"/>
  <c r="E458" i="27"/>
  <c r="E457" i="27"/>
  <c r="E454" i="27"/>
  <c r="E453" i="27"/>
  <c r="E452" i="27"/>
  <c r="E451" i="27"/>
  <c r="E450" i="27"/>
  <c r="E449" i="27"/>
  <c r="E446" i="27"/>
  <c r="E445" i="27"/>
  <c r="E444" i="27"/>
  <c r="E443" i="27"/>
  <c r="E442" i="27"/>
  <c r="E441" i="27"/>
  <c r="E438" i="27"/>
  <c r="E437" i="27"/>
  <c r="E436" i="27"/>
  <c r="E435" i="27"/>
  <c r="E434" i="27"/>
  <c r="E433" i="27"/>
  <c r="E430" i="27"/>
  <c r="E429" i="27"/>
  <c r="E428" i="27"/>
  <c r="E427" i="27"/>
  <c r="E426" i="27"/>
  <c r="E425" i="27"/>
  <c r="E422" i="27"/>
  <c r="E421" i="27"/>
  <c r="E420" i="27"/>
  <c r="E419" i="27"/>
  <c r="E418" i="27"/>
  <c r="E415" i="27"/>
  <c r="E414" i="27"/>
  <c r="E413" i="27"/>
  <c r="E412" i="27"/>
  <c r="E411" i="27"/>
  <c r="E408" i="27"/>
  <c r="E407" i="27"/>
  <c r="E406" i="27"/>
  <c r="E405" i="27"/>
  <c r="E404" i="27"/>
  <c r="E394" i="27"/>
  <c r="E393" i="27"/>
  <c r="E392" i="27"/>
  <c r="E391" i="27"/>
  <c r="E390" i="27"/>
  <c r="E387" i="27"/>
  <c r="E386" i="27"/>
  <c r="E385" i="27"/>
  <c r="E384" i="27"/>
  <c r="E383" i="27"/>
  <c r="E380" i="27"/>
  <c r="E379" i="27"/>
  <c r="E378" i="27"/>
  <c r="E377" i="27"/>
  <c r="E376" i="27"/>
  <c r="E373" i="27"/>
  <c r="E372" i="27"/>
  <c r="E371" i="27"/>
  <c r="E370" i="27"/>
  <c r="E369" i="27"/>
  <c r="E366" i="27"/>
  <c r="E365" i="27"/>
  <c r="E364" i="27"/>
  <c r="E363" i="27"/>
  <c r="E362" i="27"/>
  <c r="E359" i="27"/>
  <c r="E358" i="27"/>
  <c r="E357" i="27"/>
  <c r="E356" i="27"/>
  <c r="E355" i="27"/>
  <c r="E352" i="27"/>
  <c r="E351" i="27"/>
  <c r="E350" i="27"/>
  <c r="E349" i="27"/>
  <c r="E348" i="27"/>
  <c r="E345" i="27"/>
  <c r="E344" i="27"/>
  <c r="E343" i="27"/>
  <c r="E342" i="27"/>
  <c r="E341" i="27"/>
  <c r="E338" i="27"/>
  <c r="E337" i="27"/>
  <c r="E336" i="27"/>
  <c r="E335" i="27"/>
  <c r="E334" i="27"/>
  <c r="E331" i="27"/>
  <c r="E330" i="27"/>
  <c r="E329" i="27"/>
  <c r="E328" i="27"/>
  <c r="E327" i="27"/>
  <c r="E324" i="27"/>
  <c r="E323" i="27"/>
  <c r="E322" i="27"/>
  <c r="E321" i="27"/>
  <c r="E320" i="27"/>
  <c r="E317" i="27"/>
  <c r="E316" i="27"/>
  <c r="E315" i="27"/>
  <c r="E314" i="27"/>
  <c r="E313" i="27"/>
  <c r="E310" i="27"/>
  <c r="E309" i="27"/>
  <c r="E308" i="27"/>
  <c r="E307" i="27"/>
  <c r="E306" i="27"/>
  <c r="E303" i="27"/>
  <c r="E302" i="27"/>
  <c r="E301" i="27"/>
  <c r="E300" i="27"/>
  <c r="E299" i="27"/>
  <c r="E296" i="27"/>
  <c r="E295" i="27"/>
  <c r="E294" i="27"/>
  <c r="E293" i="27"/>
  <c r="E292" i="27"/>
  <c r="E289" i="27"/>
  <c r="E288" i="27"/>
  <c r="E287" i="27"/>
  <c r="E286" i="27"/>
  <c r="E285" i="27"/>
  <c r="E282" i="27"/>
  <c r="E281" i="27"/>
  <c r="E280" i="27"/>
  <c r="E279" i="27"/>
  <c r="E278" i="27"/>
  <c r="E275" i="27"/>
  <c r="E274" i="27"/>
  <c r="E273" i="27"/>
  <c r="E272" i="27"/>
  <c r="E271" i="27"/>
  <c r="E268" i="27"/>
  <c r="E267" i="27"/>
  <c r="E266" i="27"/>
  <c r="E265" i="27"/>
  <c r="E264" i="27"/>
  <c r="E261" i="27"/>
  <c r="E260" i="27"/>
  <c r="E259" i="27"/>
  <c r="E258" i="27"/>
  <c r="E257" i="27"/>
  <c r="E254" i="27"/>
  <c r="E253" i="27"/>
  <c r="E252" i="27"/>
  <c r="E251" i="27"/>
  <c r="E250" i="27"/>
  <c r="E247" i="27"/>
  <c r="E246" i="27"/>
  <c r="E245" i="27"/>
  <c r="E244" i="27"/>
  <c r="E243" i="27"/>
  <c r="E240" i="27"/>
  <c r="E239" i="27"/>
  <c r="E238" i="27"/>
  <c r="E237" i="27"/>
  <c r="E236" i="27"/>
  <c r="E233" i="27"/>
  <c r="E232" i="27"/>
  <c r="E231" i="27"/>
  <c r="E230" i="27"/>
  <c r="E229" i="27"/>
  <c r="E226" i="27"/>
  <c r="E225" i="27"/>
  <c r="E224" i="27"/>
  <c r="E223" i="27"/>
  <c r="E222" i="27"/>
  <c r="E219" i="27"/>
  <c r="E218" i="27"/>
  <c r="E217" i="27"/>
  <c r="E216" i="27"/>
  <c r="E215" i="27"/>
  <c r="E212" i="27"/>
  <c r="E211" i="27"/>
  <c r="E210" i="27"/>
  <c r="E209" i="27"/>
  <c r="E208" i="27"/>
  <c r="E205" i="27"/>
  <c r="E204" i="27"/>
  <c r="E203" i="27"/>
  <c r="E202" i="27"/>
  <c r="E201" i="27"/>
  <c r="E198" i="27"/>
  <c r="E197" i="27"/>
  <c r="E196" i="27"/>
  <c r="E195" i="27"/>
  <c r="E194" i="27"/>
  <c r="E191" i="27"/>
  <c r="E190" i="27"/>
  <c r="E189" i="27"/>
  <c r="E188" i="27"/>
  <c r="E187" i="27"/>
  <c r="E184" i="27"/>
  <c r="E183" i="27"/>
  <c r="E182" i="27"/>
  <c r="E181" i="27"/>
  <c r="E180" i="27"/>
  <c r="E177" i="27"/>
  <c r="E176" i="27"/>
  <c r="E175" i="27"/>
  <c r="E174" i="27"/>
  <c r="E173" i="27"/>
  <c r="E170" i="27"/>
  <c r="E169" i="27"/>
  <c r="E168" i="27"/>
  <c r="E167" i="27"/>
  <c r="E166" i="27"/>
  <c r="E163" i="27"/>
  <c r="E162" i="27"/>
  <c r="E161" i="27"/>
  <c r="E160" i="27"/>
  <c r="E159" i="27"/>
  <c r="E156" i="27"/>
  <c r="E155" i="27"/>
  <c r="E154" i="27"/>
  <c r="E153" i="27"/>
  <c r="E152" i="27"/>
  <c r="E149" i="27"/>
  <c r="E148" i="27"/>
  <c r="E147" i="27"/>
  <c r="E146" i="27"/>
  <c r="E145" i="27"/>
  <c r="E142" i="27"/>
  <c r="E141" i="27"/>
  <c r="E140" i="27"/>
  <c r="E139" i="27"/>
  <c r="E138" i="27"/>
  <c r="E135" i="27"/>
  <c r="E134" i="27"/>
  <c r="E133" i="27"/>
  <c r="E132" i="27"/>
  <c r="E131" i="27"/>
  <c r="E128" i="27"/>
  <c r="E127" i="27"/>
  <c r="E126" i="27"/>
  <c r="E125" i="27"/>
  <c r="E124" i="27"/>
  <c r="E121" i="27"/>
  <c r="E120" i="27"/>
  <c r="E119" i="27"/>
  <c r="E118" i="27"/>
  <c r="E117" i="27"/>
  <c r="E114" i="27"/>
  <c r="E113" i="27"/>
  <c r="E112" i="27"/>
  <c r="E111" i="27"/>
  <c r="E110" i="27"/>
  <c r="E107" i="27"/>
  <c r="E106" i="27"/>
  <c r="E105" i="27"/>
  <c r="E104" i="27"/>
  <c r="E103" i="27"/>
  <c r="E100" i="27"/>
  <c r="E99" i="27"/>
  <c r="E98" i="27"/>
  <c r="E97" i="27"/>
  <c r="E96" i="27"/>
  <c r="E93" i="27"/>
  <c r="E92" i="27"/>
  <c r="E91" i="27"/>
  <c r="E90" i="27"/>
  <c r="E89" i="27"/>
  <c r="E86" i="27"/>
  <c r="E85" i="27"/>
  <c r="E84" i="27"/>
  <c r="E83" i="27"/>
  <c r="E82" i="27"/>
  <c r="E79" i="27"/>
  <c r="E78" i="27"/>
  <c r="E77" i="27"/>
  <c r="E76" i="27"/>
  <c r="E75" i="27"/>
  <c r="E72" i="27"/>
  <c r="E71" i="27"/>
  <c r="E70" i="27"/>
  <c r="E69" i="27"/>
  <c r="E68" i="27"/>
  <c r="E65" i="27"/>
  <c r="E64" i="27"/>
  <c r="E63" i="27"/>
  <c r="E62" i="27"/>
  <c r="E61" i="27"/>
  <c r="E58" i="27"/>
  <c r="E57" i="27"/>
  <c r="E56" i="27"/>
  <c r="E55" i="27"/>
  <c r="E54" i="27"/>
  <c r="E50" i="27"/>
  <c r="E49" i="27"/>
  <c r="E48" i="27"/>
  <c r="E47" i="27"/>
  <c r="E46" i="27"/>
  <c r="E43" i="27"/>
  <c r="E42" i="27"/>
  <c r="E39" i="27"/>
  <c r="H10" i="24" l="1"/>
  <c r="G10" i="24"/>
  <c r="F10" i="24"/>
  <c r="E10" i="24"/>
  <c r="D10" i="24"/>
  <c r="C10" i="24"/>
  <c r="D32" i="24" s="1"/>
  <c r="H9" i="24"/>
  <c r="S32" i="24" s="1"/>
  <c r="G9" i="24"/>
  <c r="P32" i="24" s="1"/>
  <c r="P30" i="24" s="1"/>
  <c r="F9" i="24"/>
  <c r="M32" i="24" s="1"/>
  <c r="M30" i="24" s="1"/>
  <c r="E9" i="24"/>
  <c r="J32" i="24" s="1"/>
  <c r="D9" i="24"/>
  <c r="G32" i="24" s="1"/>
  <c r="C9" i="24"/>
  <c r="H8" i="24"/>
  <c r="R32" i="24" s="1"/>
  <c r="G8" i="24"/>
  <c r="O32" i="24" s="1"/>
  <c r="F8" i="24"/>
  <c r="L32" i="24" s="1"/>
  <c r="L30" i="24" s="1"/>
  <c r="E8" i="24"/>
  <c r="I32" i="24" s="1"/>
  <c r="I30" i="24" s="1"/>
  <c r="D8" i="24"/>
  <c r="F32" i="24" s="1"/>
  <c r="C8" i="24"/>
  <c r="H7" i="24"/>
  <c r="Q32" i="24" s="1"/>
  <c r="G7" i="24"/>
  <c r="N32" i="24" s="1"/>
  <c r="N30" i="24" s="1"/>
  <c r="F7" i="24"/>
  <c r="K32" i="24" s="1"/>
  <c r="E7" i="24"/>
  <c r="H32" i="24" s="1"/>
  <c r="D7" i="24"/>
  <c r="E32" i="24" s="1"/>
  <c r="C7" i="24"/>
  <c r="H6" i="24"/>
  <c r="G6" i="24"/>
  <c r="F6" i="24"/>
  <c r="E6" i="24"/>
  <c r="D6" i="24"/>
  <c r="C6" i="24"/>
  <c r="H13" i="26"/>
  <c r="G13" i="26"/>
  <c r="F13" i="26"/>
  <c r="E13" i="26"/>
  <c r="D13" i="26"/>
  <c r="C13" i="26"/>
  <c r="H12" i="26"/>
  <c r="G12" i="26"/>
  <c r="F12" i="26"/>
  <c r="E12" i="26"/>
  <c r="D12" i="26"/>
  <c r="C12" i="26"/>
  <c r="H11" i="26"/>
  <c r="G11" i="26"/>
  <c r="F11" i="26"/>
  <c r="E11" i="26"/>
  <c r="D11" i="26"/>
  <c r="H10" i="26"/>
  <c r="G10" i="26"/>
  <c r="F10" i="26"/>
  <c r="E10" i="26"/>
  <c r="D10" i="26"/>
  <c r="C11" i="26"/>
  <c r="C10" i="26"/>
  <c r="D9" i="26"/>
  <c r="E9" i="26"/>
  <c r="F9" i="26"/>
  <c r="G9" i="26"/>
  <c r="H9" i="26"/>
  <c r="C9" i="26"/>
  <c r="I50" i="24" l="1"/>
  <c r="I35" i="24"/>
  <c r="P50" i="24"/>
  <c r="P35" i="24"/>
  <c r="L50" i="24"/>
  <c r="L35" i="24"/>
  <c r="N50" i="24"/>
  <c r="N35" i="24"/>
  <c r="M50" i="24"/>
  <c r="M35" i="24"/>
  <c r="G30" i="24"/>
  <c r="E30" i="24"/>
  <c r="Q30" i="24"/>
  <c r="S30" i="24"/>
  <c r="H30" i="24"/>
  <c r="O30" i="24"/>
  <c r="J30" i="24"/>
  <c r="D30" i="24"/>
  <c r="K30" i="24"/>
  <c r="F30" i="24"/>
  <c r="R30" i="24"/>
  <c r="K50" i="24" l="1"/>
  <c r="K35" i="24"/>
  <c r="H50" i="24"/>
  <c r="H35" i="24"/>
  <c r="E50" i="24"/>
  <c r="E35" i="24"/>
  <c r="D33" i="24"/>
  <c r="D50" i="24"/>
  <c r="D35" i="24"/>
  <c r="S50" i="24"/>
  <c r="S35" i="24"/>
  <c r="R50" i="24"/>
  <c r="R35" i="24"/>
  <c r="J50" i="24"/>
  <c r="J35" i="24"/>
  <c r="Q50" i="24"/>
  <c r="Q35" i="24"/>
  <c r="G50" i="24"/>
  <c r="G35" i="24"/>
  <c r="F50" i="24"/>
  <c r="F35" i="24"/>
  <c r="O50" i="24"/>
  <c r="O35" i="24"/>
  <c r="N33" i="24"/>
  <c r="G33" i="24"/>
  <c r="R33" i="24"/>
  <c r="F33" i="24"/>
  <c r="E33" i="24"/>
  <c r="O33" i="24"/>
  <c r="S33" i="24"/>
  <c r="M33" i="24"/>
  <c r="J33" i="24"/>
  <c r="Q33" i="24"/>
  <c r="L33" i="24"/>
  <c r="K33" i="24"/>
  <c r="H33" i="24"/>
  <c r="P33" i="24"/>
  <c r="I33" i="24"/>
  <c r="M8" i="29" l="1"/>
  <c r="L8" i="29"/>
  <c r="M9" i="29" l="1"/>
  <c r="M13" i="29" s="1"/>
  <c r="AK670" i="27" l="1"/>
  <c r="AJ670" i="27"/>
  <c r="AI670" i="27"/>
  <c r="AK669" i="27"/>
  <c r="AJ669" i="27"/>
  <c r="AI669" i="27"/>
  <c r="AK668" i="27"/>
  <c r="AJ668" i="27"/>
  <c r="AI668" i="27"/>
  <c r="AK667" i="27"/>
  <c r="AJ667" i="27"/>
  <c r="AI667" i="27"/>
  <c r="AK666" i="27"/>
  <c r="AJ666" i="27"/>
  <c r="AI666" i="27"/>
  <c r="AK665" i="27"/>
  <c r="AJ665" i="27"/>
  <c r="AI665" i="27"/>
  <c r="AK662" i="27"/>
  <c r="AJ662" i="27"/>
  <c r="AI662" i="27"/>
  <c r="AK661" i="27"/>
  <c r="AJ661" i="27"/>
  <c r="AI661" i="27"/>
  <c r="AK660" i="27"/>
  <c r="AJ660" i="27"/>
  <c r="AI660" i="27"/>
  <c r="AK659" i="27"/>
  <c r="AJ659" i="27"/>
  <c r="AI659" i="27"/>
  <c r="AK658" i="27"/>
  <c r="AJ658" i="27"/>
  <c r="AI658" i="27"/>
  <c r="AK657" i="27"/>
  <c r="AJ657" i="27"/>
  <c r="AI657" i="27"/>
  <c r="AK1015" i="27" l="1"/>
  <c r="AK1014" i="27"/>
  <c r="AK1013" i="27"/>
  <c r="AK1011" i="27"/>
  <c r="AK1010" i="27"/>
  <c r="AK1009" i="27"/>
  <c r="AK714" i="27" l="1"/>
  <c r="AJ714" i="27"/>
  <c r="AI714" i="27"/>
  <c r="AK713" i="27"/>
  <c r="AJ713" i="27"/>
  <c r="AI713" i="27"/>
  <c r="AK712" i="27"/>
  <c r="AJ712" i="27"/>
  <c r="AI712" i="27"/>
  <c r="AK711" i="27"/>
  <c r="AJ711" i="27"/>
  <c r="AI711" i="27"/>
  <c r="AK710" i="27"/>
  <c r="AJ710" i="27"/>
  <c r="AI710" i="27"/>
  <c r="AK721" i="27"/>
  <c r="AJ721" i="27"/>
  <c r="AI721" i="27"/>
  <c r="AK720" i="27"/>
  <c r="AJ720" i="27"/>
  <c r="AI720" i="27"/>
  <c r="AK719" i="27"/>
  <c r="AJ719" i="27"/>
  <c r="AI719" i="27"/>
  <c r="AK718" i="27"/>
  <c r="AJ718" i="27"/>
  <c r="AI718" i="27"/>
  <c r="AK717" i="27"/>
  <c r="AJ717" i="27"/>
  <c r="AI717" i="27"/>
  <c r="AK728" i="27"/>
  <c r="AJ728" i="27"/>
  <c r="AI728" i="27"/>
  <c r="AK727" i="27"/>
  <c r="AJ727" i="27"/>
  <c r="AI727" i="27"/>
  <c r="AK726" i="27"/>
  <c r="AJ726" i="27"/>
  <c r="AI726" i="27"/>
  <c r="AK725" i="27"/>
  <c r="AJ725" i="27"/>
  <c r="AI725" i="27"/>
  <c r="AK724" i="27"/>
  <c r="AI724" i="27"/>
  <c r="AK775" i="27"/>
  <c r="AJ775" i="27"/>
  <c r="AI775" i="27"/>
  <c r="AK774" i="27"/>
  <c r="AJ774" i="27"/>
  <c r="AI774" i="27"/>
  <c r="AK773" i="27"/>
  <c r="AJ773" i="27"/>
  <c r="AI773" i="27"/>
  <c r="AK772" i="27"/>
  <c r="AJ772" i="27"/>
  <c r="AI772" i="27"/>
  <c r="AK771" i="27"/>
  <c r="AJ771" i="27"/>
  <c r="AI771" i="27"/>
  <c r="AK770" i="27"/>
  <c r="AJ770" i="27"/>
  <c r="AI770" i="27"/>
  <c r="AK470" i="27"/>
  <c r="AJ470" i="27"/>
  <c r="AI470" i="27"/>
  <c r="AK469" i="27"/>
  <c r="AJ469" i="27"/>
  <c r="AI469" i="27"/>
  <c r="AK468" i="27"/>
  <c r="AJ468" i="27"/>
  <c r="AI468" i="27"/>
  <c r="AK467" i="27"/>
  <c r="AJ467" i="27"/>
  <c r="AI467" i="27"/>
  <c r="AK466" i="27"/>
  <c r="AJ466" i="27"/>
  <c r="AI466" i="27"/>
  <c r="AK465" i="27"/>
  <c r="AJ465" i="27"/>
  <c r="AI465" i="27"/>
  <c r="AJ724" i="27" l="1"/>
  <c r="AC8" i="29" l="1"/>
  <c r="AK1051" i="27" l="1"/>
  <c r="AK1050" i="27"/>
  <c r="AK1049" i="27"/>
  <c r="N64" i="29" l="1"/>
  <c r="M64" i="29"/>
  <c r="L64" i="29"/>
  <c r="K64" i="29"/>
  <c r="J64" i="29"/>
  <c r="I64" i="29"/>
  <c r="H64" i="29"/>
  <c r="G64" i="29"/>
  <c r="F64" i="29"/>
  <c r="E64" i="29"/>
  <c r="D64" i="29"/>
  <c r="C64" i="29"/>
  <c r="B64" i="29"/>
  <c r="AF16" i="29"/>
  <c r="B65" i="29" s="1"/>
  <c r="C66" i="29" l="1"/>
  <c r="B69" i="29"/>
  <c r="B67" i="29"/>
  <c r="B68" i="29" s="1"/>
  <c r="U58" i="29"/>
  <c r="AE8" i="29"/>
  <c r="AE9" i="29" s="1"/>
  <c r="AE13" i="29" s="1"/>
  <c r="AD8" i="29"/>
  <c r="AD9" i="29" s="1"/>
  <c r="AD13" i="29" s="1"/>
  <c r="AB8" i="29"/>
  <c r="AC9" i="29" s="1"/>
  <c r="AA8" i="29"/>
  <c r="Z8" i="29"/>
  <c r="Y8" i="29"/>
  <c r="X8" i="29"/>
  <c r="W8" i="29"/>
  <c r="V8" i="29"/>
  <c r="U8" i="29"/>
  <c r="T8" i="29"/>
  <c r="S8" i="29"/>
  <c r="R8" i="29"/>
  <c r="R9" i="29" s="1"/>
  <c r="AC13" i="29" l="1"/>
  <c r="AC24" i="29"/>
  <c r="S9" i="29"/>
  <c r="AA9" i="29"/>
  <c r="AA24" i="29" s="1"/>
  <c r="Z9" i="29"/>
  <c r="Z24" i="29" s="1"/>
  <c r="U9" i="29"/>
  <c r="U20" i="29" s="1"/>
  <c r="AF20" i="29" s="1"/>
  <c r="T9" i="29"/>
  <c r="AB9" i="29"/>
  <c r="AB24" i="29" s="1"/>
  <c r="V9" i="29"/>
  <c r="V24" i="29" s="1"/>
  <c r="X9" i="29"/>
  <c r="X24" i="29" s="1"/>
  <c r="W9" i="29"/>
  <c r="W24" i="29" s="1"/>
  <c r="Y9" i="29"/>
  <c r="Y24" i="29" s="1"/>
  <c r="R13" i="29"/>
  <c r="R11" i="29"/>
  <c r="AE11" i="29"/>
  <c r="AE12" i="29" s="1"/>
  <c r="T19" i="29" l="1"/>
  <c r="F65" i="29"/>
  <c r="S19" i="29"/>
  <c r="AF24" i="29"/>
  <c r="J65" i="29" s="1"/>
  <c r="AB13" i="29"/>
  <c r="Z13" i="29"/>
  <c r="X13" i="29"/>
  <c r="AA13" i="29"/>
  <c r="Y13" i="29"/>
  <c r="W13" i="29"/>
  <c r="U13" i="29"/>
  <c r="T13" i="29"/>
  <c r="V13" i="29"/>
  <c r="S13" i="29"/>
  <c r="S10" i="29"/>
  <c r="R12" i="29"/>
  <c r="AF19" i="29" l="1"/>
  <c r="E65" i="29" s="1"/>
  <c r="S11" i="29"/>
  <c r="T10" i="29" s="1"/>
  <c r="S12" i="29" l="1"/>
  <c r="T11" i="29"/>
  <c r="U10" i="29" s="1"/>
  <c r="T12" i="29" l="1"/>
  <c r="U11" i="29"/>
  <c r="V10" i="29" s="1"/>
  <c r="AK807" i="27"/>
  <c r="AJ807" i="27"/>
  <c r="AI807" i="27"/>
  <c r="AK806" i="27"/>
  <c r="AJ806" i="27"/>
  <c r="AI806" i="27"/>
  <c r="AK805" i="27"/>
  <c r="AJ805" i="27"/>
  <c r="AI805" i="27"/>
  <c r="AK804" i="27"/>
  <c r="AJ804" i="27"/>
  <c r="AI804" i="27"/>
  <c r="AK803" i="27"/>
  <c r="AJ803" i="27"/>
  <c r="AI803" i="27"/>
  <c r="AK802" i="27"/>
  <c r="AJ802" i="27"/>
  <c r="AI802" i="27"/>
  <c r="AK759" i="27"/>
  <c r="AJ759" i="27"/>
  <c r="AI759" i="27"/>
  <c r="AK758" i="27"/>
  <c r="AJ758" i="27"/>
  <c r="AI758" i="27"/>
  <c r="AK757" i="27"/>
  <c r="AJ757" i="27"/>
  <c r="AI757" i="27"/>
  <c r="AK756" i="27"/>
  <c r="AJ756" i="27"/>
  <c r="AI756" i="27"/>
  <c r="AK755" i="27"/>
  <c r="AJ755" i="27"/>
  <c r="AI755" i="27"/>
  <c r="AK754" i="27"/>
  <c r="AJ754" i="27"/>
  <c r="AI754" i="27"/>
  <c r="AK707" i="27"/>
  <c r="AJ707" i="27"/>
  <c r="AI707" i="27"/>
  <c r="AK706" i="27"/>
  <c r="AJ706" i="27"/>
  <c r="AI706" i="27"/>
  <c r="AK705" i="27"/>
  <c r="AJ705" i="27"/>
  <c r="AI705" i="27"/>
  <c r="AK704" i="27"/>
  <c r="AJ704" i="27"/>
  <c r="AI704" i="27"/>
  <c r="AK703" i="27"/>
  <c r="AJ703" i="27"/>
  <c r="AI703" i="27"/>
  <c r="U12" i="29" l="1"/>
  <c r="V11" i="29"/>
  <c r="W10" i="29" s="1"/>
  <c r="AK700" i="27"/>
  <c r="AJ700" i="27"/>
  <c r="AI700" i="27"/>
  <c r="AK699" i="27"/>
  <c r="AJ699" i="27"/>
  <c r="AI699" i="27"/>
  <c r="AK698" i="27"/>
  <c r="AJ698" i="27"/>
  <c r="AI698" i="27"/>
  <c r="AK697" i="27"/>
  <c r="AJ697" i="27"/>
  <c r="AI697" i="27"/>
  <c r="AK696" i="27"/>
  <c r="AJ696" i="27"/>
  <c r="AI696" i="27"/>
  <c r="AK945" i="27"/>
  <c r="AJ945" i="27"/>
  <c r="AI945" i="27"/>
  <c r="AK944" i="27"/>
  <c r="AJ944" i="27"/>
  <c r="AI944" i="27"/>
  <c r="AK943" i="27"/>
  <c r="AJ943" i="27"/>
  <c r="AI943" i="27"/>
  <c r="AK942" i="27"/>
  <c r="AJ942" i="27"/>
  <c r="AI942" i="27"/>
  <c r="AK941" i="27"/>
  <c r="AJ941" i="27"/>
  <c r="AI941" i="27"/>
  <c r="AK518" i="27"/>
  <c r="AJ518" i="27"/>
  <c r="AI518" i="27"/>
  <c r="AK517" i="27"/>
  <c r="AJ517" i="27"/>
  <c r="AI517" i="27"/>
  <c r="AK516" i="27"/>
  <c r="AJ516" i="27"/>
  <c r="AI516" i="27"/>
  <c r="AK515" i="27"/>
  <c r="AJ515" i="27"/>
  <c r="AI515" i="27"/>
  <c r="AK514" i="27"/>
  <c r="AJ514" i="27"/>
  <c r="AI514" i="27"/>
  <c r="AK513" i="27"/>
  <c r="AJ513" i="27"/>
  <c r="AI513" i="27"/>
  <c r="AK438" i="27"/>
  <c r="AJ438" i="27"/>
  <c r="AI438" i="27"/>
  <c r="AK437" i="27"/>
  <c r="AJ437" i="27"/>
  <c r="AI437" i="27"/>
  <c r="AK436" i="27"/>
  <c r="AJ436" i="27"/>
  <c r="AI436" i="27"/>
  <c r="AK435" i="27"/>
  <c r="AJ435" i="27"/>
  <c r="AI435" i="27"/>
  <c r="AK434" i="27"/>
  <c r="AJ434" i="27"/>
  <c r="AI434" i="27"/>
  <c r="AK433" i="27"/>
  <c r="AJ433" i="27"/>
  <c r="AI433" i="27"/>
  <c r="V12" i="29" l="1"/>
  <c r="W11" i="29"/>
  <c r="X10" i="29" s="1"/>
  <c r="AK1005" i="27"/>
  <c r="AJ1005" i="27"/>
  <c r="AI1005" i="27"/>
  <c r="AK1004" i="27"/>
  <c r="AJ1004" i="27"/>
  <c r="AI1004" i="27"/>
  <c r="AK1003" i="27"/>
  <c r="AI1003" i="27"/>
  <c r="AJ1003" i="27"/>
  <c r="AK1002" i="27"/>
  <c r="AI1002" i="27"/>
  <c r="W12" i="29" l="1"/>
  <c r="X11" i="29"/>
  <c r="Y10" i="29" s="1"/>
  <c r="Y11" i="29" s="1"/>
  <c r="AJ1006" i="27"/>
  <c r="AI1006" i="27"/>
  <c r="AK1006" i="27"/>
  <c r="AJ1002" i="27"/>
  <c r="AK999" i="27"/>
  <c r="AJ999" i="27"/>
  <c r="AI999" i="27"/>
  <c r="AJ996" i="27"/>
  <c r="AJ995" i="27"/>
  <c r="AJ994" i="27"/>
  <c r="AJ989" i="27"/>
  <c r="AJ988" i="27"/>
  <c r="AJ987" i="27"/>
  <c r="AJ986" i="27"/>
  <c r="AJ985" i="27"/>
  <c r="AJ982" i="27"/>
  <c r="AJ981" i="27"/>
  <c r="AJ980" i="27"/>
  <c r="AJ975" i="27"/>
  <c r="AJ974" i="27"/>
  <c r="AJ973" i="27"/>
  <c r="AJ972" i="27"/>
  <c r="AJ971" i="27"/>
  <c r="AJ968" i="27"/>
  <c r="AJ967" i="27"/>
  <c r="AJ966" i="27"/>
  <c r="AJ965" i="27"/>
  <c r="AJ964" i="27"/>
  <c r="AJ961" i="27"/>
  <c r="AJ960" i="27"/>
  <c r="AJ959" i="27"/>
  <c r="AJ958" i="27"/>
  <c r="AJ957" i="27"/>
  <c r="AJ954" i="27"/>
  <c r="AJ953" i="27"/>
  <c r="AJ952" i="27"/>
  <c r="AJ938" i="27"/>
  <c r="AJ937" i="27"/>
  <c r="AJ936" i="27"/>
  <c r="AJ935" i="27"/>
  <c r="AJ934" i="27"/>
  <c r="AJ931" i="27"/>
  <c r="AJ930" i="27"/>
  <c r="AJ929" i="27"/>
  <c r="AJ928" i="27"/>
  <c r="AJ927" i="27"/>
  <c r="AJ926" i="27"/>
  <c r="AJ923" i="27"/>
  <c r="AJ922" i="27"/>
  <c r="AJ921" i="27"/>
  <c r="AJ920" i="27"/>
  <c r="AJ919" i="27"/>
  <c r="AJ918" i="27"/>
  <c r="AJ915" i="27"/>
  <c r="AJ914" i="27"/>
  <c r="AJ913" i="27"/>
  <c r="AJ908" i="27"/>
  <c r="AJ907" i="27"/>
  <c r="AJ906" i="27"/>
  <c r="AJ905" i="27"/>
  <c r="AJ904" i="27"/>
  <c r="AJ901" i="27"/>
  <c r="AJ900" i="27"/>
  <c r="AJ899" i="27"/>
  <c r="AJ894" i="27"/>
  <c r="AJ893" i="27"/>
  <c r="AJ892" i="27"/>
  <c r="AJ891" i="27"/>
  <c r="AJ890" i="27"/>
  <c r="AJ887" i="27"/>
  <c r="AJ886" i="27"/>
  <c r="AJ885" i="27"/>
  <c r="AJ884" i="27"/>
  <c r="AJ883" i="27"/>
  <c r="AJ882" i="27"/>
  <c r="AJ879" i="27"/>
  <c r="AJ878" i="27"/>
  <c r="AJ877" i="27"/>
  <c r="AJ876" i="27"/>
  <c r="AJ875" i="27"/>
  <c r="AJ874" i="27"/>
  <c r="AJ871" i="27"/>
  <c r="AJ870" i="27"/>
  <c r="AJ869" i="27"/>
  <c r="AJ868" i="27"/>
  <c r="AJ867" i="27"/>
  <c r="AJ866" i="27"/>
  <c r="AJ863" i="27"/>
  <c r="AJ862" i="27"/>
  <c r="AJ861" i="27"/>
  <c r="AJ860" i="27"/>
  <c r="AJ859" i="27"/>
  <c r="AJ858" i="27"/>
  <c r="AJ855" i="27"/>
  <c r="AJ854" i="27"/>
  <c r="AJ853" i="27"/>
  <c r="AJ852" i="27"/>
  <c r="AJ851" i="27"/>
  <c r="AJ850" i="27"/>
  <c r="AJ847" i="27"/>
  <c r="AJ846" i="27"/>
  <c r="AJ845" i="27"/>
  <c r="AJ844" i="27"/>
  <c r="AJ843" i="27"/>
  <c r="AJ842" i="27"/>
  <c r="AJ839" i="27"/>
  <c r="AJ838" i="27"/>
  <c r="AJ837" i="27"/>
  <c r="AJ836" i="27"/>
  <c r="AJ835" i="27"/>
  <c r="AJ834" i="27"/>
  <c r="AJ831" i="27"/>
  <c r="AJ830" i="27"/>
  <c r="AJ829" i="27"/>
  <c r="AJ828" i="27"/>
  <c r="AJ827" i="27"/>
  <c r="AJ826" i="27"/>
  <c r="AJ823" i="27"/>
  <c r="AJ822" i="27"/>
  <c r="AJ821" i="27"/>
  <c r="AJ820" i="27"/>
  <c r="AJ819" i="27"/>
  <c r="AJ818" i="27"/>
  <c r="AJ815" i="27"/>
  <c r="AJ814" i="27"/>
  <c r="AJ813" i="27"/>
  <c r="AJ812" i="27"/>
  <c r="AJ811" i="27"/>
  <c r="AJ810" i="27"/>
  <c r="AJ799" i="27"/>
  <c r="AJ798" i="27"/>
  <c r="AJ797" i="27"/>
  <c r="AJ796" i="27"/>
  <c r="AJ795" i="27"/>
  <c r="AJ794" i="27"/>
  <c r="AJ791" i="27"/>
  <c r="AJ790" i="27"/>
  <c r="AJ789" i="27"/>
  <c r="AJ788" i="27"/>
  <c r="AJ787" i="27"/>
  <c r="AJ786" i="27"/>
  <c r="AJ783" i="27"/>
  <c r="AJ782" i="27"/>
  <c r="AJ781" i="27"/>
  <c r="AJ780" i="27"/>
  <c r="AJ779" i="27"/>
  <c r="AJ778" i="27"/>
  <c r="AJ767" i="27"/>
  <c r="AJ766" i="27"/>
  <c r="AJ765" i="27"/>
  <c r="AJ764" i="27"/>
  <c r="AJ763" i="27"/>
  <c r="AJ762" i="27"/>
  <c r="AJ751" i="27"/>
  <c r="AJ750" i="27"/>
  <c r="AJ749" i="27"/>
  <c r="AJ748" i="27"/>
  <c r="AJ747" i="27"/>
  <c r="AJ746" i="27"/>
  <c r="AJ743" i="27"/>
  <c r="AJ742" i="27"/>
  <c r="AJ741" i="27"/>
  <c r="AJ740" i="27"/>
  <c r="AJ739" i="27"/>
  <c r="AJ738" i="27"/>
  <c r="AJ735" i="27"/>
  <c r="AJ734" i="27"/>
  <c r="AJ733" i="27"/>
  <c r="AJ732" i="27"/>
  <c r="AJ693" i="27"/>
  <c r="AJ692" i="27"/>
  <c r="AJ691" i="27"/>
  <c r="AJ690" i="27"/>
  <c r="AJ689" i="27"/>
  <c r="AJ686" i="27"/>
  <c r="AJ685" i="27"/>
  <c r="AJ684" i="27"/>
  <c r="AJ683" i="27"/>
  <c r="AJ682" i="27"/>
  <c r="AJ681" i="27"/>
  <c r="AJ678" i="27"/>
  <c r="AJ677" i="27"/>
  <c r="AJ676" i="27"/>
  <c r="AJ675" i="27"/>
  <c r="AJ674" i="27"/>
  <c r="AJ673" i="27"/>
  <c r="AJ654" i="27"/>
  <c r="AJ653" i="27"/>
  <c r="AJ652" i="27"/>
  <c r="AJ651" i="27"/>
  <c r="AJ650" i="27"/>
  <c r="AJ649" i="27"/>
  <c r="AJ646" i="27"/>
  <c r="AJ645" i="27"/>
  <c r="AJ644" i="27"/>
  <c r="AJ643" i="27"/>
  <c r="AJ642" i="27"/>
  <c r="AJ641" i="27"/>
  <c r="AJ638" i="27"/>
  <c r="AJ637" i="27"/>
  <c r="AJ636" i="27"/>
  <c r="AJ635" i="27"/>
  <c r="AJ634" i="27"/>
  <c r="AJ633" i="27"/>
  <c r="AJ630" i="27"/>
  <c r="AJ629" i="27"/>
  <c r="AJ628" i="27"/>
  <c r="AJ627" i="27"/>
  <c r="AJ626" i="27"/>
  <c r="AJ625" i="27"/>
  <c r="AJ622" i="27"/>
  <c r="AJ621" i="27"/>
  <c r="AJ620" i="27"/>
  <c r="AJ619" i="27"/>
  <c r="AJ618" i="27"/>
  <c r="AJ617" i="27"/>
  <c r="AJ614" i="27"/>
  <c r="AJ613" i="27"/>
  <c r="AJ612" i="27"/>
  <c r="AJ611" i="27"/>
  <c r="AJ610" i="27"/>
  <c r="AJ609" i="27"/>
  <c r="AJ606" i="27"/>
  <c r="AJ605" i="27"/>
  <c r="AJ604" i="27"/>
  <c r="AJ603" i="27"/>
  <c r="AJ602" i="27"/>
  <c r="AJ601" i="27"/>
  <c r="AJ598" i="27"/>
  <c r="AJ597" i="27"/>
  <c r="AJ596" i="27"/>
  <c r="AJ595" i="27"/>
  <c r="AJ594" i="27"/>
  <c r="AJ593" i="27"/>
  <c r="AJ590" i="27"/>
  <c r="AJ589" i="27"/>
  <c r="AJ588" i="27"/>
  <c r="AJ587" i="27"/>
  <c r="AJ586" i="27"/>
  <c r="AJ585" i="27"/>
  <c r="AJ582" i="27"/>
  <c r="AJ581" i="27"/>
  <c r="AJ580" i="27"/>
  <c r="AJ579" i="27"/>
  <c r="AJ578" i="27"/>
  <c r="AJ577" i="27"/>
  <c r="AJ574" i="27"/>
  <c r="AJ573" i="27"/>
  <c r="AJ572" i="27"/>
  <c r="AJ571" i="27"/>
  <c r="AJ570" i="27"/>
  <c r="AJ569" i="27"/>
  <c r="AJ566" i="27"/>
  <c r="AJ565" i="27"/>
  <c r="AJ564" i="27"/>
  <c r="AJ563" i="27"/>
  <c r="AJ562" i="27"/>
  <c r="AJ561" i="27"/>
  <c r="AJ558" i="27"/>
  <c r="AJ557" i="27"/>
  <c r="AJ556" i="27"/>
  <c r="AJ555" i="27"/>
  <c r="AJ554" i="27"/>
  <c r="AJ553" i="27"/>
  <c r="AJ550" i="27"/>
  <c r="AJ549" i="27"/>
  <c r="AJ548" i="27"/>
  <c r="AJ547" i="27"/>
  <c r="AJ546" i="27"/>
  <c r="AJ545" i="27"/>
  <c r="AJ542" i="27"/>
  <c r="AJ541" i="27"/>
  <c r="AJ540" i="27"/>
  <c r="AJ539" i="27"/>
  <c r="AJ538" i="27"/>
  <c r="AJ537" i="27"/>
  <c r="AJ534" i="27"/>
  <c r="AJ533" i="27"/>
  <c r="AJ532" i="27"/>
  <c r="AJ531" i="27"/>
  <c r="AJ530" i="27"/>
  <c r="AJ529" i="27"/>
  <c r="AJ526" i="27"/>
  <c r="AJ525" i="27"/>
  <c r="AJ524" i="27"/>
  <c r="AJ523" i="27"/>
  <c r="AJ522" i="27"/>
  <c r="AJ521" i="27"/>
  <c r="AJ510" i="27"/>
  <c r="AJ509" i="27"/>
  <c r="AJ508" i="27"/>
  <c r="AJ507" i="27"/>
  <c r="AJ506" i="27"/>
  <c r="AJ505" i="27"/>
  <c r="AJ502" i="27"/>
  <c r="AJ501" i="27"/>
  <c r="AJ500" i="27"/>
  <c r="AJ499" i="27"/>
  <c r="AJ498" i="27"/>
  <c r="AJ497" i="27"/>
  <c r="AJ494" i="27"/>
  <c r="AJ493" i="27"/>
  <c r="AJ492" i="27"/>
  <c r="AJ491" i="27"/>
  <c r="AJ490" i="27"/>
  <c r="AJ489" i="27"/>
  <c r="AJ486" i="27"/>
  <c r="AJ485" i="27"/>
  <c r="AJ484" i="27"/>
  <c r="AJ483" i="27"/>
  <c r="AJ482" i="27"/>
  <c r="AJ481" i="27"/>
  <c r="AJ478" i="27"/>
  <c r="AJ477" i="27"/>
  <c r="AJ476" i="27"/>
  <c r="AJ475" i="27"/>
  <c r="AJ474" i="27"/>
  <c r="AJ473" i="27"/>
  <c r="AJ462" i="27"/>
  <c r="AJ461" i="27"/>
  <c r="AJ460" i="27"/>
  <c r="AJ459" i="27"/>
  <c r="AJ458" i="27"/>
  <c r="AJ457" i="27"/>
  <c r="AJ454" i="27"/>
  <c r="AJ453" i="27"/>
  <c r="AJ452" i="27"/>
  <c r="AJ451" i="27"/>
  <c r="AJ450" i="27"/>
  <c r="AJ449" i="27"/>
  <c r="AJ446" i="27"/>
  <c r="AJ445" i="27"/>
  <c r="AJ444" i="27"/>
  <c r="AJ443" i="27"/>
  <c r="AJ442" i="27"/>
  <c r="AJ441" i="27"/>
  <c r="AJ430" i="27"/>
  <c r="AJ429" i="27"/>
  <c r="AJ428" i="27"/>
  <c r="AJ427" i="27"/>
  <c r="AJ426" i="27"/>
  <c r="AJ425" i="27"/>
  <c r="AJ422" i="27"/>
  <c r="AJ421" i="27"/>
  <c r="AJ420" i="27"/>
  <c r="AJ419" i="27"/>
  <c r="AJ418" i="27"/>
  <c r="AJ415" i="27"/>
  <c r="AJ414" i="27"/>
  <c r="AJ413" i="27"/>
  <c r="AJ412" i="27"/>
  <c r="AJ411" i="27"/>
  <c r="AJ408" i="27"/>
  <c r="AJ407" i="27"/>
  <c r="AJ406" i="27"/>
  <c r="AJ405" i="27"/>
  <c r="AJ404" i="27"/>
  <c r="AJ401" i="27"/>
  <c r="AJ400" i="27"/>
  <c r="AJ399" i="27"/>
  <c r="AJ398" i="27"/>
  <c r="AJ397" i="27"/>
  <c r="AJ394" i="27"/>
  <c r="AJ393" i="27"/>
  <c r="AJ392" i="27"/>
  <c r="AJ391" i="27"/>
  <c r="AJ390" i="27"/>
  <c r="AJ387" i="27"/>
  <c r="AJ386" i="27"/>
  <c r="AJ385" i="27"/>
  <c r="AJ384" i="27"/>
  <c r="AJ383" i="27"/>
  <c r="AJ380" i="27"/>
  <c r="AJ379" i="27"/>
  <c r="AJ378" i="27"/>
  <c r="AJ377" i="27"/>
  <c r="AJ376" i="27"/>
  <c r="AJ373" i="27"/>
  <c r="AJ372" i="27"/>
  <c r="AJ371" i="27"/>
  <c r="AJ370" i="27"/>
  <c r="AJ369" i="27"/>
  <c r="AJ366" i="27"/>
  <c r="AJ365" i="27"/>
  <c r="AJ364" i="27"/>
  <c r="AJ363" i="27"/>
  <c r="AJ362" i="27"/>
  <c r="AJ359" i="27"/>
  <c r="AJ358" i="27"/>
  <c r="AJ357" i="27"/>
  <c r="AJ356" i="27"/>
  <c r="AJ355" i="27"/>
  <c r="AJ352" i="27"/>
  <c r="AJ351" i="27"/>
  <c r="AJ350" i="27"/>
  <c r="AJ349" i="27"/>
  <c r="AJ348" i="27"/>
  <c r="AJ345" i="27"/>
  <c r="AJ344" i="27"/>
  <c r="AJ343" i="27"/>
  <c r="AJ342" i="27"/>
  <c r="AJ341" i="27"/>
  <c r="AJ338" i="27"/>
  <c r="AJ337" i="27"/>
  <c r="AJ336" i="27"/>
  <c r="AJ335" i="27"/>
  <c r="AJ334" i="27"/>
  <c r="AJ331" i="27"/>
  <c r="AJ330" i="27"/>
  <c r="AJ329" i="27"/>
  <c r="AJ328" i="27"/>
  <c r="AJ327" i="27"/>
  <c r="AJ324" i="27"/>
  <c r="AJ323" i="27"/>
  <c r="AJ322" i="27"/>
  <c r="AJ321" i="27"/>
  <c r="AJ320" i="27"/>
  <c r="AJ317" i="27"/>
  <c r="AJ316" i="27"/>
  <c r="AJ315" i="27"/>
  <c r="AJ314" i="27"/>
  <c r="AJ313" i="27"/>
  <c r="AJ310" i="27"/>
  <c r="AJ309" i="27"/>
  <c r="AJ308" i="27"/>
  <c r="AJ307" i="27"/>
  <c r="AJ306" i="27"/>
  <c r="AJ303" i="27"/>
  <c r="AJ302" i="27"/>
  <c r="AJ301" i="27"/>
  <c r="AJ300" i="27"/>
  <c r="AJ299" i="27"/>
  <c r="AJ296" i="27"/>
  <c r="AJ295" i="27"/>
  <c r="AJ294" i="27"/>
  <c r="AJ293" i="27"/>
  <c r="AJ292" i="27"/>
  <c r="AJ289" i="27"/>
  <c r="AJ288" i="27"/>
  <c r="AJ287" i="27"/>
  <c r="AJ286" i="27"/>
  <c r="AJ285" i="27"/>
  <c r="AJ282" i="27"/>
  <c r="AJ281" i="27"/>
  <c r="AJ280" i="27"/>
  <c r="AJ279" i="27"/>
  <c r="AJ278" i="27"/>
  <c r="AJ275" i="27"/>
  <c r="AJ274" i="27"/>
  <c r="AJ273" i="27"/>
  <c r="AJ272" i="27"/>
  <c r="AJ271" i="27"/>
  <c r="AJ268" i="27"/>
  <c r="AJ267" i="27"/>
  <c r="AJ266" i="27"/>
  <c r="AJ265" i="27"/>
  <c r="AJ264" i="27"/>
  <c r="AJ261" i="27"/>
  <c r="AJ260" i="27"/>
  <c r="AJ259" i="27"/>
  <c r="AJ258" i="27"/>
  <c r="AJ257" i="27"/>
  <c r="AJ253" i="27"/>
  <c r="AJ252" i="27"/>
  <c r="AJ251" i="27"/>
  <c r="AJ250" i="27"/>
  <c r="AJ247" i="27"/>
  <c r="AJ246" i="27"/>
  <c r="AJ245" i="27"/>
  <c r="AJ244" i="27"/>
  <c r="AJ243" i="27"/>
  <c r="AJ240" i="27"/>
  <c r="AJ239" i="27"/>
  <c r="AJ238" i="27"/>
  <c r="AJ237" i="27"/>
  <c r="AJ236" i="27"/>
  <c r="AJ233" i="27"/>
  <c r="AJ232" i="27"/>
  <c r="AJ231" i="27"/>
  <c r="AJ230" i="27"/>
  <c r="AJ229" i="27"/>
  <c r="AJ226" i="27"/>
  <c r="AJ225" i="27"/>
  <c r="AJ224" i="27"/>
  <c r="AJ223" i="27"/>
  <c r="AJ222" i="27"/>
  <c r="AJ219" i="27"/>
  <c r="AJ218" i="27"/>
  <c r="AJ217" i="27"/>
  <c r="AJ216" i="27"/>
  <c r="AJ215" i="27"/>
  <c r="AJ212" i="27"/>
  <c r="AJ211" i="27"/>
  <c r="AJ210" i="27"/>
  <c r="AJ209" i="27"/>
  <c r="AJ208" i="27"/>
  <c r="AJ205" i="27"/>
  <c r="AJ204" i="27"/>
  <c r="AJ203" i="27"/>
  <c r="AJ202" i="27"/>
  <c r="AJ201" i="27"/>
  <c r="AJ198" i="27"/>
  <c r="AJ197" i="27"/>
  <c r="AJ196" i="27"/>
  <c r="AJ195" i="27"/>
  <c r="AJ194" i="27"/>
  <c r="AJ191" i="27"/>
  <c r="AJ190" i="27"/>
  <c r="AJ189" i="27"/>
  <c r="AJ188" i="27"/>
  <c r="AJ187" i="27"/>
  <c r="AJ184" i="27"/>
  <c r="AJ183" i="27"/>
  <c r="AJ182" i="27"/>
  <c r="AJ181" i="27"/>
  <c r="AJ180" i="27"/>
  <c r="AJ177" i="27"/>
  <c r="AJ176" i="27"/>
  <c r="AJ175" i="27"/>
  <c r="AJ174" i="27"/>
  <c r="AJ173" i="27"/>
  <c r="AJ170" i="27"/>
  <c r="AJ169" i="27"/>
  <c r="AJ168" i="27"/>
  <c r="AJ167" i="27"/>
  <c r="AJ166" i="27"/>
  <c r="AJ163" i="27"/>
  <c r="AJ162" i="27"/>
  <c r="AJ161" i="27"/>
  <c r="AJ160" i="27"/>
  <c r="AJ159" i="27"/>
  <c r="AJ156" i="27"/>
  <c r="AJ155" i="27"/>
  <c r="AJ154" i="27"/>
  <c r="AJ153" i="27"/>
  <c r="AJ152" i="27"/>
  <c r="AJ149" i="27"/>
  <c r="AJ148" i="27"/>
  <c r="AJ147" i="27"/>
  <c r="AJ146" i="27"/>
  <c r="AJ145" i="27"/>
  <c r="AJ142" i="27"/>
  <c r="AJ141" i="27"/>
  <c r="AJ140" i="27"/>
  <c r="AJ139" i="27"/>
  <c r="AJ138" i="27"/>
  <c r="AJ135" i="27"/>
  <c r="AJ134" i="27"/>
  <c r="AJ133" i="27"/>
  <c r="AJ132" i="27"/>
  <c r="AJ131" i="27"/>
  <c r="AJ128" i="27"/>
  <c r="AJ127" i="27"/>
  <c r="AJ126" i="27"/>
  <c r="AJ125" i="27"/>
  <c r="AJ124" i="27"/>
  <c r="AJ121" i="27"/>
  <c r="AJ120" i="27"/>
  <c r="AJ119" i="27"/>
  <c r="AJ118" i="27"/>
  <c r="AJ117" i="27"/>
  <c r="AJ114" i="27"/>
  <c r="AJ113" i="27"/>
  <c r="AJ112" i="27"/>
  <c r="AJ111" i="27"/>
  <c r="AJ110" i="27"/>
  <c r="AJ107" i="27"/>
  <c r="AJ106" i="27"/>
  <c r="AJ105" i="27"/>
  <c r="AJ104" i="27"/>
  <c r="AJ103" i="27"/>
  <c r="AJ100" i="27"/>
  <c r="AJ99" i="27"/>
  <c r="AJ98" i="27"/>
  <c r="AJ97" i="27"/>
  <c r="AJ96" i="27"/>
  <c r="AJ93" i="27"/>
  <c r="AJ92" i="27"/>
  <c r="AJ91" i="27"/>
  <c r="AJ90" i="27"/>
  <c r="AJ89" i="27"/>
  <c r="AJ86" i="27"/>
  <c r="AJ85" i="27"/>
  <c r="AJ84" i="27"/>
  <c r="AJ83" i="27"/>
  <c r="AJ82" i="27"/>
  <c r="AJ79" i="27"/>
  <c r="AJ78" i="27"/>
  <c r="AJ77" i="27"/>
  <c r="AJ76" i="27"/>
  <c r="AJ75" i="27"/>
  <c r="AJ72" i="27"/>
  <c r="AJ71" i="27"/>
  <c r="AJ70" i="27"/>
  <c r="AJ69" i="27"/>
  <c r="AJ65" i="27"/>
  <c r="AJ64" i="27"/>
  <c r="AJ63" i="27"/>
  <c r="AJ62" i="27"/>
  <c r="AJ61" i="27"/>
  <c r="AJ58" i="27"/>
  <c r="AJ57" i="27"/>
  <c r="AJ56" i="27"/>
  <c r="AJ55" i="27"/>
  <c r="AJ54" i="27"/>
  <c r="AJ50" i="27"/>
  <c r="AJ49" i="27"/>
  <c r="AJ48" i="27"/>
  <c r="AJ47" i="27"/>
  <c r="AJ46" i="27"/>
  <c r="AJ43" i="27"/>
  <c r="AJ42" i="27"/>
  <c r="AJ39" i="27"/>
  <c r="X12" i="29" l="1"/>
  <c r="Y12" i="29"/>
  <c r="Z10" i="29"/>
  <c r="Z11" i="29" s="1"/>
  <c r="Z12" i="29" l="1"/>
  <c r="AA10" i="29"/>
  <c r="AA11" i="29" s="1"/>
  <c r="AK1059" i="27"/>
  <c r="AK1058" i="27"/>
  <c r="AK1057" i="27"/>
  <c r="AA12" i="29" l="1"/>
  <c r="AB10" i="29"/>
  <c r="AB11" i="29" s="1"/>
  <c r="AC10" i="29" s="1"/>
  <c r="AJ1017" i="27"/>
  <c r="AJ1019" i="27"/>
  <c r="AJ1018" i="27"/>
  <c r="E8" i="29"/>
  <c r="P8" i="29"/>
  <c r="O8" i="29"/>
  <c r="N8" i="29"/>
  <c r="K8" i="29"/>
  <c r="L9" i="29" s="1"/>
  <c r="L13" i="29" s="1"/>
  <c r="J8" i="29"/>
  <c r="I8" i="29"/>
  <c r="H8" i="29"/>
  <c r="G8" i="29"/>
  <c r="F8" i="29"/>
  <c r="L25" i="29" l="1"/>
  <c r="AC11" i="29"/>
  <c r="AD10" i="29" s="1"/>
  <c r="AD11" i="29" s="1"/>
  <c r="AD12" i="29" s="1"/>
  <c r="I9" i="29"/>
  <c r="F9" i="29"/>
  <c r="K9" i="29"/>
  <c r="K25" i="29" s="1"/>
  <c r="J9" i="29"/>
  <c r="M25" i="29"/>
  <c r="N9" i="29"/>
  <c r="N26" i="29" s="1"/>
  <c r="AF26" i="29" s="1"/>
  <c r="L65" i="29" s="1"/>
  <c r="L69" i="29" s="1"/>
  <c r="O9" i="29"/>
  <c r="D17" i="29"/>
  <c r="AF17" i="29" s="1"/>
  <c r="C65" i="29" s="1"/>
  <c r="P9" i="29"/>
  <c r="P28" i="29" s="1"/>
  <c r="AF28" i="29" s="1"/>
  <c r="N65" i="29" s="1"/>
  <c r="N69" i="29" s="1"/>
  <c r="AB12" i="29"/>
  <c r="G9" i="29"/>
  <c r="G25" i="29" s="1"/>
  <c r="H9" i="29"/>
  <c r="H21" i="29" s="1"/>
  <c r="AF21" i="29" s="1"/>
  <c r="G65" i="29" s="1"/>
  <c r="E9" i="29"/>
  <c r="E18" i="29" s="1"/>
  <c r="AJ1023" i="27"/>
  <c r="AJ1022" i="27"/>
  <c r="AJ1021" i="27"/>
  <c r="N66" i="29"/>
  <c r="J69" i="29" l="1"/>
  <c r="I22" i="29"/>
  <c r="AF22" i="29" s="1"/>
  <c r="H65" i="29" s="1"/>
  <c r="H69" i="29" s="1"/>
  <c r="J23" i="29"/>
  <c r="AF23" i="29" s="1"/>
  <c r="I65" i="29" s="1"/>
  <c r="I69" i="29" s="1"/>
  <c r="AC12" i="29"/>
  <c r="H13" i="29"/>
  <c r="O13" i="29"/>
  <c r="O27" i="29"/>
  <c r="AF27" i="29" s="1"/>
  <c r="M65" i="29" s="1"/>
  <c r="M69" i="29" s="1"/>
  <c r="AF25" i="29"/>
  <c r="K65" i="29" s="1"/>
  <c r="K69" i="29" s="1"/>
  <c r="C67" i="29"/>
  <c r="C68" i="29" s="1"/>
  <c r="J13" i="29"/>
  <c r="K13" i="29"/>
  <c r="F13" i="29"/>
  <c r="G13" i="29"/>
  <c r="I13" i="29"/>
  <c r="L67" i="29"/>
  <c r="L68" i="29" s="1"/>
  <c r="N13" i="29"/>
  <c r="N11" i="29"/>
  <c r="P11" i="29"/>
  <c r="P12" i="29" s="1"/>
  <c r="P13" i="29"/>
  <c r="E11" i="29"/>
  <c r="E13" i="29"/>
  <c r="C69" i="29"/>
  <c r="AJ1026" i="27"/>
  <c r="AJ1025" i="27"/>
  <c r="AJ1027" i="27"/>
  <c r="N67" i="29"/>
  <c r="N68" i="29" s="1"/>
  <c r="AF18" i="29" l="1"/>
  <c r="D65" i="29"/>
  <c r="M66" i="29"/>
  <c r="E12" i="29"/>
  <c r="F10" i="29"/>
  <c r="N12" i="29"/>
  <c r="O10" i="29"/>
  <c r="O11" i="29" s="1"/>
  <c r="O12" i="29" s="1"/>
  <c r="AJ1031" i="27"/>
  <c r="AJ1030" i="27"/>
  <c r="AJ1029" i="27"/>
  <c r="M67" i="29"/>
  <c r="D67" i="29" l="1"/>
  <c r="D69" i="29"/>
  <c r="M68" i="29"/>
  <c r="F11" i="29"/>
  <c r="G10" i="29" s="1"/>
  <c r="AJ1034" i="27"/>
  <c r="AJ1033" i="27"/>
  <c r="AJ1035" i="27"/>
  <c r="D68" i="29" l="1"/>
  <c r="E66" i="29"/>
  <c r="F12" i="29"/>
  <c r="G11" i="29"/>
  <c r="H10" i="29" s="1"/>
  <c r="AJ1039" i="27"/>
  <c r="AJ1037" i="27"/>
  <c r="AJ1038" i="27"/>
  <c r="G12" i="29" l="1"/>
  <c r="H11" i="29"/>
  <c r="I10" i="29" s="1"/>
  <c r="AJ1041" i="27"/>
  <c r="AJ1042" i="27"/>
  <c r="AJ1043" i="27"/>
  <c r="AI1049" i="27" l="1"/>
  <c r="AJ1049" i="27"/>
  <c r="AJ1051" i="27"/>
  <c r="AI1051" i="27"/>
  <c r="AJ1050" i="27"/>
  <c r="AI1050" i="27"/>
  <c r="H12" i="29"/>
  <c r="I11" i="29"/>
  <c r="J10" i="29" s="1"/>
  <c r="AJ1046" i="27"/>
  <c r="AJ1047" i="27"/>
  <c r="AJ1045" i="27"/>
  <c r="AJ1014" i="27" l="1"/>
  <c r="AI1014" i="27"/>
  <c r="AI1015" i="27"/>
  <c r="AJ1015" i="27"/>
  <c r="I12" i="29"/>
  <c r="J11" i="29"/>
  <c r="K10" i="29" s="1"/>
  <c r="AJ1055" i="27"/>
  <c r="AJ1053" i="27"/>
  <c r="AJ1054" i="27"/>
  <c r="AJ1011" i="27" l="1"/>
  <c r="AI1011" i="27"/>
  <c r="AI1010" i="27"/>
  <c r="AJ1010" i="27"/>
  <c r="J12" i="29"/>
  <c r="K11" i="29"/>
  <c r="L10" i="29" s="1"/>
  <c r="AJ1057" i="27"/>
  <c r="AI1057" i="27"/>
  <c r="AJ1058" i="27"/>
  <c r="AI1058" i="27"/>
  <c r="AJ1059" i="27"/>
  <c r="AI1059" i="27"/>
  <c r="L11" i="29" l="1"/>
  <c r="M10" i="29" s="1"/>
  <c r="K12" i="29"/>
  <c r="L12" i="29" l="1"/>
  <c r="M11" i="29"/>
  <c r="M12" i="29" s="1"/>
  <c r="AJ254" i="27" l="1"/>
  <c r="D3" i="24" l="1"/>
  <c r="AK614" i="27" l="1"/>
  <c r="AI614" i="27"/>
  <c r="AK613" i="27"/>
  <c r="AI613" i="27"/>
  <c r="AK612" i="27"/>
  <c r="AI612" i="27"/>
  <c r="AK611" i="27"/>
  <c r="AI611" i="27"/>
  <c r="AK610" i="27"/>
  <c r="AI610" i="27"/>
  <c r="AK609" i="27"/>
  <c r="AI609" i="27"/>
  <c r="AK462" i="27"/>
  <c r="AI462" i="27"/>
  <c r="AK461" i="27"/>
  <c r="AI461" i="27"/>
  <c r="AK460" i="27"/>
  <c r="AI460" i="27"/>
  <c r="AK459" i="27"/>
  <c r="AI459" i="27"/>
  <c r="AK458" i="27"/>
  <c r="AI458" i="27"/>
  <c r="AK457" i="27"/>
  <c r="AI457" i="27"/>
  <c r="AK582" i="27"/>
  <c r="AI582" i="27"/>
  <c r="AK581" i="27"/>
  <c r="AI581" i="27"/>
  <c r="AK580" i="27"/>
  <c r="AI580" i="27"/>
  <c r="AK579" i="27"/>
  <c r="AI579" i="27"/>
  <c r="AK578" i="27"/>
  <c r="AI578" i="27"/>
  <c r="AK577" i="27"/>
  <c r="AI577" i="27"/>
  <c r="AK815" i="27"/>
  <c r="AI815" i="27"/>
  <c r="AK814" i="27"/>
  <c r="AI814" i="27"/>
  <c r="AK813" i="27"/>
  <c r="AI813" i="27"/>
  <c r="AK812" i="27"/>
  <c r="AI812" i="27"/>
  <c r="AK811" i="27"/>
  <c r="AI811" i="27"/>
  <c r="AK810" i="27"/>
  <c r="AI810" i="27"/>
  <c r="AK767" i="27"/>
  <c r="AI767" i="27"/>
  <c r="AK766" i="27"/>
  <c r="AI766" i="27"/>
  <c r="AK765" i="27"/>
  <c r="AI765" i="27"/>
  <c r="AK764" i="27"/>
  <c r="AI764" i="27"/>
  <c r="AK763" i="27"/>
  <c r="AI763" i="27"/>
  <c r="AK762" i="27"/>
  <c r="AI762" i="27"/>
  <c r="AK107" i="27"/>
  <c r="AI107" i="27"/>
  <c r="AK106" i="27"/>
  <c r="AI106" i="27"/>
  <c r="AK105" i="27"/>
  <c r="AI105" i="27"/>
  <c r="AK104" i="27"/>
  <c r="AI104" i="27"/>
  <c r="AK103" i="27"/>
  <c r="AI103" i="27"/>
  <c r="AK566" i="27"/>
  <c r="AI566" i="27"/>
  <c r="AK565" i="27"/>
  <c r="AI565" i="27"/>
  <c r="AK564" i="27"/>
  <c r="AI564" i="27"/>
  <c r="AK563" i="27"/>
  <c r="AI563" i="27"/>
  <c r="AK562" i="27"/>
  <c r="AI562" i="27"/>
  <c r="AK561" i="27"/>
  <c r="AI561" i="27"/>
  <c r="AK799" i="27"/>
  <c r="AI799" i="27"/>
  <c r="AK798" i="27"/>
  <c r="AI798" i="27"/>
  <c r="AK797" i="27"/>
  <c r="AI797" i="27"/>
  <c r="AK796" i="27"/>
  <c r="AI796" i="27"/>
  <c r="AK795" i="27"/>
  <c r="AI795" i="27"/>
  <c r="AK794" i="27"/>
  <c r="AI794" i="27"/>
  <c r="AK751" i="27"/>
  <c r="AI751" i="27"/>
  <c r="AK750" i="27"/>
  <c r="AI750" i="27"/>
  <c r="AK749" i="27"/>
  <c r="AI749" i="27"/>
  <c r="AK748" i="27"/>
  <c r="AI748" i="27"/>
  <c r="AK747" i="27"/>
  <c r="AI747" i="27"/>
  <c r="AK746" i="27"/>
  <c r="AI746" i="27"/>
  <c r="AK606" i="27"/>
  <c r="AI606" i="27"/>
  <c r="AK605" i="27"/>
  <c r="AI605" i="27"/>
  <c r="AK604" i="27"/>
  <c r="AI604" i="27"/>
  <c r="AK603" i="27"/>
  <c r="AI603" i="27"/>
  <c r="AK602" i="27"/>
  <c r="AI602" i="27"/>
  <c r="AK601" i="27"/>
  <c r="AI601" i="27"/>
  <c r="AF78" i="41" l="1"/>
  <c r="AF77" i="41"/>
  <c r="AF76" i="41"/>
  <c r="AF75" i="41"/>
  <c r="AF74" i="41"/>
  <c r="AF73" i="41"/>
  <c r="AF72" i="41"/>
  <c r="AF71" i="41"/>
  <c r="AF70" i="41"/>
  <c r="AF69" i="41"/>
  <c r="AF68" i="41"/>
  <c r="AF67" i="41"/>
  <c r="AF66" i="41"/>
  <c r="AF65" i="41"/>
  <c r="AF64" i="41"/>
  <c r="AF63" i="41"/>
  <c r="AF62" i="41"/>
  <c r="AF61" i="41"/>
  <c r="AF60" i="41"/>
  <c r="AF59" i="41"/>
  <c r="AF58" i="41"/>
  <c r="AF57" i="41"/>
  <c r="AF56" i="41"/>
  <c r="AF55" i="41"/>
  <c r="AF54" i="41"/>
  <c r="AF53" i="41"/>
  <c r="AF52" i="41"/>
  <c r="AF51" i="41"/>
  <c r="AF50" i="41"/>
  <c r="AF49" i="41"/>
  <c r="P66" i="41"/>
  <c r="P67" i="41"/>
  <c r="P68" i="41"/>
  <c r="P69" i="41"/>
  <c r="P70" i="41"/>
  <c r="P71" i="41"/>
  <c r="P72" i="41"/>
  <c r="P73" i="41"/>
  <c r="P74" i="41"/>
  <c r="P75" i="41"/>
  <c r="P76" i="41"/>
  <c r="P77" i="41"/>
  <c r="Y65" i="41"/>
  <c r="Y64" i="41"/>
  <c r="Y63" i="41"/>
  <c r="Y62" i="41"/>
  <c r="Y61" i="41"/>
  <c r="Y60" i="41"/>
  <c r="Y59" i="41"/>
  <c r="Y58" i="41"/>
  <c r="Y57" i="41"/>
  <c r="Y56" i="41"/>
  <c r="Y55" i="41"/>
  <c r="Y54" i="41"/>
  <c r="Y53" i="41"/>
  <c r="Y52" i="41"/>
  <c r="Y51" i="41"/>
  <c r="Y50" i="41"/>
  <c r="Y49" i="41"/>
  <c r="P65" i="41"/>
  <c r="P64" i="41"/>
  <c r="P63" i="41"/>
  <c r="P62" i="41"/>
  <c r="P61" i="41"/>
  <c r="P60" i="41"/>
  <c r="P59" i="41"/>
  <c r="P58" i="41"/>
  <c r="P57" i="41"/>
  <c r="P56" i="41"/>
  <c r="P55" i="41"/>
  <c r="P54" i="41"/>
  <c r="P53" i="41"/>
  <c r="P52" i="41"/>
  <c r="P51" i="41"/>
  <c r="P50" i="41"/>
  <c r="P49" i="41"/>
  <c r="W49" i="41" l="1"/>
  <c r="W52" i="41"/>
  <c r="W56" i="41"/>
  <c r="W60" i="41"/>
  <c r="W64" i="41"/>
  <c r="W53" i="41"/>
  <c r="W57" i="41"/>
  <c r="W61" i="41"/>
  <c r="W65" i="41"/>
  <c r="W50" i="41"/>
  <c r="W54" i="41"/>
  <c r="W58" i="41"/>
  <c r="W62" i="41"/>
  <c r="W51" i="41"/>
  <c r="W55" i="41"/>
  <c r="W59" i="41"/>
  <c r="W63" i="41"/>
  <c r="M49" i="41"/>
  <c r="M51" i="41"/>
  <c r="M55" i="41"/>
  <c r="M59" i="41"/>
  <c r="M63" i="41"/>
  <c r="M77" i="41"/>
  <c r="M73" i="41"/>
  <c r="M69" i="41"/>
  <c r="M52" i="41"/>
  <c r="M56" i="41"/>
  <c r="M60" i="41"/>
  <c r="M64" i="41"/>
  <c r="M76" i="41"/>
  <c r="M72" i="41"/>
  <c r="M68" i="41"/>
  <c r="M53" i="41"/>
  <c r="M57" i="41"/>
  <c r="M61" i="41"/>
  <c r="M65" i="41"/>
  <c r="M75" i="41"/>
  <c r="M71" i="41"/>
  <c r="M67" i="41"/>
  <c r="M50" i="41"/>
  <c r="M54" i="41"/>
  <c r="M58" i="41"/>
  <c r="M62" i="41"/>
  <c r="M74" i="41"/>
  <c r="M70" i="41"/>
  <c r="M66" i="41"/>
  <c r="AD50" i="41"/>
  <c r="AD49" i="41"/>
  <c r="AD53" i="41"/>
  <c r="AD57" i="41"/>
  <c r="AD61" i="41"/>
  <c r="AD65" i="41"/>
  <c r="AD69" i="41"/>
  <c r="AD73" i="41"/>
  <c r="AD77" i="41"/>
  <c r="AD54" i="41"/>
  <c r="AD58" i="41"/>
  <c r="AD62" i="41"/>
  <c r="AD66" i="41"/>
  <c r="AD70" i="41"/>
  <c r="AD74" i="41"/>
  <c r="AD78" i="41"/>
  <c r="AD51" i="41"/>
  <c r="AD55" i="41"/>
  <c r="AD59" i="41"/>
  <c r="AD63" i="41"/>
  <c r="AD67" i="41"/>
  <c r="AD71" i="41"/>
  <c r="AD75" i="41"/>
  <c r="AD52" i="41"/>
  <c r="AD56" i="41"/>
  <c r="AD60" i="41"/>
  <c r="AD64" i="41"/>
  <c r="AD68" i="41"/>
  <c r="AD72" i="41"/>
  <c r="AD76" i="41"/>
  <c r="AH57" i="41" l="1"/>
  <c r="AI57" i="41" s="1"/>
  <c r="AH77" i="41"/>
  <c r="AI77" i="41" s="1"/>
  <c r="AH53" i="41"/>
  <c r="AI53" i="41" s="1"/>
  <c r="AH70" i="41"/>
  <c r="AI70" i="41" s="1"/>
  <c r="AH61" i="41"/>
  <c r="AI61" i="41" s="1"/>
  <c r="AH49" i="41"/>
  <c r="AI49" i="41" s="1"/>
  <c r="AH67" i="41"/>
  <c r="AI67" i="41" s="1"/>
  <c r="AH55" i="41"/>
  <c r="AI55" i="41" s="1"/>
  <c r="AH63" i="41"/>
  <c r="AI63" i="41" s="1"/>
  <c r="AH73" i="41"/>
  <c r="AI73" i="41" s="1"/>
  <c r="AH65" i="41"/>
  <c r="AI65" i="41" s="1"/>
  <c r="AH51" i="41"/>
  <c r="AI51" i="41" s="1"/>
  <c r="AH59" i="41"/>
  <c r="AI59" i="41" s="1"/>
  <c r="AH71" i="41"/>
  <c r="AI71" i="41" s="1"/>
  <c r="AH75" i="41"/>
  <c r="AI75" i="41" s="1"/>
  <c r="AH52" i="41"/>
  <c r="AI52" i="41" s="1"/>
  <c r="AH56" i="41"/>
  <c r="AI56" i="41" s="1"/>
  <c r="AH60" i="41"/>
  <c r="AI60" i="41" s="1"/>
  <c r="AH64" i="41"/>
  <c r="AI64" i="41" s="1"/>
  <c r="AH69" i="41"/>
  <c r="AI69" i="41" s="1"/>
  <c r="AH78" i="41"/>
  <c r="AI78" i="41" s="1"/>
  <c r="AH50" i="41"/>
  <c r="AI50" i="41" s="1"/>
  <c r="AH54" i="41"/>
  <c r="AI54" i="41" s="1"/>
  <c r="AH58" i="41"/>
  <c r="AI58" i="41" s="1"/>
  <c r="AH62" i="41"/>
  <c r="AI62" i="41" s="1"/>
  <c r="AH66" i="41"/>
  <c r="AI66" i="41" s="1"/>
  <c r="AH68" i="41"/>
  <c r="AI68" i="41" s="1"/>
  <c r="AH72" i="41"/>
  <c r="AI72" i="41" s="1"/>
  <c r="AH76" i="41"/>
  <c r="AI76" i="41" s="1"/>
  <c r="AH74" i="41"/>
  <c r="AI74" i="41" s="1"/>
  <c r="R50" i="41"/>
  <c r="R54" i="41"/>
  <c r="R58" i="41"/>
  <c r="R62" i="41"/>
  <c r="R66" i="41"/>
  <c r="R70" i="41"/>
  <c r="R74" i="41"/>
  <c r="R49" i="41"/>
  <c r="R57" i="41"/>
  <c r="R61" i="41"/>
  <c r="R69" i="41"/>
  <c r="R77" i="41"/>
  <c r="R51" i="41"/>
  <c r="R55" i="41"/>
  <c r="R59" i="41"/>
  <c r="R63" i="41"/>
  <c r="R67" i="41"/>
  <c r="R71" i="41"/>
  <c r="R75" i="41"/>
  <c r="R53" i="41"/>
  <c r="R65" i="41"/>
  <c r="R73" i="41"/>
  <c r="R52" i="41"/>
  <c r="R56" i="41"/>
  <c r="R60" i="41"/>
  <c r="R64" i="41"/>
  <c r="R68" i="41"/>
  <c r="R72" i="41"/>
  <c r="R76" i="41"/>
  <c r="AA50" i="41"/>
  <c r="AB50" i="41" s="1"/>
  <c r="AA62" i="41"/>
  <c r="AB62" i="41" s="1"/>
  <c r="AA58" i="41"/>
  <c r="AB58" i="41" s="1"/>
  <c r="AA63" i="41"/>
  <c r="AB63" i="41" s="1"/>
  <c r="AA54" i="41"/>
  <c r="AB54" i="41" s="1"/>
  <c r="AA52" i="41"/>
  <c r="AB52" i="41" s="1"/>
  <c r="AA56" i="41"/>
  <c r="AB56" i="41" s="1"/>
  <c r="AA60" i="41"/>
  <c r="AB60" i="41" s="1"/>
  <c r="AA64" i="41"/>
  <c r="AB64" i="41" s="1"/>
  <c r="AA49" i="41"/>
  <c r="AB49" i="41" s="1"/>
  <c r="AA53" i="41"/>
  <c r="AB53" i="41" s="1"/>
  <c r="AA57" i="41"/>
  <c r="AB57" i="41" s="1"/>
  <c r="AA61" i="41"/>
  <c r="AB61" i="41" s="1"/>
  <c r="AA65" i="41"/>
  <c r="AB65" i="41" s="1"/>
  <c r="AA51" i="41"/>
  <c r="AB51" i="41" s="1"/>
  <c r="AA55" i="41"/>
  <c r="AB55" i="41" s="1"/>
  <c r="AA59" i="41"/>
  <c r="AB59" i="41" s="1"/>
  <c r="U64" i="41" l="1"/>
  <c r="S64" i="41"/>
  <c r="T64" i="41"/>
  <c r="S73" i="41"/>
  <c r="T73" i="41"/>
  <c r="U73" i="41"/>
  <c r="T71" i="41"/>
  <c r="U71" i="41"/>
  <c r="S71" i="41"/>
  <c r="T55" i="41"/>
  <c r="U55" i="41"/>
  <c r="S55" i="41"/>
  <c r="S61" i="41"/>
  <c r="T61" i="41"/>
  <c r="U61" i="41"/>
  <c r="S70" i="41"/>
  <c r="T70" i="41"/>
  <c r="U70" i="41"/>
  <c r="S54" i="41"/>
  <c r="T54" i="41"/>
  <c r="U54" i="41"/>
  <c r="U60" i="41"/>
  <c r="S60" i="41"/>
  <c r="T60" i="41"/>
  <c r="S65" i="41"/>
  <c r="T65" i="41"/>
  <c r="U65" i="41"/>
  <c r="T67" i="41"/>
  <c r="U67" i="41"/>
  <c r="S67" i="41"/>
  <c r="T51" i="41"/>
  <c r="U51" i="41"/>
  <c r="S51" i="41"/>
  <c r="S57" i="41"/>
  <c r="T57" i="41"/>
  <c r="U57" i="41"/>
  <c r="S66" i="41"/>
  <c r="T66" i="41"/>
  <c r="U66" i="41"/>
  <c r="S50" i="41"/>
  <c r="T50" i="41"/>
  <c r="U50" i="41"/>
  <c r="U72" i="41"/>
  <c r="S72" i="41"/>
  <c r="T72" i="41"/>
  <c r="U56" i="41"/>
  <c r="S56" i="41"/>
  <c r="T56" i="41"/>
  <c r="S53" i="41"/>
  <c r="T53" i="41"/>
  <c r="U53" i="41"/>
  <c r="T63" i="41"/>
  <c r="U63" i="41"/>
  <c r="S63" i="41"/>
  <c r="S77" i="41"/>
  <c r="T77" i="41"/>
  <c r="U77" i="41"/>
  <c r="S49" i="41"/>
  <c r="U49" i="41"/>
  <c r="T49" i="41"/>
  <c r="S62" i="41"/>
  <c r="T62" i="41"/>
  <c r="U62" i="41"/>
  <c r="U76" i="41"/>
  <c r="S76" i="41"/>
  <c r="T76" i="41"/>
  <c r="U68" i="41"/>
  <c r="S68" i="41"/>
  <c r="T68" i="41"/>
  <c r="U52" i="41"/>
  <c r="S52" i="41"/>
  <c r="T52" i="41"/>
  <c r="T75" i="41"/>
  <c r="U75" i="41"/>
  <c r="S75" i="41"/>
  <c r="T59" i="41"/>
  <c r="U59" i="41"/>
  <c r="S59" i="41"/>
  <c r="S69" i="41"/>
  <c r="T69" i="41"/>
  <c r="U69" i="41"/>
  <c r="S74" i="41"/>
  <c r="T74" i="41"/>
  <c r="U74" i="41"/>
  <c r="S58" i="41"/>
  <c r="T58" i="41"/>
  <c r="U58" i="41"/>
  <c r="T22" i="16"/>
  <c r="G14" i="27"/>
  <c r="B6" i="28" l="1"/>
  <c r="AK646" i="27"/>
  <c r="AI646" i="27"/>
  <c r="AK645" i="27"/>
  <c r="AI645" i="27"/>
  <c r="AK644" i="27"/>
  <c r="AI644" i="27"/>
  <c r="AK643" i="27"/>
  <c r="AI643" i="27"/>
  <c r="AK642" i="27"/>
  <c r="AI642" i="27"/>
  <c r="AK641" i="27"/>
  <c r="AI641" i="27"/>
  <c r="AK654" i="27"/>
  <c r="AI654" i="27"/>
  <c r="AK653" i="27"/>
  <c r="AI653" i="27"/>
  <c r="AK652" i="27"/>
  <c r="AI652" i="27"/>
  <c r="AK651" i="27"/>
  <c r="AI651" i="27"/>
  <c r="AK650" i="27"/>
  <c r="AI650" i="27"/>
  <c r="AK649" i="27"/>
  <c r="AI649" i="27"/>
  <c r="C17" i="28"/>
  <c r="C16" i="26" s="1"/>
  <c r="D17" i="28"/>
  <c r="E17" i="28"/>
  <c r="F17" i="28"/>
  <c r="G17" i="28"/>
  <c r="B14" i="28"/>
  <c r="C14" i="26" s="1"/>
  <c r="H17" i="28"/>
  <c r="AK550" i="27"/>
  <c r="AI550" i="27"/>
  <c r="AK549" i="27"/>
  <c r="AI549" i="27"/>
  <c r="AK548" i="27"/>
  <c r="AI548" i="27"/>
  <c r="AK547" i="27"/>
  <c r="AI547" i="27"/>
  <c r="AK546" i="27"/>
  <c r="AI546" i="27"/>
  <c r="AK545" i="27"/>
  <c r="AI545" i="27"/>
  <c r="AK502" i="27"/>
  <c r="AI502" i="27"/>
  <c r="AK501" i="27"/>
  <c r="AI501" i="27"/>
  <c r="AK500" i="27"/>
  <c r="AI500" i="27"/>
  <c r="AK499" i="27"/>
  <c r="AI499" i="27"/>
  <c r="AK498" i="27"/>
  <c r="AI498" i="27"/>
  <c r="AK497" i="27"/>
  <c r="AI497" i="27"/>
  <c r="T23" i="16"/>
  <c r="T24" i="16"/>
  <c r="E38" i="27"/>
  <c r="AK494" i="27"/>
  <c r="AI494" i="27"/>
  <c r="AK493" i="27"/>
  <c r="AI493" i="27"/>
  <c r="AK492" i="27"/>
  <c r="AI492" i="27"/>
  <c r="AK491" i="27"/>
  <c r="AI491" i="27"/>
  <c r="AK490" i="27"/>
  <c r="AI490" i="27"/>
  <c r="AK489" i="27"/>
  <c r="AI489" i="27"/>
  <c r="AK542" i="27"/>
  <c r="AI542" i="27"/>
  <c r="AK541" i="27"/>
  <c r="AI541" i="27"/>
  <c r="AK540" i="27"/>
  <c r="AI540" i="27"/>
  <c r="AK539" i="27"/>
  <c r="AI539" i="27"/>
  <c r="AK538" i="27"/>
  <c r="AI538" i="27"/>
  <c r="AK537" i="27"/>
  <c r="AI537" i="27"/>
  <c r="AK1055" i="27"/>
  <c r="AK1054" i="27"/>
  <c r="AK1053" i="27"/>
  <c r="AK1047" i="27"/>
  <c r="AK1046" i="27"/>
  <c r="AK1045" i="27"/>
  <c r="AK1043" i="27"/>
  <c r="AK1042" i="27"/>
  <c r="AK1041" i="27"/>
  <c r="AK1039" i="27"/>
  <c r="AK1038" i="27"/>
  <c r="AK1037" i="27"/>
  <c r="AK1035" i="27"/>
  <c r="AK1034" i="27"/>
  <c r="AK1033" i="27"/>
  <c r="AK1031" i="27"/>
  <c r="AK1030" i="27"/>
  <c r="AK1029" i="27"/>
  <c r="AK1027" i="27"/>
  <c r="AK1026" i="27"/>
  <c r="AK1025" i="27"/>
  <c r="AK1023" i="27"/>
  <c r="AK1022" i="27"/>
  <c r="AK1021" i="27"/>
  <c r="AK1019" i="27"/>
  <c r="AK1018" i="27"/>
  <c r="AK1017" i="27"/>
  <c r="AI530" i="27"/>
  <c r="AK530" i="27"/>
  <c r="AI531" i="27"/>
  <c r="AK531" i="27"/>
  <c r="AI532" i="27"/>
  <c r="AK532" i="27"/>
  <c r="AI533" i="27"/>
  <c r="AK533" i="27"/>
  <c r="AI534" i="27"/>
  <c r="AK534" i="27"/>
  <c r="AK529" i="27"/>
  <c r="AI529" i="27"/>
  <c r="AK526" i="27"/>
  <c r="AI526" i="27"/>
  <c r="AK525" i="27"/>
  <c r="AI525" i="27"/>
  <c r="AK524" i="27"/>
  <c r="AI524" i="27"/>
  <c r="AK523" i="27"/>
  <c r="AI523" i="27"/>
  <c r="AK522" i="27"/>
  <c r="AI522" i="27"/>
  <c r="AK521" i="27"/>
  <c r="AI521" i="27"/>
  <c r="AK482" i="27"/>
  <c r="AK483" i="27"/>
  <c r="AK484" i="27"/>
  <c r="AK485" i="27"/>
  <c r="AK486" i="27"/>
  <c r="AK481" i="27"/>
  <c r="AI482" i="27"/>
  <c r="AI483" i="27"/>
  <c r="AI484" i="27"/>
  <c r="AI485" i="27"/>
  <c r="AI486" i="27"/>
  <c r="AI481" i="27"/>
  <c r="AK989" i="27"/>
  <c r="AI989" i="27"/>
  <c r="AK988" i="27"/>
  <c r="AI988" i="27"/>
  <c r="AK987" i="27"/>
  <c r="AI987" i="27"/>
  <c r="AK986" i="27"/>
  <c r="AI986" i="27"/>
  <c r="AK985" i="27"/>
  <c r="AI985" i="27"/>
  <c r="AK975" i="27"/>
  <c r="AI975" i="27"/>
  <c r="AK974" i="27"/>
  <c r="AI974" i="27"/>
  <c r="AK973" i="27"/>
  <c r="AI973" i="27"/>
  <c r="AK972" i="27"/>
  <c r="AI972" i="27"/>
  <c r="AK971" i="27"/>
  <c r="AI971" i="27"/>
  <c r="AK961" i="27"/>
  <c r="AI961" i="27"/>
  <c r="AK960" i="27"/>
  <c r="AI960" i="27"/>
  <c r="AK959" i="27"/>
  <c r="AI959" i="27"/>
  <c r="AK958" i="27"/>
  <c r="AI958" i="27"/>
  <c r="AK957" i="27"/>
  <c r="AI957" i="27"/>
  <c r="AK938" i="27"/>
  <c r="AI938" i="27"/>
  <c r="AK937" i="27"/>
  <c r="AI937" i="27"/>
  <c r="AK936" i="27"/>
  <c r="AI936" i="27"/>
  <c r="AK935" i="27"/>
  <c r="AI935" i="27"/>
  <c r="AK934" i="27"/>
  <c r="AI934" i="27"/>
  <c r="AK923" i="27"/>
  <c r="AI923" i="27"/>
  <c r="AK922" i="27"/>
  <c r="AI922" i="27"/>
  <c r="AK921" i="27"/>
  <c r="AI921" i="27"/>
  <c r="AK920" i="27"/>
  <c r="AI920" i="27"/>
  <c r="AK919" i="27"/>
  <c r="AI919" i="27"/>
  <c r="AK918" i="27"/>
  <c r="AI918" i="27"/>
  <c r="AK908" i="27"/>
  <c r="AI908" i="27"/>
  <c r="AK907" i="27"/>
  <c r="AI907" i="27"/>
  <c r="AK906" i="27"/>
  <c r="AI906" i="27"/>
  <c r="AK905" i="27"/>
  <c r="AI905" i="27"/>
  <c r="AK904" i="27"/>
  <c r="AI904" i="27"/>
  <c r="AK894" i="27"/>
  <c r="AI894" i="27"/>
  <c r="AK893" i="27"/>
  <c r="AI893" i="27"/>
  <c r="AK892" i="27"/>
  <c r="AI892" i="27"/>
  <c r="AK891" i="27"/>
  <c r="AI891" i="27"/>
  <c r="AK890" i="27"/>
  <c r="AI890" i="27"/>
  <c r="AK879" i="27"/>
  <c r="AI879" i="27"/>
  <c r="AK878" i="27"/>
  <c r="AI878" i="27"/>
  <c r="AK877" i="27"/>
  <c r="AI877" i="27"/>
  <c r="AK876" i="27"/>
  <c r="AI876" i="27"/>
  <c r="AK875" i="27"/>
  <c r="AI875" i="27"/>
  <c r="AK874" i="27"/>
  <c r="AI874" i="27"/>
  <c r="AK863" i="27"/>
  <c r="AI863" i="27"/>
  <c r="AK862" i="27"/>
  <c r="AI862" i="27"/>
  <c r="AK861" i="27"/>
  <c r="AI861" i="27"/>
  <c r="AK860" i="27"/>
  <c r="AI860" i="27"/>
  <c r="AK859" i="27"/>
  <c r="AI859" i="27"/>
  <c r="AK858" i="27"/>
  <c r="AI858" i="27"/>
  <c r="AK847" i="27"/>
  <c r="AI847" i="27"/>
  <c r="AK846" i="27"/>
  <c r="AI846" i="27"/>
  <c r="AK845" i="27"/>
  <c r="AI845" i="27"/>
  <c r="AK844" i="27"/>
  <c r="AI844" i="27"/>
  <c r="AK843" i="27"/>
  <c r="AI843" i="27"/>
  <c r="AK842" i="27"/>
  <c r="AI842" i="27"/>
  <c r="AK831" i="27"/>
  <c r="AI831" i="27"/>
  <c r="AK830" i="27"/>
  <c r="AI830" i="27"/>
  <c r="AK829" i="27"/>
  <c r="AI829" i="27"/>
  <c r="AK828" i="27"/>
  <c r="AI828" i="27"/>
  <c r="AK827" i="27"/>
  <c r="AI827" i="27"/>
  <c r="AK826" i="27"/>
  <c r="AI826" i="27"/>
  <c r="AK791" i="27"/>
  <c r="AI791" i="27"/>
  <c r="AK790" i="27"/>
  <c r="AI790" i="27"/>
  <c r="AK789" i="27"/>
  <c r="AI789" i="27"/>
  <c r="AK788" i="27"/>
  <c r="AI788" i="27"/>
  <c r="AK787" i="27"/>
  <c r="AI787" i="27"/>
  <c r="AK786" i="27"/>
  <c r="AI786" i="27"/>
  <c r="AK743" i="27"/>
  <c r="AI743" i="27"/>
  <c r="AK742" i="27"/>
  <c r="AI742" i="27"/>
  <c r="AK741" i="27"/>
  <c r="AI741" i="27"/>
  <c r="AK740" i="27"/>
  <c r="AI740" i="27"/>
  <c r="AK739" i="27"/>
  <c r="AI739" i="27"/>
  <c r="AK738" i="27"/>
  <c r="AI738" i="27"/>
  <c r="AK693" i="27"/>
  <c r="AI693" i="27"/>
  <c r="AK692" i="27"/>
  <c r="AI692" i="27"/>
  <c r="AK691" i="27"/>
  <c r="AI691" i="27"/>
  <c r="AK690" i="27"/>
  <c r="AI690" i="27"/>
  <c r="AK689" i="27"/>
  <c r="AI689" i="27"/>
  <c r="AK678" i="27"/>
  <c r="AI678" i="27"/>
  <c r="AK677" i="27"/>
  <c r="AI677" i="27"/>
  <c r="AK676" i="27"/>
  <c r="AI676" i="27"/>
  <c r="AK675" i="27"/>
  <c r="AI675" i="27"/>
  <c r="AK674" i="27"/>
  <c r="AI674" i="27"/>
  <c r="AK673" i="27"/>
  <c r="AI673" i="27"/>
  <c r="AK630" i="27"/>
  <c r="AI630" i="27"/>
  <c r="AK629" i="27"/>
  <c r="AI629" i="27"/>
  <c r="AK628" i="27"/>
  <c r="AI628" i="27"/>
  <c r="AK627" i="27"/>
  <c r="AI627" i="27"/>
  <c r="AK626" i="27"/>
  <c r="AI626" i="27"/>
  <c r="AK625" i="27"/>
  <c r="AI625" i="27"/>
  <c r="AK598" i="27"/>
  <c r="AI598" i="27"/>
  <c r="AK597" i="27"/>
  <c r="AI597" i="27"/>
  <c r="AK596" i="27"/>
  <c r="AI596" i="27"/>
  <c r="AK595" i="27"/>
  <c r="AI595" i="27"/>
  <c r="AK594" i="27"/>
  <c r="AI594" i="27"/>
  <c r="AK593" i="27"/>
  <c r="AI593" i="27"/>
  <c r="AK574" i="27"/>
  <c r="AI574" i="27"/>
  <c r="AK573" i="27"/>
  <c r="AI573" i="27"/>
  <c r="AK572" i="27"/>
  <c r="AI572" i="27"/>
  <c r="AK571" i="27"/>
  <c r="AI571" i="27"/>
  <c r="AK570" i="27"/>
  <c r="AI570" i="27"/>
  <c r="AK569" i="27"/>
  <c r="AI569" i="27"/>
  <c r="AK558" i="27"/>
  <c r="AI558" i="27"/>
  <c r="AK557" i="27"/>
  <c r="AI557" i="27"/>
  <c r="AK556" i="27"/>
  <c r="AI556" i="27"/>
  <c r="AK555" i="27"/>
  <c r="AI555" i="27"/>
  <c r="AK554" i="27"/>
  <c r="AI554" i="27"/>
  <c r="AK553" i="27"/>
  <c r="AI553" i="27"/>
  <c r="AK510" i="27"/>
  <c r="AI510" i="27"/>
  <c r="AK509" i="27"/>
  <c r="AI509" i="27"/>
  <c r="AK508" i="27"/>
  <c r="AI508" i="27"/>
  <c r="AK507" i="27"/>
  <c r="AI507" i="27"/>
  <c r="AK506" i="27"/>
  <c r="AI506" i="27"/>
  <c r="AK505" i="27"/>
  <c r="AI505" i="27"/>
  <c r="AK454" i="27"/>
  <c r="AI454" i="27"/>
  <c r="AK453" i="27"/>
  <c r="AI453" i="27"/>
  <c r="AK452" i="27"/>
  <c r="AI452" i="27"/>
  <c r="AK451" i="27"/>
  <c r="AI451" i="27"/>
  <c r="AK450" i="27"/>
  <c r="AI450" i="27"/>
  <c r="AK449" i="27"/>
  <c r="AI449" i="27"/>
  <c r="AK446" i="27"/>
  <c r="AI446" i="27"/>
  <c r="AK445" i="27"/>
  <c r="AI445" i="27"/>
  <c r="AK444" i="27"/>
  <c r="AI444" i="27"/>
  <c r="AK443" i="27"/>
  <c r="AI443" i="27"/>
  <c r="AK442" i="27"/>
  <c r="AI442" i="27"/>
  <c r="AK441" i="27"/>
  <c r="AI441" i="27"/>
  <c r="AK430" i="27"/>
  <c r="AI430" i="27"/>
  <c r="AK429" i="27"/>
  <c r="AI429" i="27"/>
  <c r="AK428" i="27"/>
  <c r="AI428" i="27"/>
  <c r="AK427" i="27"/>
  <c r="AI427" i="27"/>
  <c r="AK426" i="27"/>
  <c r="AI426" i="27"/>
  <c r="AK425" i="27"/>
  <c r="AI425" i="27"/>
  <c r="AK415" i="27"/>
  <c r="AI415" i="27"/>
  <c r="AK414" i="27"/>
  <c r="AI414" i="27"/>
  <c r="AK413" i="27"/>
  <c r="AI413" i="27"/>
  <c r="AK412" i="27"/>
  <c r="AI412" i="27"/>
  <c r="AK411" i="27"/>
  <c r="AI411" i="27"/>
  <c r="AK401" i="27"/>
  <c r="AI401" i="27"/>
  <c r="AK400" i="27"/>
  <c r="AI400" i="27"/>
  <c r="AK399" i="27"/>
  <c r="AI399" i="27"/>
  <c r="AK398" i="27"/>
  <c r="AI398" i="27"/>
  <c r="AK397" i="27"/>
  <c r="AI397" i="27"/>
  <c r="AK387" i="27"/>
  <c r="AI387" i="27"/>
  <c r="AK386" i="27"/>
  <c r="AI386" i="27"/>
  <c r="AK385" i="27"/>
  <c r="AI385" i="27"/>
  <c r="AK384" i="27"/>
  <c r="AI384" i="27"/>
  <c r="AK383" i="27"/>
  <c r="AI383" i="27"/>
  <c r="AK373" i="27"/>
  <c r="AI373" i="27"/>
  <c r="AK372" i="27"/>
  <c r="AI372" i="27"/>
  <c r="AK371" i="27"/>
  <c r="AI371" i="27"/>
  <c r="AK370" i="27"/>
  <c r="AI370" i="27"/>
  <c r="AK369" i="27"/>
  <c r="AI369" i="27"/>
  <c r="AK359" i="27"/>
  <c r="AI359" i="27"/>
  <c r="AK358" i="27"/>
  <c r="AI358" i="27"/>
  <c r="AK357" i="27"/>
  <c r="AI357" i="27"/>
  <c r="AK356" i="27"/>
  <c r="AI356" i="27"/>
  <c r="AK355" i="27"/>
  <c r="AI355" i="27"/>
  <c r="AK345" i="27"/>
  <c r="AI345" i="27"/>
  <c r="AK344" i="27"/>
  <c r="AI344" i="27"/>
  <c r="AK343" i="27"/>
  <c r="AI343" i="27"/>
  <c r="AK342" i="27"/>
  <c r="AI342" i="27"/>
  <c r="AK341" i="27"/>
  <c r="AI341" i="27"/>
  <c r="AK331" i="27"/>
  <c r="AI331" i="27"/>
  <c r="AK330" i="27"/>
  <c r="AI330" i="27"/>
  <c r="AK329" i="27"/>
  <c r="AI329" i="27"/>
  <c r="AK328" i="27"/>
  <c r="AI328" i="27"/>
  <c r="AK327" i="27"/>
  <c r="AI327" i="27"/>
  <c r="AK317" i="27"/>
  <c r="AI317" i="27"/>
  <c r="AK316" i="27"/>
  <c r="AI316" i="27"/>
  <c r="AK315" i="27"/>
  <c r="AI315" i="27"/>
  <c r="AK314" i="27"/>
  <c r="AI314" i="27"/>
  <c r="AK313" i="27"/>
  <c r="AI313" i="27"/>
  <c r="AK303" i="27"/>
  <c r="AI303" i="27"/>
  <c r="AK302" i="27"/>
  <c r="AI302" i="27"/>
  <c r="AK301" i="27"/>
  <c r="AI301" i="27"/>
  <c r="AK300" i="27"/>
  <c r="AI300" i="27"/>
  <c r="AK299" i="27"/>
  <c r="AI299" i="27"/>
  <c r="AK289" i="27"/>
  <c r="AI289" i="27"/>
  <c r="AK288" i="27"/>
  <c r="AI288" i="27"/>
  <c r="AK287" i="27"/>
  <c r="AI287" i="27"/>
  <c r="AK286" i="27"/>
  <c r="AI286" i="27"/>
  <c r="AK285" i="27"/>
  <c r="AI285" i="27"/>
  <c r="AK275" i="27"/>
  <c r="AI275" i="27"/>
  <c r="AK274" i="27"/>
  <c r="AI274" i="27"/>
  <c r="AK273" i="27"/>
  <c r="AI273" i="27"/>
  <c r="AK272" i="27"/>
  <c r="AI272" i="27"/>
  <c r="AK271" i="27"/>
  <c r="AI271" i="27"/>
  <c r="AK261" i="27"/>
  <c r="AI261" i="27"/>
  <c r="AK260" i="27"/>
  <c r="AI260" i="27"/>
  <c r="AK259" i="27"/>
  <c r="AI259" i="27"/>
  <c r="AK258" i="27"/>
  <c r="AI258" i="27"/>
  <c r="AK257" i="27"/>
  <c r="AI257" i="27"/>
  <c r="AK247" i="27"/>
  <c r="AI247" i="27"/>
  <c r="AK246" i="27"/>
  <c r="AI246" i="27"/>
  <c r="AK245" i="27"/>
  <c r="AI245" i="27"/>
  <c r="AK244" i="27"/>
  <c r="AI244" i="27"/>
  <c r="AK243" i="27"/>
  <c r="AI243" i="27"/>
  <c r="AK233" i="27"/>
  <c r="AI233" i="27"/>
  <c r="AK232" i="27"/>
  <c r="AI232" i="27"/>
  <c r="AK231" i="27"/>
  <c r="AI231" i="27"/>
  <c r="AK230" i="27"/>
  <c r="AI230" i="27"/>
  <c r="AK229" i="27"/>
  <c r="AI229" i="27"/>
  <c r="AK219" i="27"/>
  <c r="AI219" i="27"/>
  <c r="AK218" i="27"/>
  <c r="AI218" i="27"/>
  <c r="AK217" i="27"/>
  <c r="AI217" i="27"/>
  <c r="AK216" i="27"/>
  <c r="AI216" i="27"/>
  <c r="AK215" i="27"/>
  <c r="AI215" i="27"/>
  <c r="AK205" i="27"/>
  <c r="AI205" i="27"/>
  <c r="AK204" i="27"/>
  <c r="AI204" i="27"/>
  <c r="AK203" i="27"/>
  <c r="AI203" i="27"/>
  <c r="AK202" i="27"/>
  <c r="AI202" i="27"/>
  <c r="AK201" i="27"/>
  <c r="AI201" i="27"/>
  <c r="AK191" i="27"/>
  <c r="AI191" i="27"/>
  <c r="AK190" i="27"/>
  <c r="AI190" i="27"/>
  <c r="AK189" i="27"/>
  <c r="AI189" i="27"/>
  <c r="AK188" i="27"/>
  <c r="AI188" i="27"/>
  <c r="AK187" i="27"/>
  <c r="AI187" i="27"/>
  <c r="AK177" i="27"/>
  <c r="AI177" i="27"/>
  <c r="AK176" i="27"/>
  <c r="AI176" i="27"/>
  <c r="AK175" i="27"/>
  <c r="AI175" i="27"/>
  <c r="AK174" i="27"/>
  <c r="AI174" i="27"/>
  <c r="AK173" i="27"/>
  <c r="AI173" i="27"/>
  <c r="AK163" i="27"/>
  <c r="AI163" i="27"/>
  <c r="AK162" i="27"/>
  <c r="AI162" i="27"/>
  <c r="AK161" i="27"/>
  <c r="AI161" i="27"/>
  <c r="AK160" i="27"/>
  <c r="AI160" i="27"/>
  <c r="AK159" i="27"/>
  <c r="AI159" i="27"/>
  <c r="AK149" i="27"/>
  <c r="AI149" i="27"/>
  <c r="AK148" i="27"/>
  <c r="AI148" i="27"/>
  <c r="AK147" i="27"/>
  <c r="AI147" i="27"/>
  <c r="AK146" i="27"/>
  <c r="AI146" i="27"/>
  <c r="AK145" i="27"/>
  <c r="AI145" i="27"/>
  <c r="AK135" i="27"/>
  <c r="AI135" i="27"/>
  <c r="AK134" i="27"/>
  <c r="AI134" i="27"/>
  <c r="AK133" i="27"/>
  <c r="AI133" i="27"/>
  <c r="AK132" i="27"/>
  <c r="AI132" i="27"/>
  <c r="AK131" i="27"/>
  <c r="AI131" i="27"/>
  <c r="AK121" i="27"/>
  <c r="AI121" i="27"/>
  <c r="AK120" i="27"/>
  <c r="AI120" i="27"/>
  <c r="AK119" i="27"/>
  <c r="AI119" i="27"/>
  <c r="AK118" i="27"/>
  <c r="AI118" i="27"/>
  <c r="AK117" i="27"/>
  <c r="AI117" i="27"/>
  <c r="AK100" i="27"/>
  <c r="AI100" i="27"/>
  <c r="AK99" i="27"/>
  <c r="AI99" i="27"/>
  <c r="AK98" i="27"/>
  <c r="AI98" i="27"/>
  <c r="AK97" i="27"/>
  <c r="AI97" i="27"/>
  <c r="AK96" i="27"/>
  <c r="AI96" i="27"/>
  <c r="AK93" i="27"/>
  <c r="AI93" i="27"/>
  <c r="AK92" i="27"/>
  <c r="AI92" i="27"/>
  <c r="AK91" i="27"/>
  <c r="AI91" i="27"/>
  <c r="AK90" i="27"/>
  <c r="AI90" i="27"/>
  <c r="AK89" i="27"/>
  <c r="AI89" i="27"/>
  <c r="AK79" i="27"/>
  <c r="AI79" i="27"/>
  <c r="AK78" i="27"/>
  <c r="AI78" i="27"/>
  <c r="AK77" i="27"/>
  <c r="AI77" i="27"/>
  <c r="AK76" i="27"/>
  <c r="AI76" i="27"/>
  <c r="AK75" i="27"/>
  <c r="AI75" i="27"/>
  <c r="AK65" i="27"/>
  <c r="AI65" i="27"/>
  <c r="AK64" i="27"/>
  <c r="AI64" i="27"/>
  <c r="AK63" i="27"/>
  <c r="AI63" i="27"/>
  <c r="AK62" i="27"/>
  <c r="AI62" i="27"/>
  <c r="AK61" i="27"/>
  <c r="AI61" i="27"/>
  <c r="AK50" i="27"/>
  <c r="AI50" i="27"/>
  <c r="AK49" i="27"/>
  <c r="AI49" i="27"/>
  <c r="AK48" i="27"/>
  <c r="AI48" i="27"/>
  <c r="AK47" i="27"/>
  <c r="AI47" i="27"/>
  <c r="AK46" i="27"/>
  <c r="AI46" i="27"/>
  <c r="AK39" i="27"/>
  <c r="AI39" i="27"/>
  <c r="AK38" i="27"/>
  <c r="AJ38" i="27"/>
  <c r="AI38" i="27"/>
  <c r="AK473" i="27"/>
  <c r="AK43" i="27"/>
  <c r="AI478" i="27"/>
  <c r="AI477" i="27"/>
  <c r="AK475" i="27"/>
  <c r="AK478" i="27"/>
  <c r="AI473" i="27"/>
  <c r="AK474" i="27"/>
  <c r="AI43" i="27"/>
  <c r="AI42" i="27"/>
  <c r="AK477" i="27"/>
  <c r="AI475" i="27"/>
  <c r="AK476" i="27"/>
  <c r="AK42" i="27"/>
  <c r="AI476" i="27"/>
  <c r="AI474" i="27"/>
  <c r="D5" i="16"/>
  <c r="AD9" i="16"/>
  <c r="AC9" i="16"/>
  <c r="AB9" i="16"/>
  <c r="AA9" i="16"/>
  <c r="Z9" i="16"/>
  <c r="Y9" i="16"/>
  <c r="X9" i="16"/>
  <c r="W9" i="16"/>
  <c r="V9" i="16"/>
  <c r="U9" i="16"/>
  <c r="T9" i="16"/>
  <c r="S9" i="16"/>
  <c r="R9" i="16"/>
  <c r="R21" i="16" s="1"/>
  <c r="Q9" i="16"/>
  <c r="Q21" i="16" s="1"/>
  <c r="P9" i="16"/>
  <c r="P21" i="16" s="1"/>
  <c r="O9" i="16"/>
  <c r="O21" i="16" s="1"/>
  <c r="N9" i="16"/>
  <c r="N21" i="16" s="1"/>
  <c r="M9" i="16"/>
  <c r="M21" i="16" s="1"/>
  <c r="L9" i="16"/>
  <c r="L21" i="16" s="1"/>
  <c r="K9" i="16"/>
  <c r="K21" i="16" s="1"/>
  <c r="J9" i="16"/>
  <c r="J21" i="16" s="1"/>
  <c r="I9" i="16"/>
  <c r="I21" i="16" s="1"/>
  <c r="H9" i="16"/>
  <c r="H21" i="16" s="1"/>
  <c r="G9" i="16"/>
  <c r="G21" i="16" s="1"/>
  <c r="F9" i="16"/>
  <c r="F21" i="16" s="1"/>
  <c r="E9" i="16"/>
  <c r="E21" i="16" s="1"/>
  <c r="D9" i="16"/>
  <c r="D21" i="16" s="1"/>
  <c r="C9" i="16"/>
  <c r="C21" i="16" s="1"/>
  <c r="AH9" i="16"/>
  <c r="AG9" i="16"/>
  <c r="S21" i="16" s="1"/>
  <c r="AF9" i="16"/>
  <c r="AE9" i="16"/>
  <c r="D4" i="16"/>
  <c r="D2" i="24"/>
  <c r="D8" i="26"/>
  <c r="E8" i="26" s="1"/>
  <c r="F8" i="26" s="1"/>
  <c r="G8" i="26" s="1"/>
  <c r="D6" i="26"/>
  <c r="E6" i="26" s="1"/>
  <c r="F6" i="26" s="1"/>
  <c r="G6" i="26" s="1"/>
  <c r="H6" i="26" s="1"/>
  <c r="AK420" i="27"/>
  <c r="AK882" i="27"/>
  <c r="AK154" i="27"/>
  <c r="AK264" i="27"/>
  <c r="AK883" i="27"/>
  <c r="AK114" i="27"/>
  <c r="AK279" i="27"/>
  <c r="AK821" i="27"/>
  <c r="AK309" i="27"/>
  <c r="AK237" i="27"/>
  <c r="AK182" i="27"/>
  <c r="AK685" i="27"/>
  <c r="AK250" i="27"/>
  <c r="AK170" i="27"/>
  <c r="AK635" i="27"/>
  <c r="AK208" i="27"/>
  <c r="AK194" i="27"/>
  <c r="AK280" i="27"/>
  <c r="AK853" i="27"/>
  <c r="AK142" i="27"/>
  <c r="AK307" i="27"/>
  <c r="AI86" i="27"/>
  <c r="AI252" i="27"/>
  <c r="AI636" i="27"/>
  <c r="AI590" i="27"/>
  <c r="AI348" i="27"/>
  <c r="AK152" i="27"/>
  <c r="AK138" i="27"/>
  <c r="AI684" i="27"/>
  <c r="AI422" i="27"/>
  <c r="AI818" i="27"/>
  <c r="AK72" i="27"/>
  <c r="AK996" i="27"/>
  <c r="AK638" i="27"/>
  <c r="AI84" i="27"/>
  <c r="AI264" i="27"/>
  <c r="AI349" i="27"/>
  <c r="AK349" i="27"/>
  <c r="AI153" i="27"/>
  <c r="AI194" i="27"/>
  <c r="AK780" i="27"/>
  <c r="AI334" i="27"/>
  <c r="AI634" i="27"/>
  <c r="AK168" i="27"/>
  <c r="AI168" i="27"/>
  <c r="AI141" i="27"/>
  <c r="AK254" i="27"/>
  <c r="AI254" i="27"/>
  <c r="AI156" i="27"/>
  <c r="AI404" i="27"/>
  <c r="AI124" i="27"/>
  <c r="AI114" i="27"/>
  <c r="AK735" i="27"/>
  <c r="AK633" i="27"/>
  <c r="AK822" i="27"/>
  <c r="AI282" i="27"/>
  <c r="AI589" i="27"/>
  <c r="AK589" i="27"/>
  <c r="AI965" i="27"/>
  <c r="AK390" i="27"/>
  <c r="AK111" i="27"/>
  <c r="AI621" i="27"/>
  <c r="AI365" i="27"/>
  <c r="AK306" i="27"/>
  <c r="AI836" i="27"/>
  <c r="AI296" i="27"/>
  <c r="AK733" i="27"/>
  <c r="AK225" i="27"/>
  <c r="AI618" i="27"/>
  <c r="AI868" i="27"/>
  <c r="AK585" i="27"/>
  <c r="AK308" i="27"/>
  <c r="AK364" i="27"/>
  <c r="AI321" i="27"/>
  <c r="AI324" i="27"/>
  <c r="AI378" i="27"/>
  <c r="AI915" i="27"/>
  <c r="AK820" i="27"/>
  <c r="AK886" i="27"/>
  <c r="AI69" i="27"/>
  <c r="AI394" i="27"/>
  <c r="AK418" i="27"/>
  <c r="AI682" i="27"/>
  <c r="AK682" i="27"/>
  <c r="AI72" i="27"/>
  <c r="AK966" i="27"/>
  <c r="AI71" i="27"/>
  <c r="AI181" i="27"/>
  <c r="AK885" i="27"/>
  <c r="AI54" i="27"/>
  <c r="AK351" i="27"/>
  <c r="AI351" i="27"/>
  <c r="AK406" i="27"/>
  <c r="AK899" i="27"/>
  <c r="AK180" i="27"/>
  <c r="AK110" i="27"/>
  <c r="AK834" i="27"/>
  <c r="AI309" i="27"/>
  <c r="AK169" i="27"/>
  <c r="AK965" i="27"/>
  <c r="AK392" i="27"/>
  <c r="AI392" i="27"/>
  <c r="AI871" i="27"/>
  <c r="AK211" i="27"/>
  <c r="AK884" i="27"/>
  <c r="AI82" i="27"/>
  <c r="AI782" i="27"/>
  <c r="AK127" i="27"/>
  <c r="AI127" i="27"/>
  <c r="AK867" i="27"/>
  <c r="AK981" i="27"/>
  <c r="AK183" i="27"/>
  <c r="AK365" i="27"/>
  <c r="AK954" i="27"/>
  <c r="AK377" i="27"/>
  <c r="AK407" i="27"/>
  <c r="AK967" i="27"/>
  <c r="AK779" i="27"/>
  <c r="AI366" i="27"/>
  <c r="AI197" i="27"/>
  <c r="AK197" i="27"/>
  <c r="AI850" i="27"/>
  <c r="AK224" i="27"/>
  <c r="AI928" i="27"/>
  <c r="AK238" i="27"/>
  <c r="AK321" i="27"/>
  <c r="AI266" i="27"/>
  <c r="AK350" i="27"/>
  <c r="AI265" i="27"/>
  <c r="AK128" i="27"/>
  <c r="AK198" i="27"/>
  <c r="AK419" i="27"/>
  <c r="AK323" i="27"/>
  <c r="AK926" i="27"/>
  <c r="AI251" i="27"/>
  <c r="AK251" i="27"/>
  <c r="AK69" i="27"/>
  <c r="AK58" i="27"/>
  <c r="AK620" i="27"/>
  <c r="AI980" i="27"/>
  <c r="AI154" i="27"/>
  <c r="AK86" i="27"/>
  <c r="AI184" i="27"/>
  <c r="AI819" i="27"/>
  <c r="AK636" i="27"/>
  <c r="AK851" i="27"/>
  <c r="AI781" i="27"/>
  <c r="AI239" i="27"/>
  <c r="AI138" i="27"/>
  <c r="AI418" i="27"/>
  <c r="AI930" i="27"/>
  <c r="AK422" i="27"/>
  <c r="AI882" i="27"/>
  <c r="AK71" i="27"/>
  <c r="AK617" i="27"/>
  <c r="AK587" i="27"/>
  <c r="AI212" i="27"/>
  <c r="AI406" i="27"/>
  <c r="AK405" i="27"/>
  <c r="AI834" i="27"/>
  <c r="AI279" i="27"/>
  <c r="AK637" i="27"/>
  <c r="AK686" i="27"/>
  <c r="AI822" i="27"/>
  <c r="AK125" i="27"/>
  <c r="AI182" i="27"/>
  <c r="AI884" i="27"/>
  <c r="AI981" i="27"/>
  <c r="AI183" i="27"/>
  <c r="AI253" i="27"/>
  <c r="AK393" i="27"/>
  <c r="AK337" i="27"/>
  <c r="AK293" i="27"/>
  <c r="AI407" i="27"/>
  <c r="AK296" i="27"/>
  <c r="AK338" i="27"/>
  <c r="AK855" i="27"/>
  <c r="AK900" i="27"/>
  <c r="AI224" i="27"/>
  <c r="AI322" i="27"/>
  <c r="AI238" i="27"/>
  <c r="AK927" i="27"/>
  <c r="AI622" i="27"/>
  <c r="AK222" i="27"/>
  <c r="AI128" i="27"/>
  <c r="AI198" i="27"/>
  <c r="AK268" i="27"/>
  <c r="AI295" i="27"/>
  <c r="AI964" i="27"/>
  <c r="AK783" i="27"/>
  <c r="AI783" i="27"/>
  <c r="AK590" i="27"/>
  <c r="AI851" i="27"/>
  <c r="AI278" i="27"/>
  <c r="AI391" i="27"/>
  <c r="AK684" i="27"/>
  <c r="AI167" i="27"/>
  <c r="AK167" i="27"/>
  <c r="AK683" i="27"/>
  <c r="AI982" i="27"/>
  <c r="AK84" i="27"/>
  <c r="AK181" i="27"/>
  <c r="AI852" i="27"/>
  <c r="AK968" i="27"/>
  <c r="AI617" i="27"/>
  <c r="AK914" i="27"/>
  <c r="AK408" i="27"/>
  <c r="AI405" i="27"/>
  <c r="AI110" i="27"/>
  <c r="AK352" i="27"/>
  <c r="AK336" i="27"/>
  <c r="AI140" i="27"/>
  <c r="AI125" i="27"/>
  <c r="AK734" i="27"/>
  <c r="AI209" i="27"/>
  <c r="AI867" i="27"/>
  <c r="AI420" i="27"/>
  <c r="AI421" i="27"/>
  <c r="AK732" i="27"/>
  <c r="AK866" i="27"/>
  <c r="AK931" i="27"/>
  <c r="AI281" i="27"/>
  <c r="AK112" i="27"/>
  <c r="AK210" i="27"/>
  <c r="AK868" i="27"/>
  <c r="AK322" i="27"/>
  <c r="AI55" i="27"/>
  <c r="AK266" i="27"/>
  <c r="AI250" i="27"/>
  <c r="AI778" i="27"/>
  <c r="AI419" i="27"/>
  <c r="AI926" i="27"/>
  <c r="AK223" i="27"/>
  <c r="AK294" i="27"/>
  <c r="AK980" i="27"/>
  <c r="AI996" i="27"/>
  <c r="AI735" i="27"/>
  <c r="AI280" i="27"/>
  <c r="AI821" i="27"/>
  <c r="AK140" i="27"/>
  <c r="AI211" i="27"/>
  <c r="AI853" i="27"/>
  <c r="AI681" i="27"/>
  <c r="AI954" i="27"/>
  <c r="AI377" i="27"/>
  <c r="AI967" i="27"/>
  <c r="AI685" i="27"/>
  <c r="AI225" i="27"/>
  <c r="AI308" i="27"/>
  <c r="AK622" i="27"/>
  <c r="AK376" i="27"/>
  <c r="AK778" i="27"/>
  <c r="AI323" i="27"/>
  <c r="AI886" i="27"/>
  <c r="AK363" i="27"/>
  <c r="AI196" i="27"/>
  <c r="AI823" i="27"/>
  <c r="AK952" i="27"/>
  <c r="AI226" i="27"/>
  <c r="AI152" i="27"/>
  <c r="AK391" i="27"/>
  <c r="AK781" i="27"/>
  <c r="AI155" i="27"/>
  <c r="AK887" i="27"/>
  <c r="AI966" i="27"/>
  <c r="AK56" i="27"/>
  <c r="AI854" i="27"/>
  <c r="AK854" i="27"/>
  <c r="AI139" i="27"/>
  <c r="AK153" i="27"/>
  <c r="AI335" i="27"/>
  <c r="AI968" i="27"/>
  <c r="AK310" i="27"/>
  <c r="AI126" i="27"/>
  <c r="AK126" i="27"/>
  <c r="AI587" i="27"/>
  <c r="AK212" i="27"/>
  <c r="AK156" i="27"/>
  <c r="AI899" i="27"/>
  <c r="AI408" i="27"/>
  <c r="AK362" i="27"/>
  <c r="AK586" i="27"/>
  <c r="AK124" i="27"/>
  <c r="AK70" i="27"/>
  <c r="AI633" i="27"/>
  <c r="AK267" i="27"/>
  <c r="AK995" i="27"/>
  <c r="AK320" i="27"/>
  <c r="AK209" i="27"/>
  <c r="AK838" i="27"/>
  <c r="AK57" i="27"/>
  <c r="AK421" i="27"/>
  <c r="AI142" i="27"/>
  <c r="AI393" i="27"/>
  <c r="AI293" i="27"/>
  <c r="AK83" i="27"/>
  <c r="AK281" i="27"/>
  <c r="AI338" i="27"/>
  <c r="AI855" i="27"/>
  <c r="AI900" i="27"/>
  <c r="AK588" i="27"/>
  <c r="AI364" i="27"/>
  <c r="AK113" i="27"/>
  <c r="AI927" i="27"/>
  <c r="AK929" i="27"/>
  <c r="AK324" i="27"/>
  <c r="AI350" i="27"/>
  <c r="AI376" i="27"/>
  <c r="AI170" i="27"/>
  <c r="AK240" i="27"/>
  <c r="AK913" i="27"/>
  <c r="AI820" i="27"/>
  <c r="AI294" i="27"/>
  <c r="AK196" i="27"/>
  <c r="AK835" i="27"/>
  <c r="AK819" i="27"/>
  <c r="AK226" i="27"/>
  <c r="AK348" i="27"/>
  <c r="AK292" i="27"/>
  <c r="AK239" i="27"/>
  <c r="AI683" i="27"/>
  <c r="AI638" i="27"/>
  <c r="AK139" i="27"/>
  <c r="AI885" i="27"/>
  <c r="AK335" i="27"/>
  <c r="AI883" i="27"/>
  <c r="AI780" i="27"/>
  <c r="AK852" i="27"/>
  <c r="AK334" i="27"/>
  <c r="AI914" i="27"/>
  <c r="AI839" i="27"/>
  <c r="AI180" i="27"/>
  <c r="AK870" i="27"/>
  <c r="AK379" i="27"/>
  <c r="AI379" i="27"/>
  <c r="AI336" i="27"/>
  <c r="AI637" i="27"/>
  <c r="AK869" i="27"/>
  <c r="AK282" i="27"/>
  <c r="AI237" i="27"/>
  <c r="AI320" i="27"/>
  <c r="AI236" i="27"/>
  <c r="AK236" i="27"/>
  <c r="AI837" i="27"/>
  <c r="AK82" i="27"/>
  <c r="AI57" i="27"/>
  <c r="AK621" i="27"/>
  <c r="AK253" i="27"/>
  <c r="AI306" i="27"/>
  <c r="AI732" i="27"/>
  <c r="AI931" i="27"/>
  <c r="AI733" i="27"/>
  <c r="AI83" i="27"/>
  <c r="AK366" i="27"/>
  <c r="AI994" i="27"/>
  <c r="AK994" i="27"/>
  <c r="AK618" i="27"/>
  <c r="AK850" i="27"/>
  <c r="AK915" i="27"/>
  <c r="AK195" i="27"/>
  <c r="AI223" i="27"/>
  <c r="AI58" i="27"/>
  <c r="AI620" i="27"/>
  <c r="AK184" i="27"/>
  <c r="AK252" i="27"/>
  <c r="AI166" i="27"/>
  <c r="AI952" i="27"/>
  <c r="AK982" i="27"/>
  <c r="AK634" i="27"/>
  <c r="AI686" i="27"/>
  <c r="AI169" i="27"/>
  <c r="AI779" i="27"/>
  <c r="AI210" i="27"/>
  <c r="AI585" i="27"/>
  <c r="AI113" i="27"/>
  <c r="AI222" i="27"/>
  <c r="AI307" i="27"/>
  <c r="AI240" i="27"/>
  <c r="AK166" i="27"/>
  <c r="AI208" i="27"/>
  <c r="AK823" i="27"/>
  <c r="AI835" i="27"/>
  <c r="AI901" i="27"/>
  <c r="AK901" i="27"/>
  <c r="AI292" i="27"/>
  <c r="AK278" i="27"/>
  <c r="AK930" i="27"/>
  <c r="AK155" i="27"/>
  <c r="AI635" i="27"/>
  <c r="AI887" i="27"/>
  <c r="AK818" i="27"/>
  <c r="AI56" i="27"/>
  <c r="AK54" i="27"/>
  <c r="AI310" i="27"/>
  <c r="AK839" i="27"/>
  <c r="AK141" i="27"/>
  <c r="AK404" i="27"/>
  <c r="AI870" i="27"/>
  <c r="AI362" i="27"/>
  <c r="AI586" i="27"/>
  <c r="AI70" i="27"/>
  <c r="AI352" i="27"/>
  <c r="AI869" i="27"/>
  <c r="AI267" i="27"/>
  <c r="AI995" i="27"/>
  <c r="AK871" i="27"/>
  <c r="AI390" i="27"/>
  <c r="AK837" i="27"/>
  <c r="AI111" i="27"/>
  <c r="AK782" i="27"/>
  <c r="AI734" i="27"/>
  <c r="AI838" i="27"/>
  <c r="AI380" i="27"/>
  <c r="AK380" i="27"/>
  <c r="AK681" i="27"/>
  <c r="AI337" i="27"/>
  <c r="AI866" i="27"/>
  <c r="AK836" i="27"/>
  <c r="AK619" i="27"/>
  <c r="AI619" i="27"/>
  <c r="AI112" i="27"/>
  <c r="AK928" i="27"/>
  <c r="AI588" i="27"/>
  <c r="AI929" i="27"/>
  <c r="AK55" i="27"/>
  <c r="AK953" i="27"/>
  <c r="AI953" i="27"/>
  <c r="AK265" i="27"/>
  <c r="AK378" i="27"/>
  <c r="AI913" i="27"/>
  <c r="AI195" i="27"/>
  <c r="AI268" i="27"/>
  <c r="AK295" i="27"/>
  <c r="AK964" i="27"/>
  <c r="AI363" i="27"/>
  <c r="AK85" i="27"/>
  <c r="AI85" i="27"/>
  <c r="AK394" i="27"/>
  <c r="H16" i="26" l="1"/>
  <c r="H135" i="26" s="1"/>
  <c r="E16" i="26"/>
  <c r="E135" i="26" s="1"/>
  <c r="G16" i="26"/>
  <c r="G135" i="26" s="1"/>
  <c r="F16" i="26"/>
  <c r="F135" i="26" s="1"/>
  <c r="D16" i="26"/>
  <c r="D135" i="26" s="1"/>
  <c r="H21" i="24"/>
  <c r="AJ897" i="27"/>
  <c r="AJ950" i="27"/>
  <c r="AJ731" i="27"/>
  <c r="AJ68" i="27"/>
  <c r="AJ992" i="27"/>
  <c r="AJ978" i="27"/>
  <c r="AJ911" i="27"/>
  <c r="AJ898" i="27"/>
  <c r="AJ951" i="27"/>
  <c r="AJ993" i="27"/>
  <c r="AJ979" i="27"/>
  <c r="AJ912" i="27"/>
  <c r="D21" i="24"/>
  <c r="F21" i="24"/>
  <c r="AI950" i="27"/>
  <c r="AK731" i="27"/>
  <c r="AK993" i="27"/>
  <c r="AI993" i="27"/>
  <c r="AK992" i="27"/>
  <c r="AI978" i="27"/>
  <c r="E21" i="24"/>
  <c r="AK898" i="27"/>
  <c r="AI898" i="27"/>
  <c r="AK897" i="27"/>
  <c r="AI897" i="27"/>
  <c r="AK951" i="27"/>
  <c r="AI951" i="27"/>
  <c r="AK950" i="27"/>
  <c r="AI731" i="27"/>
  <c r="AK68" i="27"/>
  <c r="AI68" i="27"/>
  <c r="AK979" i="27"/>
  <c r="AI979" i="27"/>
  <c r="AK978" i="27"/>
  <c r="AK912" i="27"/>
  <c r="AK911" i="27"/>
  <c r="AI911" i="27"/>
  <c r="AI992" i="27"/>
  <c r="AI912" i="27"/>
  <c r="G21" i="24"/>
  <c r="F160" i="26"/>
  <c r="F164" i="26"/>
  <c r="F161" i="26"/>
  <c r="F162" i="26"/>
  <c r="D164" i="26"/>
  <c r="E161" i="26"/>
  <c r="D162" i="26"/>
  <c r="F163" i="26"/>
  <c r="E160" i="26"/>
  <c r="D161" i="26"/>
  <c r="D163" i="26"/>
  <c r="G161" i="26"/>
  <c r="D160" i="26"/>
  <c r="E164" i="26"/>
  <c r="B9" i="16"/>
  <c r="G160" i="26"/>
  <c r="G162" i="26"/>
  <c r="E163" i="26"/>
  <c r="H8" i="26"/>
  <c r="G164" i="26"/>
  <c r="G163" i="26"/>
  <c r="E162" i="26"/>
  <c r="H133" i="26"/>
  <c r="G133" i="26"/>
  <c r="E133" i="26"/>
  <c r="F133" i="26"/>
  <c r="D133" i="26"/>
  <c r="AI1017" i="27"/>
  <c r="AI1019" i="27"/>
  <c r="AI1018" i="27"/>
  <c r="AI1021" i="27"/>
  <c r="AI1023" i="27"/>
  <c r="AI1022" i="27"/>
  <c r="F69" i="29" l="1"/>
  <c r="B5" i="28"/>
  <c r="B7" i="28" s="1"/>
  <c r="T26" i="16"/>
  <c r="T25" i="16"/>
  <c r="H164" i="26"/>
  <c r="H160" i="26"/>
  <c r="H162" i="26"/>
  <c r="H163" i="26"/>
  <c r="H161" i="26"/>
  <c r="AI1026" i="27"/>
  <c r="AI1025" i="27"/>
  <c r="AI1027" i="27"/>
  <c r="E69" i="29" l="1"/>
  <c r="E67" i="29"/>
  <c r="E68" i="29" s="1"/>
  <c r="G69" i="29"/>
  <c r="AI1031" i="27"/>
  <c r="AI1029" i="27"/>
  <c r="AI1030" i="27"/>
  <c r="F66" i="29" l="1"/>
  <c r="T27" i="16"/>
  <c r="T28" i="16"/>
  <c r="AI1033" i="27"/>
  <c r="AI1034" i="27"/>
  <c r="AI1035" i="27"/>
  <c r="F67" i="29" l="1"/>
  <c r="G66" i="29" s="1"/>
  <c r="AI1037" i="27"/>
  <c r="AI1038" i="27"/>
  <c r="AI1039" i="27"/>
  <c r="F68" i="29" l="1"/>
  <c r="G67" i="29"/>
  <c r="H66" i="29" s="1"/>
  <c r="B10" i="28"/>
  <c r="T29" i="16"/>
  <c r="T30" i="16"/>
  <c r="AI1042" i="27"/>
  <c r="AI1043" i="27"/>
  <c r="AI1041" i="27"/>
  <c r="G68" i="29" l="1"/>
  <c r="H67" i="29"/>
  <c r="I66" i="29" s="1"/>
  <c r="B9" i="28"/>
  <c r="F13" i="27" s="1"/>
  <c r="F14" i="27" s="1"/>
  <c r="T38" i="16"/>
  <c r="AI1045" i="27"/>
  <c r="AI1047" i="27"/>
  <c r="AI1046" i="27"/>
  <c r="AM33" i="27" l="1"/>
  <c r="AN33" i="27" s="1"/>
  <c r="AM34" i="27"/>
  <c r="AN34" i="27" s="1"/>
  <c r="AM31" i="27"/>
  <c r="AN31" i="27" s="1"/>
  <c r="AM32" i="27"/>
  <c r="AN32" i="27" s="1"/>
  <c r="AM668" i="27"/>
  <c r="AN668" i="27" s="1"/>
  <c r="AM660" i="27"/>
  <c r="AN660" i="27" s="1"/>
  <c r="AM658" i="27"/>
  <c r="AN658" i="27" s="1"/>
  <c r="AM670" i="27"/>
  <c r="AN670" i="27" s="1"/>
  <c r="AM666" i="27"/>
  <c r="AN666" i="27" s="1"/>
  <c r="AM662" i="27"/>
  <c r="AN662" i="27" s="1"/>
  <c r="AM667" i="27"/>
  <c r="AN667" i="27" s="1"/>
  <c r="AM669" i="27"/>
  <c r="AN669" i="27" s="1"/>
  <c r="AM665" i="27"/>
  <c r="AN665" i="27" s="1"/>
  <c r="AM661" i="27"/>
  <c r="AN661" i="27" s="1"/>
  <c r="AM659" i="27"/>
  <c r="AN659" i="27" s="1"/>
  <c r="AM657" i="27"/>
  <c r="AN657" i="27" s="1"/>
  <c r="AM1011" i="27"/>
  <c r="AN1011" i="27" s="1"/>
  <c r="AM1010" i="27"/>
  <c r="AN1010" i="27" s="1"/>
  <c r="AM1013" i="27"/>
  <c r="AN1013" i="27" s="1"/>
  <c r="AM1009" i="27"/>
  <c r="AN1009" i="27" s="1"/>
  <c r="AM1015" i="27"/>
  <c r="AN1015" i="27" s="1"/>
  <c r="AM1014" i="27"/>
  <c r="AN1014" i="27" s="1"/>
  <c r="AM714" i="27"/>
  <c r="AN714" i="27" s="1"/>
  <c r="AM712" i="27"/>
  <c r="AN712" i="27" s="1"/>
  <c r="AM710" i="27"/>
  <c r="AN710" i="27" s="1"/>
  <c r="AM711" i="27"/>
  <c r="AN711" i="27" s="1"/>
  <c r="AM713" i="27"/>
  <c r="AN713" i="27" s="1"/>
  <c r="AM721" i="27"/>
  <c r="AN721" i="27" s="1"/>
  <c r="AM719" i="27"/>
  <c r="AN719" i="27" s="1"/>
  <c r="AM717" i="27"/>
  <c r="AN717" i="27" s="1"/>
  <c r="AM720" i="27"/>
  <c r="AN720" i="27" s="1"/>
  <c r="AM718" i="27"/>
  <c r="AN718" i="27" s="1"/>
  <c r="AM728" i="27"/>
  <c r="AN728" i="27" s="1"/>
  <c r="AM726" i="27"/>
  <c r="AN726" i="27" s="1"/>
  <c r="AM724" i="27"/>
  <c r="AN724" i="27" s="1"/>
  <c r="AM727" i="27"/>
  <c r="AN727" i="27" s="1"/>
  <c r="AM725" i="27"/>
  <c r="AN725" i="27" s="1"/>
  <c r="AM773" i="27"/>
  <c r="AN773" i="27" s="1"/>
  <c r="AM775" i="27"/>
  <c r="AN775" i="27" s="1"/>
  <c r="AM771" i="27"/>
  <c r="AN771" i="27" s="1"/>
  <c r="AM774" i="27"/>
  <c r="AN774" i="27" s="1"/>
  <c r="AM772" i="27"/>
  <c r="AN772" i="27" s="1"/>
  <c r="AM770" i="27"/>
  <c r="AN770" i="27" s="1"/>
  <c r="AM467" i="27"/>
  <c r="AN467" i="27" s="1"/>
  <c r="AM470" i="27"/>
  <c r="AN470" i="27" s="1"/>
  <c r="AM466" i="27"/>
  <c r="AN466" i="27" s="1"/>
  <c r="AM469" i="27"/>
  <c r="AN469" i="27" s="1"/>
  <c r="AM465" i="27"/>
  <c r="AN465" i="27" s="1"/>
  <c r="AM468" i="27"/>
  <c r="AN468" i="27" s="1"/>
  <c r="AM1051" i="27"/>
  <c r="AN1051" i="27" s="1"/>
  <c r="AM1049" i="27"/>
  <c r="AN1049" i="27" s="1"/>
  <c r="AM1050" i="27"/>
  <c r="AN1050" i="27" s="1"/>
  <c r="H68" i="29"/>
  <c r="I67" i="29"/>
  <c r="J66" i="29" s="1"/>
  <c r="AM804" i="27"/>
  <c r="AN804" i="27" s="1"/>
  <c r="AM807" i="27"/>
  <c r="AN807" i="27" s="1"/>
  <c r="AM803" i="27"/>
  <c r="AN803" i="27" s="1"/>
  <c r="AM805" i="27"/>
  <c r="AN805" i="27" s="1"/>
  <c r="AM806" i="27"/>
  <c r="AN806" i="27" s="1"/>
  <c r="AM802" i="27"/>
  <c r="AN802" i="27" s="1"/>
  <c r="AM755" i="27"/>
  <c r="AN755" i="27" s="1"/>
  <c r="AM759" i="27"/>
  <c r="AN759" i="27" s="1"/>
  <c r="AM754" i="27"/>
  <c r="AN754" i="27" s="1"/>
  <c r="AM756" i="27"/>
  <c r="AN756" i="27" s="1"/>
  <c r="AM758" i="27"/>
  <c r="AN758" i="27" s="1"/>
  <c r="AM757" i="27"/>
  <c r="AN757" i="27" s="1"/>
  <c r="AM703" i="27"/>
  <c r="AN703" i="27" s="1"/>
  <c r="AM707" i="27"/>
  <c r="AN707" i="27" s="1"/>
  <c r="AM706" i="27"/>
  <c r="AN706" i="27" s="1"/>
  <c r="AM704" i="27"/>
  <c r="AN704" i="27" s="1"/>
  <c r="AM705" i="27"/>
  <c r="AN705" i="27" s="1"/>
  <c r="AM698" i="27"/>
  <c r="AN698" i="27" s="1"/>
  <c r="AM700" i="27"/>
  <c r="AN700" i="27" s="1"/>
  <c r="AM696" i="27"/>
  <c r="AN696" i="27" s="1"/>
  <c r="AM697" i="27"/>
  <c r="AN697" i="27" s="1"/>
  <c r="AM699" i="27"/>
  <c r="AN699" i="27" s="1"/>
  <c r="AM941" i="27"/>
  <c r="AN941" i="27" s="1"/>
  <c r="AM945" i="27"/>
  <c r="AN945" i="27" s="1"/>
  <c r="AM943" i="27"/>
  <c r="AN943" i="27" s="1"/>
  <c r="AM942" i="27"/>
  <c r="AN942" i="27" s="1"/>
  <c r="AM944" i="27"/>
  <c r="AN944" i="27" s="1"/>
  <c r="AM516" i="27"/>
  <c r="AN516" i="27" s="1"/>
  <c r="AM514" i="27"/>
  <c r="AN514" i="27" s="1"/>
  <c r="AM518" i="27"/>
  <c r="AN518" i="27" s="1"/>
  <c r="AM515" i="27"/>
  <c r="AN515" i="27" s="1"/>
  <c r="AM517" i="27"/>
  <c r="AN517" i="27" s="1"/>
  <c r="AM513" i="27"/>
  <c r="AN513" i="27" s="1"/>
  <c r="AM436" i="27"/>
  <c r="AN436" i="27" s="1"/>
  <c r="AM438" i="27"/>
  <c r="AN438" i="27" s="1"/>
  <c r="AM434" i="27"/>
  <c r="AN434" i="27" s="1"/>
  <c r="AM435" i="27"/>
  <c r="AN435" i="27" s="1"/>
  <c r="AM437" i="27"/>
  <c r="AN437" i="27" s="1"/>
  <c r="AM433" i="27"/>
  <c r="AN433" i="27" s="1"/>
  <c r="AM1005" i="27"/>
  <c r="AN1005" i="27" s="1"/>
  <c r="AM1002" i="27"/>
  <c r="AN1002" i="27" s="1"/>
  <c r="AM1006" i="27"/>
  <c r="AN1006" i="27" s="1"/>
  <c r="AM1003" i="27"/>
  <c r="AN1003" i="27" s="1"/>
  <c r="AM1004" i="27"/>
  <c r="AN1004" i="27" s="1"/>
  <c r="AM1058" i="27"/>
  <c r="AN1058" i="27" s="1"/>
  <c r="AM1059" i="27"/>
  <c r="AN1059" i="27" s="1"/>
  <c r="AM1057" i="27"/>
  <c r="AN1057" i="27" s="1"/>
  <c r="AM614" i="27"/>
  <c r="AN614" i="27" s="1"/>
  <c r="AM610" i="27"/>
  <c r="AN610" i="27" s="1"/>
  <c r="AM612" i="27"/>
  <c r="AN612" i="27" s="1"/>
  <c r="AM611" i="27"/>
  <c r="AN611" i="27" s="1"/>
  <c r="AM613" i="27"/>
  <c r="AN613" i="27" s="1"/>
  <c r="AM609" i="27"/>
  <c r="AN609" i="27" s="1"/>
  <c r="AM458" i="27"/>
  <c r="AN458" i="27" s="1"/>
  <c r="AM459" i="27"/>
  <c r="AN459" i="27" s="1"/>
  <c r="AM462" i="27"/>
  <c r="AN462" i="27" s="1"/>
  <c r="AM460" i="27"/>
  <c r="AN460" i="27" s="1"/>
  <c r="AM461" i="27"/>
  <c r="AN461" i="27" s="1"/>
  <c r="AM457" i="27"/>
  <c r="AN457" i="27" s="1"/>
  <c r="AM578" i="27"/>
  <c r="AN578" i="27" s="1"/>
  <c r="AM582" i="27"/>
  <c r="AN582" i="27" s="1"/>
  <c r="AM579" i="27"/>
  <c r="AN579" i="27" s="1"/>
  <c r="AM580" i="27"/>
  <c r="AN580" i="27" s="1"/>
  <c r="AM581" i="27"/>
  <c r="AN581" i="27" s="1"/>
  <c r="AM577" i="27"/>
  <c r="AN577" i="27" s="1"/>
  <c r="AM815" i="27"/>
  <c r="AN815" i="27" s="1"/>
  <c r="AM811" i="27"/>
  <c r="AN811" i="27" s="1"/>
  <c r="AM812" i="27"/>
  <c r="AN812" i="27" s="1"/>
  <c r="AM813" i="27"/>
  <c r="AN813" i="27" s="1"/>
  <c r="AM814" i="27"/>
  <c r="AN814" i="27" s="1"/>
  <c r="AM810" i="27"/>
  <c r="AN810" i="27" s="1"/>
  <c r="AM763" i="27"/>
  <c r="AN763" i="27" s="1"/>
  <c r="AM767" i="27"/>
  <c r="AN767" i="27" s="1"/>
  <c r="AM765" i="27"/>
  <c r="AN765" i="27" s="1"/>
  <c r="AM764" i="27"/>
  <c r="AN764" i="27" s="1"/>
  <c r="AM766" i="27"/>
  <c r="AN766" i="27" s="1"/>
  <c r="AM762" i="27"/>
  <c r="AN762" i="27" s="1"/>
  <c r="AM103" i="27"/>
  <c r="AN103" i="27" s="1"/>
  <c r="AM104" i="27"/>
  <c r="AN104" i="27" s="1"/>
  <c r="AM107" i="27"/>
  <c r="AN107" i="27" s="1"/>
  <c r="AM105" i="27"/>
  <c r="AN105" i="27" s="1"/>
  <c r="AM106" i="27"/>
  <c r="AN106" i="27" s="1"/>
  <c r="AM562" i="27"/>
  <c r="AN562" i="27" s="1"/>
  <c r="AM566" i="27"/>
  <c r="AN566" i="27" s="1"/>
  <c r="AM563" i="27"/>
  <c r="AN563" i="27" s="1"/>
  <c r="AM564" i="27"/>
  <c r="AN564" i="27" s="1"/>
  <c r="AM565" i="27"/>
  <c r="AN565" i="27" s="1"/>
  <c r="AM561" i="27"/>
  <c r="AN561" i="27" s="1"/>
  <c r="AM795" i="27"/>
  <c r="AN795" i="27" s="1"/>
  <c r="AM799" i="27"/>
  <c r="AN799" i="27" s="1"/>
  <c r="AM796" i="27"/>
  <c r="AN796" i="27" s="1"/>
  <c r="AM797" i="27"/>
  <c r="AN797" i="27" s="1"/>
  <c r="AM794" i="27"/>
  <c r="AN794" i="27" s="1"/>
  <c r="AM798" i="27"/>
  <c r="AN798" i="27" s="1"/>
  <c r="AM747" i="27"/>
  <c r="AN747" i="27" s="1"/>
  <c r="AM749" i="27"/>
  <c r="AN749" i="27" s="1"/>
  <c r="AM751" i="27"/>
  <c r="AN751" i="27" s="1"/>
  <c r="AM748" i="27"/>
  <c r="AN748" i="27" s="1"/>
  <c r="AM750" i="27"/>
  <c r="AN750" i="27" s="1"/>
  <c r="AM746" i="27"/>
  <c r="AN746" i="27" s="1"/>
  <c r="AM602" i="27"/>
  <c r="AN602" i="27" s="1"/>
  <c r="AM606" i="27"/>
  <c r="AN606" i="27" s="1"/>
  <c r="AM603" i="27"/>
  <c r="AN603" i="27" s="1"/>
  <c r="AM604" i="27"/>
  <c r="AN604" i="27" s="1"/>
  <c r="AM605" i="27"/>
  <c r="AN605" i="27" s="1"/>
  <c r="AM601" i="27"/>
  <c r="AN601" i="27" s="1"/>
  <c r="AM29" i="27"/>
  <c r="AN29" i="27" s="1"/>
  <c r="AM1053" i="27"/>
  <c r="AN1053" i="27" s="1"/>
  <c r="AM1046" i="27"/>
  <c r="AN1046" i="27" s="1"/>
  <c r="AM1043" i="27"/>
  <c r="AN1043" i="27" s="1"/>
  <c r="AM1033" i="27"/>
  <c r="AN1033" i="27" s="1"/>
  <c r="AM1030" i="27"/>
  <c r="AN1030" i="27" s="1"/>
  <c r="AM1027" i="27"/>
  <c r="AN1027" i="27" s="1"/>
  <c r="AM1017" i="27"/>
  <c r="AN1017" i="27" s="1"/>
  <c r="AM995" i="27"/>
  <c r="AN995" i="27" s="1"/>
  <c r="AM989" i="27"/>
  <c r="AN989" i="27" s="1"/>
  <c r="AM985" i="27"/>
  <c r="AN985" i="27" s="1"/>
  <c r="AM979" i="27"/>
  <c r="AN979" i="27" s="1"/>
  <c r="AM973" i="27"/>
  <c r="AN973" i="27" s="1"/>
  <c r="AM967" i="27"/>
  <c r="AN967" i="27" s="1"/>
  <c r="AM961" i="27"/>
  <c r="AN961" i="27" s="1"/>
  <c r="AM957" i="27"/>
  <c r="AN957" i="27" s="1"/>
  <c r="AM951" i="27"/>
  <c r="AN951" i="27" s="1"/>
  <c r="AM936" i="27"/>
  <c r="AN936" i="27" s="1"/>
  <c r="AM930" i="27"/>
  <c r="AN930" i="27" s="1"/>
  <c r="AM926" i="27"/>
  <c r="AN926" i="27" s="1"/>
  <c r="AM920" i="27"/>
  <c r="AN920" i="27" s="1"/>
  <c r="AM914" i="27"/>
  <c r="AN914" i="27" s="1"/>
  <c r="AM908" i="27"/>
  <c r="AN908" i="27" s="1"/>
  <c r="AM904" i="27"/>
  <c r="AN904" i="27" s="1"/>
  <c r="AM898" i="27"/>
  <c r="AN898" i="27" s="1"/>
  <c r="AM892" i="27"/>
  <c r="AN892" i="27" s="1"/>
  <c r="AM886" i="27"/>
  <c r="AN886" i="27" s="1"/>
  <c r="AM882" i="27"/>
  <c r="AN882" i="27" s="1"/>
  <c r="AM876" i="27"/>
  <c r="AN876" i="27" s="1"/>
  <c r="AM870" i="27"/>
  <c r="AN870" i="27" s="1"/>
  <c r="AM866" i="27"/>
  <c r="AN866" i="27" s="1"/>
  <c r="AM860" i="27"/>
  <c r="AN860" i="27" s="1"/>
  <c r="AM1045" i="27"/>
  <c r="AN1045" i="27" s="1"/>
  <c r="AM1042" i="27"/>
  <c r="AN1042" i="27" s="1"/>
  <c r="AM1039" i="27"/>
  <c r="AN1039" i="27" s="1"/>
  <c r="AM1029" i="27"/>
  <c r="AN1029" i="27" s="1"/>
  <c r="AM1026" i="27"/>
  <c r="AN1026" i="27" s="1"/>
  <c r="AM1023" i="27"/>
  <c r="AN1023" i="27" s="1"/>
  <c r="AM994" i="27"/>
  <c r="AN994" i="27" s="1"/>
  <c r="AM988" i="27"/>
  <c r="AN988" i="27" s="1"/>
  <c r="AM982" i="27"/>
  <c r="AN982" i="27" s="1"/>
  <c r="AM978" i="27"/>
  <c r="AN978" i="27" s="1"/>
  <c r="AM972" i="27"/>
  <c r="AN972" i="27" s="1"/>
  <c r="AM966" i="27"/>
  <c r="AN966" i="27" s="1"/>
  <c r="AM960" i="27"/>
  <c r="AN960" i="27" s="1"/>
  <c r="AM954" i="27"/>
  <c r="AN954" i="27" s="1"/>
  <c r="AM950" i="27"/>
  <c r="AN950" i="27" s="1"/>
  <c r="AM935" i="27"/>
  <c r="AN935" i="27" s="1"/>
  <c r="AM929" i="27"/>
  <c r="AN929" i="27" s="1"/>
  <c r="AM923" i="27"/>
  <c r="AN923" i="27" s="1"/>
  <c r="AM919" i="27"/>
  <c r="AN919" i="27" s="1"/>
  <c r="AM913" i="27"/>
  <c r="AN913" i="27" s="1"/>
  <c r="AM907" i="27"/>
  <c r="AN907" i="27" s="1"/>
  <c r="AM901" i="27"/>
  <c r="AN901" i="27" s="1"/>
  <c r="AM897" i="27"/>
  <c r="AN897" i="27" s="1"/>
  <c r="AM891" i="27"/>
  <c r="AN891" i="27" s="1"/>
  <c r="AM885" i="27"/>
  <c r="AN885" i="27" s="1"/>
  <c r="AM879" i="27"/>
  <c r="AN879" i="27" s="1"/>
  <c r="AM875" i="27"/>
  <c r="AN875" i="27" s="1"/>
  <c r="AM869" i="27"/>
  <c r="AN869" i="27" s="1"/>
  <c r="AM863" i="27"/>
  <c r="AN863" i="27" s="1"/>
  <c r="AM859" i="27"/>
  <c r="AN859" i="27" s="1"/>
  <c r="AM853" i="27"/>
  <c r="AN853" i="27" s="1"/>
  <c r="AM847" i="27"/>
  <c r="AN847" i="27" s="1"/>
  <c r="AM843" i="27"/>
  <c r="AN843" i="27" s="1"/>
  <c r="AM837" i="27"/>
  <c r="AN837" i="27" s="1"/>
  <c r="AM831" i="27"/>
  <c r="AN831" i="27" s="1"/>
  <c r="AM827" i="27"/>
  <c r="AN827" i="27" s="1"/>
  <c r="AM821" i="27"/>
  <c r="AN821" i="27" s="1"/>
  <c r="AM791" i="27"/>
  <c r="AN791" i="27" s="1"/>
  <c r="AM787" i="27"/>
  <c r="AN787" i="27" s="1"/>
  <c r="AM781" i="27"/>
  <c r="AN781" i="27" s="1"/>
  <c r="AM743" i="27"/>
  <c r="AN743" i="27" s="1"/>
  <c r="AM739" i="27"/>
  <c r="AN739" i="27" s="1"/>
  <c r="AM733" i="27"/>
  <c r="AN733" i="27" s="1"/>
  <c r="AM692" i="27"/>
  <c r="AN692" i="27" s="1"/>
  <c r="AM686" i="27"/>
  <c r="AN686" i="27" s="1"/>
  <c r="AM682" i="27"/>
  <c r="AN682" i="27" s="1"/>
  <c r="AM676" i="27"/>
  <c r="AN676" i="27" s="1"/>
  <c r="AM654" i="27"/>
  <c r="AN654" i="27" s="1"/>
  <c r="AM650" i="27"/>
  <c r="AN650" i="27" s="1"/>
  <c r="AM644" i="27"/>
  <c r="AN644" i="27" s="1"/>
  <c r="AM638" i="27"/>
  <c r="AN638" i="27" s="1"/>
  <c r="AM634" i="27"/>
  <c r="AN634" i="27" s="1"/>
  <c r="AM628" i="27"/>
  <c r="AN628" i="27" s="1"/>
  <c r="AM622" i="27"/>
  <c r="AN622" i="27" s="1"/>
  <c r="AM618" i="27"/>
  <c r="AN618" i="27" s="1"/>
  <c r="AM596" i="27"/>
  <c r="AN596" i="27" s="1"/>
  <c r="AM590" i="27"/>
  <c r="AN590" i="27" s="1"/>
  <c r="AM586" i="27"/>
  <c r="AN586" i="27" s="1"/>
  <c r="AM572" i="27"/>
  <c r="AN572" i="27" s="1"/>
  <c r="AM558" i="27"/>
  <c r="AN558" i="27" s="1"/>
  <c r="AM554" i="27"/>
  <c r="AN554" i="27" s="1"/>
  <c r="AM548" i="27"/>
  <c r="AN548" i="27" s="1"/>
  <c r="AM542" i="27"/>
  <c r="AN542" i="27" s="1"/>
  <c r="AM538" i="27"/>
  <c r="AN538" i="27" s="1"/>
  <c r="AM532" i="27"/>
  <c r="AN532" i="27" s="1"/>
  <c r="AM526" i="27"/>
  <c r="AN526" i="27" s="1"/>
  <c r="AM522" i="27"/>
  <c r="AN522" i="27" s="1"/>
  <c r="AM1055" i="27"/>
  <c r="AN1055" i="27" s="1"/>
  <c r="AM1041" i="27"/>
  <c r="AN1041" i="27" s="1"/>
  <c r="AM1038" i="27"/>
  <c r="AN1038" i="27" s="1"/>
  <c r="AM1035" i="27"/>
  <c r="AN1035" i="27" s="1"/>
  <c r="AM1025" i="27"/>
  <c r="AN1025" i="27" s="1"/>
  <c r="AM1022" i="27"/>
  <c r="AN1022" i="27" s="1"/>
  <c r="AM1019" i="27"/>
  <c r="AN1019" i="27" s="1"/>
  <c r="AM999" i="27"/>
  <c r="AN999" i="27" s="1"/>
  <c r="AM993" i="27"/>
  <c r="AN993" i="27" s="1"/>
  <c r="AM987" i="27"/>
  <c r="AN987" i="27" s="1"/>
  <c r="AM981" i="27"/>
  <c r="AN981" i="27" s="1"/>
  <c r="AM975" i="27"/>
  <c r="AN975" i="27" s="1"/>
  <c r="AM971" i="27"/>
  <c r="AN971" i="27" s="1"/>
  <c r="AM965" i="27"/>
  <c r="AN965" i="27" s="1"/>
  <c r="AM959" i="27"/>
  <c r="AN959" i="27" s="1"/>
  <c r="AM953" i="27"/>
  <c r="AN953" i="27" s="1"/>
  <c r="AM938" i="27"/>
  <c r="AN938" i="27" s="1"/>
  <c r="AM934" i="27"/>
  <c r="AN934" i="27" s="1"/>
  <c r="AM928" i="27"/>
  <c r="AN928" i="27" s="1"/>
  <c r="AM922" i="27"/>
  <c r="AN922" i="27" s="1"/>
  <c r="AM918" i="27"/>
  <c r="AN918" i="27" s="1"/>
  <c r="AM912" i="27"/>
  <c r="AN912" i="27" s="1"/>
  <c r="AM906" i="27"/>
  <c r="AN906" i="27" s="1"/>
  <c r="AM900" i="27"/>
  <c r="AN900" i="27" s="1"/>
  <c r="AM894" i="27"/>
  <c r="AN894" i="27" s="1"/>
  <c r="AM890" i="27"/>
  <c r="AN890" i="27" s="1"/>
  <c r="AM884" i="27"/>
  <c r="AN884" i="27" s="1"/>
  <c r="AM878" i="27"/>
  <c r="AN878" i="27" s="1"/>
  <c r="AM874" i="27"/>
  <c r="AN874" i="27" s="1"/>
  <c r="AM868" i="27"/>
  <c r="AN868" i="27" s="1"/>
  <c r="AM862" i="27"/>
  <c r="AN862" i="27" s="1"/>
  <c r="AM858" i="27"/>
  <c r="AN858" i="27" s="1"/>
  <c r="AM852" i="27"/>
  <c r="AN852" i="27" s="1"/>
  <c r="AM846" i="27"/>
  <c r="AN846" i="27" s="1"/>
  <c r="AM842" i="27"/>
  <c r="AN842" i="27" s="1"/>
  <c r="AM836" i="27"/>
  <c r="AN836" i="27" s="1"/>
  <c r="AM830" i="27"/>
  <c r="AN830" i="27" s="1"/>
  <c r="AM1054" i="27"/>
  <c r="AN1054" i="27" s="1"/>
  <c r="AM1047" i="27"/>
  <c r="AN1047" i="27" s="1"/>
  <c r="AM1037" i="27"/>
  <c r="AN1037" i="27" s="1"/>
  <c r="AM1034" i="27"/>
  <c r="AN1034" i="27" s="1"/>
  <c r="AM1031" i="27"/>
  <c r="AN1031" i="27" s="1"/>
  <c r="AM1021" i="27"/>
  <c r="AN1021" i="27" s="1"/>
  <c r="AM1018" i="27"/>
  <c r="AN1018" i="27" s="1"/>
  <c r="AM996" i="27"/>
  <c r="AN996" i="27" s="1"/>
  <c r="AM992" i="27"/>
  <c r="AN992" i="27" s="1"/>
  <c r="AM986" i="27"/>
  <c r="AN986" i="27" s="1"/>
  <c r="AM980" i="27"/>
  <c r="AN980" i="27" s="1"/>
  <c r="AM974" i="27"/>
  <c r="AN974" i="27" s="1"/>
  <c r="AM968" i="27"/>
  <c r="AN968" i="27" s="1"/>
  <c r="AM964" i="27"/>
  <c r="AN964" i="27" s="1"/>
  <c r="AM958" i="27"/>
  <c r="AN958" i="27" s="1"/>
  <c r="AM952" i="27"/>
  <c r="AN952" i="27" s="1"/>
  <c r="AM937" i="27"/>
  <c r="AN937" i="27" s="1"/>
  <c r="AM931" i="27"/>
  <c r="AN931" i="27" s="1"/>
  <c r="AM927" i="27"/>
  <c r="AN927" i="27" s="1"/>
  <c r="AM921" i="27"/>
  <c r="AN921" i="27" s="1"/>
  <c r="AM915" i="27"/>
  <c r="AN915" i="27" s="1"/>
  <c r="AM911" i="27"/>
  <c r="AN911" i="27" s="1"/>
  <c r="AM905" i="27"/>
  <c r="AN905" i="27" s="1"/>
  <c r="AM899" i="27"/>
  <c r="AN899" i="27" s="1"/>
  <c r="AM893" i="27"/>
  <c r="AN893" i="27" s="1"/>
  <c r="AM887" i="27"/>
  <c r="AN887" i="27" s="1"/>
  <c r="AM883" i="27"/>
  <c r="AN883" i="27" s="1"/>
  <c r="AM877" i="27"/>
  <c r="AN877" i="27" s="1"/>
  <c r="AM871" i="27"/>
  <c r="AN871" i="27" s="1"/>
  <c r="AM867" i="27"/>
  <c r="AN867" i="27" s="1"/>
  <c r="AM861" i="27"/>
  <c r="AN861" i="27" s="1"/>
  <c r="AM855" i="27"/>
  <c r="AN855" i="27" s="1"/>
  <c r="AM851" i="27"/>
  <c r="AN851" i="27" s="1"/>
  <c r="AM845" i="27"/>
  <c r="AN845" i="27" s="1"/>
  <c r="AM839" i="27"/>
  <c r="AN839" i="27" s="1"/>
  <c r="AM835" i="27"/>
  <c r="AN835" i="27" s="1"/>
  <c r="AM829" i="27"/>
  <c r="AN829" i="27" s="1"/>
  <c r="AM823" i="27"/>
  <c r="AN823" i="27" s="1"/>
  <c r="AM819" i="27"/>
  <c r="AN819" i="27" s="1"/>
  <c r="AM789" i="27"/>
  <c r="AN789" i="27" s="1"/>
  <c r="AM783" i="27"/>
  <c r="AN783" i="27" s="1"/>
  <c r="AM779" i="27"/>
  <c r="AN779" i="27" s="1"/>
  <c r="AM741" i="27"/>
  <c r="AN741" i="27" s="1"/>
  <c r="AM735" i="27"/>
  <c r="AN735" i="27" s="1"/>
  <c r="AM731" i="27"/>
  <c r="AN731" i="27" s="1"/>
  <c r="AM690" i="27"/>
  <c r="AN690" i="27" s="1"/>
  <c r="AM684" i="27"/>
  <c r="AN684" i="27" s="1"/>
  <c r="AM678" i="27"/>
  <c r="AN678" i="27" s="1"/>
  <c r="AM674" i="27"/>
  <c r="AN674" i="27" s="1"/>
  <c r="AM652" i="27"/>
  <c r="AN652" i="27" s="1"/>
  <c r="AM646" i="27"/>
  <c r="AN646" i="27" s="1"/>
  <c r="AM642" i="27"/>
  <c r="AN642" i="27" s="1"/>
  <c r="AM636" i="27"/>
  <c r="AN636" i="27" s="1"/>
  <c r="AM630" i="27"/>
  <c r="AN630" i="27" s="1"/>
  <c r="AM626" i="27"/>
  <c r="AN626" i="27" s="1"/>
  <c r="AM620" i="27"/>
  <c r="AN620" i="27" s="1"/>
  <c r="AM598" i="27"/>
  <c r="AN598" i="27" s="1"/>
  <c r="AM594" i="27"/>
  <c r="AN594" i="27" s="1"/>
  <c r="AM588" i="27"/>
  <c r="AN588" i="27" s="1"/>
  <c r="AM574" i="27"/>
  <c r="AN574" i="27" s="1"/>
  <c r="AM570" i="27"/>
  <c r="AN570" i="27" s="1"/>
  <c r="AM556" i="27"/>
  <c r="AN556" i="27" s="1"/>
  <c r="AM550" i="27"/>
  <c r="AN550" i="27" s="1"/>
  <c r="AM546" i="27"/>
  <c r="AN546" i="27" s="1"/>
  <c r="AM540" i="27"/>
  <c r="AN540" i="27" s="1"/>
  <c r="AM534" i="27"/>
  <c r="AN534" i="27" s="1"/>
  <c r="AM530" i="27"/>
  <c r="AN530" i="27" s="1"/>
  <c r="AM524" i="27"/>
  <c r="AN524" i="27" s="1"/>
  <c r="AM844" i="27"/>
  <c r="AN844" i="27" s="1"/>
  <c r="AM826" i="27"/>
  <c r="AN826" i="27" s="1"/>
  <c r="AM790" i="27"/>
  <c r="AN790" i="27" s="1"/>
  <c r="AM780" i="27"/>
  <c r="AN780" i="27" s="1"/>
  <c r="AM738" i="27"/>
  <c r="AN738" i="27" s="1"/>
  <c r="AM691" i="27"/>
  <c r="AN691" i="27" s="1"/>
  <c r="AM681" i="27"/>
  <c r="AN681" i="27" s="1"/>
  <c r="AM653" i="27"/>
  <c r="AN653" i="27" s="1"/>
  <c r="AM643" i="27"/>
  <c r="AN643" i="27" s="1"/>
  <c r="AM633" i="27"/>
  <c r="AN633" i="27" s="1"/>
  <c r="AM621" i="27"/>
  <c r="AN621" i="27" s="1"/>
  <c r="AM595" i="27"/>
  <c r="AN595" i="27" s="1"/>
  <c r="AM585" i="27"/>
  <c r="AN585" i="27" s="1"/>
  <c r="AM557" i="27"/>
  <c r="AN557" i="27" s="1"/>
  <c r="AM547" i="27"/>
  <c r="AN547" i="27" s="1"/>
  <c r="AM537" i="27"/>
  <c r="AN537" i="27" s="1"/>
  <c r="AM525" i="27"/>
  <c r="AN525" i="27" s="1"/>
  <c r="AM507" i="27"/>
  <c r="AN507" i="27" s="1"/>
  <c r="AM501" i="27"/>
  <c r="AN501" i="27" s="1"/>
  <c r="AM497" i="27"/>
  <c r="AN497" i="27" s="1"/>
  <c r="AM491" i="27"/>
  <c r="AN491" i="27" s="1"/>
  <c r="AM485" i="27"/>
  <c r="AN485" i="27" s="1"/>
  <c r="AM481" i="27"/>
  <c r="AN481" i="27" s="1"/>
  <c r="AM475" i="27"/>
  <c r="AN475" i="27" s="1"/>
  <c r="AM453" i="27"/>
  <c r="AN453" i="27" s="1"/>
  <c r="AM449" i="27"/>
  <c r="AN449" i="27" s="1"/>
  <c r="AM445" i="27"/>
  <c r="AN445" i="27" s="1"/>
  <c r="AM441" i="27"/>
  <c r="AN441" i="27" s="1"/>
  <c r="AM427" i="27"/>
  <c r="AN427" i="27" s="1"/>
  <c r="AM421" i="27"/>
  <c r="AN421" i="27" s="1"/>
  <c r="AM415" i="27"/>
  <c r="AN415" i="27" s="1"/>
  <c r="AM411" i="27"/>
  <c r="AN411" i="27" s="1"/>
  <c r="AM405" i="27"/>
  <c r="AN405" i="27" s="1"/>
  <c r="AM399" i="27"/>
  <c r="AN399" i="27" s="1"/>
  <c r="AM393" i="27"/>
  <c r="AN393" i="27" s="1"/>
  <c r="AM387" i="27"/>
  <c r="AN387" i="27" s="1"/>
  <c r="AM383" i="27"/>
  <c r="AN383" i="27" s="1"/>
  <c r="AM377" i="27"/>
  <c r="AN377" i="27" s="1"/>
  <c r="AM371" i="27"/>
  <c r="AN371" i="27" s="1"/>
  <c r="AM365" i="27"/>
  <c r="AN365" i="27" s="1"/>
  <c r="AM359" i="27"/>
  <c r="AN359" i="27" s="1"/>
  <c r="AM355" i="27"/>
  <c r="AN355" i="27" s="1"/>
  <c r="AM349" i="27"/>
  <c r="AN349" i="27" s="1"/>
  <c r="AM343" i="27"/>
  <c r="AN343" i="27" s="1"/>
  <c r="AM337" i="27"/>
  <c r="AN337" i="27" s="1"/>
  <c r="AM331" i="27"/>
  <c r="AN331" i="27" s="1"/>
  <c r="AM327" i="27"/>
  <c r="AN327" i="27" s="1"/>
  <c r="AM321" i="27"/>
  <c r="AN321" i="27" s="1"/>
  <c r="AM315" i="27"/>
  <c r="AN315" i="27" s="1"/>
  <c r="AM309" i="27"/>
  <c r="AN309" i="27" s="1"/>
  <c r="AM303" i="27"/>
  <c r="AN303" i="27" s="1"/>
  <c r="AM299" i="27"/>
  <c r="AN299" i="27" s="1"/>
  <c r="AM293" i="27"/>
  <c r="AN293" i="27" s="1"/>
  <c r="AM287" i="27"/>
  <c r="AN287" i="27" s="1"/>
  <c r="AM281" i="27"/>
  <c r="AN281" i="27" s="1"/>
  <c r="AM275" i="27"/>
  <c r="AN275" i="27" s="1"/>
  <c r="AM271" i="27"/>
  <c r="AN271" i="27" s="1"/>
  <c r="AM265" i="27"/>
  <c r="AN265" i="27" s="1"/>
  <c r="AM259" i="27"/>
  <c r="AN259" i="27" s="1"/>
  <c r="AM253" i="27"/>
  <c r="AN253" i="27" s="1"/>
  <c r="AM247" i="27"/>
  <c r="AN247" i="27" s="1"/>
  <c r="AM243" i="27"/>
  <c r="AN243" i="27" s="1"/>
  <c r="AM237" i="27"/>
  <c r="AN237" i="27" s="1"/>
  <c r="AM231" i="27"/>
  <c r="AN231" i="27" s="1"/>
  <c r="AM225" i="27"/>
  <c r="AN225" i="27" s="1"/>
  <c r="AM219" i="27"/>
  <c r="AN219" i="27" s="1"/>
  <c r="AM215" i="27"/>
  <c r="AN215" i="27" s="1"/>
  <c r="AM209" i="27"/>
  <c r="AN209" i="27" s="1"/>
  <c r="AM203" i="27"/>
  <c r="AN203" i="27" s="1"/>
  <c r="AM197" i="27"/>
  <c r="AN197" i="27" s="1"/>
  <c r="AM191" i="27"/>
  <c r="AN191" i="27" s="1"/>
  <c r="AM187" i="27"/>
  <c r="AN187" i="27" s="1"/>
  <c r="AM181" i="27"/>
  <c r="AN181" i="27" s="1"/>
  <c r="AM169" i="27"/>
  <c r="AN169" i="27" s="1"/>
  <c r="AM159" i="27"/>
  <c r="AN159" i="27" s="1"/>
  <c r="AM147" i="27"/>
  <c r="AN147" i="27" s="1"/>
  <c r="AM838" i="27"/>
  <c r="AN838" i="27" s="1"/>
  <c r="AM822" i="27"/>
  <c r="AN822" i="27" s="1"/>
  <c r="AM788" i="27"/>
  <c r="AN788" i="27" s="1"/>
  <c r="AM778" i="27"/>
  <c r="AN778" i="27" s="1"/>
  <c r="AM734" i="27"/>
  <c r="AN734" i="27" s="1"/>
  <c r="AM689" i="27"/>
  <c r="AN689" i="27" s="1"/>
  <c r="AM677" i="27"/>
  <c r="AN677" i="27" s="1"/>
  <c r="AM651" i="27"/>
  <c r="AN651" i="27" s="1"/>
  <c r="AM641" i="27"/>
  <c r="AN641" i="27" s="1"/>
  <c r="AM629" i="27"/>
  <c r="AN629" i="27" s="1"/>
  <c r="AM619" i="27"/>
  <c r="AN619" i="27" s="1"/>
  <c r="AM593" i="27"/>
  <c r="AN593" i="27" s="1"/>
  <c r="AM573" i="27"/>
  <c r="AN573" i="27" s="1"/>
  <c r="AM555" i="27"/>
  <c r="AN555" i="27" s="1"/>
  <c r="AM545" i="27"/>
  <c r="AN545" i="27" s="1"/>
  <c r="AM533" i="27"/>
  <c r="AN533" i="27" s="1"/>
  <c r="AM523" i="27"/>
  <c r="AN523" i="27" s="1"/>
  <c r="AM510" i="27"/>
  <c r="AN510" i="27" s="1"/>
  <c r="AM506" i="27"/>
  <c r="AN506" i="27" s="1"/>
  <c r="AM500" i="27"/>
  <c r="AN500" i="27" s="1"/>
  <c r="AM494" i="27"/>
  <c r="AN494" i="27" s="1"/>
  <c r="AM490" i="27"/>
  <c r="AN490" i="27" s="1"/>
  <c r="AM484" i="27"/>
  <c r="AN484" i="27" s="1"/>
  <c r="AM478" i="27"/>
  <c r="AN478" i="27" s="1"/>
  <c r="AM474" i="27"/>
  <c r="AN474" i="27" s="1"/>
  <c r="AM452" i="27"/>
  <c r="AN452" i="27" s="1"/>
  <c r="AM444" i="27"/>
  <c r="AN444" i="27" s="1"/>
  <c r="AM430" i="27"/>
  <c r="AN430" i="27" s="1"/>
  <c r="AM426" i="27"/>
  <c r="AN426" i="27" s="1"/>
  <c r="AM420" i="27"/>
  <c r="AN420" i="27" s="1"/>
  <c r="AM414" i="27"/>
  <c r="AN414" i="27" s="1"/>
  <c r="AM408" i="27"/>
  <c r="AN408" i="27" s="1"/>
  <c r="AM404" i="27"/>
  <c r="AN404" i="27" s="1"/>
  <c r="AM398" i="27"/>
  <c r="AN398" i="27" s="1"/>
  <c r="AM392" i="27"/>
  <c r="AN392" i="27" s="1"/>
  <c r="AM386" i="27"/>
  <c r="AN386" i="27" s="1"/>
  <c r="AM380" i="27"/>
  <c r="AN380" i="27" s="1"/>
  <c r="AM376" i="27"/>
  <c r="AN376" i="27" s="1"/>
  <c r="AM370" i="27"/>
  <c r="AN370" i="27" s="1"/>
  <c r="AM364" i="27"/>
  <c r="AN364" i="27" s="1"/>
  <c r="AM358" i="27"/>
  <c r="AN358" i="27" s="1"/>
  <c r="AM352" i="27"/>
  <c r="AN352" i="27" s="1"/>
  <c r="AM348" i="27"/>
  <c r="AN348" i="27" s="1"/>
  <c r="AM342" i="27"/>
  <c r="AN342" i="27" s="1"/>
  <c r="AM336" i="27"/>
  <c r="AN336" i="27" s="1"/>
  <c r="AM330" i="27"/>
  <c r="AN330" i="27" s="1"/>
  <c r="AM324" i="27"/>
  <c r="AN324" i="27" s="1"/>
  <c r="AM320" i="27"/>
  <c r="AN320" i="27" s="1"/>
  <c r="AM314" i="27"/>
  <c r="AN314" i="27" s="1"/>
  <c r="AM308" i="27"/>
  <c r="AN308" i="27" s="1"/>
  <c r="AM302" i="27"/>
  <c r="AN302" i="27" s="1"/>
  <c r="AM296" i="27"/>
  <c r="AN296" i="27" s="1"/>
  <c r="AM292" i="27"/>
  <c r="AN292" i="27" s="1"/>
  <c r="AM286" i="27"/>
  <c r="AN286" i="27" s="1"/>
  <c r="AM280" i="27"/>
  <c r="AN280" i="27" s="1"/>
  <c r="AM274" i="27"/>
  <c r="AN274" i="27" s="1"/>
  <c r="AM268" i="27"/>
  <c r="AN268" i="27" s="1"/>
  <c r="AM264" i="27"/>
  <c r="AN264" i="27" s="1"/>
  <c r="AM258" i="27"/>
  <c r="AN258" i="27" s="1"/>
  <c r="AM252" i="27"/>
  <c r="AN252" i="27" s="1"/>
  <c r="AM246" i="27"/>
  <c r="AN246" i="27" s="1"/>
  <c r="AM240" i="27"/>
  <c r="AN240" i="27" s="1"/>
  <c r="AM236" i="27"/>
  <c r="AN236" i="27" s="1"/>
  <c r="AM230" i="27"/>
  <c r="AN230" i="27" s="1"/>
  <c r="AM224" i="27"/>
  <c r="AN224" i="27" s="1"/>
  <c r="AM218" i="27"/>
  <c r="AN218" i="27" s="1"/>
  <c r="AM212" i="27"/>
  <c r="AN212" i="27" s="1"/>
  <c r="AM208" i="27"/>
  <c r="AN208" i="27" s="1"/>
  <c r="AM202" i="27"/>
  <c r="AN202" i="27" s="1"/>
  <c r="AM196" i="27"/>
  <c r="AN196" i="27" s="1"/>
  <c r="AM190" i="27"/>
  <c r="AN190" i="27" s="1"/>
  <c r="AM184" i="27"/>
  <c r="AN184" i="27" s="1"/>
  <c r="AM180" i="27"/>
  <c r="AN180" i="27" s="1"/>
  <c r="AM174" i="27"/>
  <c r="AN174" i="27" s="1"/>
  <c r="AM168" i="27"/>
  <c r="AN168" i="27" s="1"/>
  <c r="AM162" i="27"/>
  <c r="AN162" i="27" s="1"/>
  <c r="AM156" i="27"/>
  <c r="AN156" i="27" s="1"/>
  <c r="AM152" i="27"/>
  <c r="AN152" i="27" s="1"/>
  <c r="AM146" i="27"/>
  <c r="AN146" i="27" s="1"/>
  <c r="AM140" i="27"/>
  <c r="AN140" i="27" s="1"/>
  <c r="AM134" i="27"/>
  <c r="AN134" i="27" s="1"/>
  <c r="AM128" i="27"/>
  <c r="AN128" i="27" s="1"/>
  <c r="AM124" i="27"/>
  <c r="AN124" i="27" s="1"/>
  <c r="AM118" i="27"/>
  <c r="AN118" i="27" s="1"/>
  <c r="AM112" i="27"/>
  <c r="AN112" i="27" s="1"/>
  <c r="AM99" i="27"/>
  <c r="AN99" i="27" s="1"/>
  <c r="AM93" i="27"/>
  <c r="AN93" i="27" s="1"/>
  <c r="AM89" i="27"/>
  <c r="AN89" i="27" s="1"/>
  <c r="AM83" i="27"/>
  <c r="AN83" i="27" s="1"/>
  <c r="AM77" i="27"/>
  <c r="AN77" i="27" s="1"/>
  <c r="AM71" i="27"/>
  <c r="AN71" i="27" s="1"/>
  <c r="AM65" i="27"/>
  <c r="AN65" i="27" s="1"/>
  <c r="AM61" i="27"/>
  <c r="AN61" i="27" s="1"/>
  <c r="AM58" i="27"/>
  <c r="AN58" i="27" s="1"/>
  <c r="AM54" i="27"/>
  <c r="AN54" i="27" s="1"/>
  <c r="AM47" i="27"/>
  <c r="AN47" i="27" s="1"/>
  <c r="AM39" i="27"/>
  <c r="AN39" i="27" s="1"/>
  <c r="AM139" i="27"/>
  <c r="AN139" i="27" s="1"/>
  <c r="AM127" i="27"/>
  <c r="AN127" i="27" s="1"/>
  <c r="AM854" i="27"/>
  <c r="AN854" i="27" s="1"/>
  <c r="AM834" i="27"/>
  <c r="AN834" i="27" s="1"/>
  <c r="AM820" i="27"/>
  <c r="AN820" i="27" s="1"/>
  <c r="AM786" i="27"/>
  <c r="AN786" i="27" s="1"/>
  <c r="AM742" i="27"/>
  <c r="AN742" i="27" s="1"/>
  <c r="AM732" i="27"/>
  <c r="AN732" i="27" s="1"/>
  <c r="AM685" i="27"/>
  <c r="AN685" i="27" s="1"/>
  <c r="AM675" i="27"/>
  <c r="AN675" i="27" s="1"/>
  <c r="AM649" i="27"/>
  <c r="AN649" i="27" s="1"/>
  <c r="AM637" i="27"/>
  <c r="AN637" i="27" s="1"/>
  <c r="AM627" i="27"/>
  <c r="AN627" i="27" s="1"/>
  <c r="AM617" i="27"/>
  <c r="AN617" i="27" s="1"/>
  <c r="AM589" i="27"/>
  <c r="AN589" i="27" s="1"/>
  <c r="AM571" i="27"/>
  <c r="AN571" i="27" s="1"/>
  <c r="AM553" i="27"/>
  <c r="AN553" i="27" s="1"/>
  <c r="AM541" i="27"/>
  <c r="AN541" i="27" s="1"/>
  <c r="AM531" i="27"/>
  <c r="AN531" i="27" s="1"/>
  <c r="AM521" i="27"/>
  <c r="AN521" i="27" s="1"/>
  <c r="AM509" i="27"/>
  <c r="AN509" i="27" s="1"/>
  <c r="AM505" i="27"/>
  <c r="AN505" i="27" s="1"/>
  <c r="AM499" i="27"/>
  <c r="AN499" i="27" s="1"/>
  <c r="AM493" i="27"/>
  <c r="AN493" i="27" s="1"/>
  <c r="AM489" i="27"/>
  <c r="AN489" i="27" s="1"/>
  <c r="AM483" i="27"/>
  <c r="AN483" i="27" s="1"/>
  <c r="AM477" i="27"/>
  <c r="AN477" i="27" s="1"/>
  <c r="AM473" i="27"/>
  <c r="AN473" i="27" s="1"/>
  <c r="AM451" i="27"/>
  <c r="AN451" i="27" s="1"/>
  <c r="AM443" i="27"/>
  <c r="AN443" i="27" s="1"/>
  <c r="AM429" i="27"/>
  <c r="AN429" i="27" s="1"/>
  <c r="AM425" i="27"/>
  <c r="AN425" i="27" s="1"/>
  <c r="AM419" i="27"/>
  <c r="AN419" i="27" s="1"/>
  <c r="AM413" i="27"/>
  <c r="AN413" i="27" s="1"/>
  <c r="AM407" i="27"/>
  <c r="AN407" i="27" s="1"/>
  <c r="AM401" i="27"/>
  <c r="AN401" i="27" s="1"/>
  <c r="AM397" i="27"/>
  <c r="AN397" i="27" s="1"/>
  <c r="AM391" i="27"/>
  <c r="AN391" i="27" s="1"/>
  <c r="AM385" i="27"/>
  <c r="AN385" i="27" s="1"/>
  <c r="AM379" i="27"/>
  <c r="AN379" i="27" s="1"/>
  <c r="AM373" i="27"/>
  <c r="AN373" i="27" s="1"/>
  <c r="AM369" i="27"/>
  <c r="AN369" i="27" s="1"/>
  <c r="AM363" i="27"/>
  <c r="AN363" i="27" s="1"/>
  <c r="AM357" i="27"/>
  <c r="AN357" i="27" s="1"/>
  <c r="AM351" i="27"/>
  <c r="AN351" i="27" s="1"/>
  <c r="AM345" i="27"/>
  <c r="AN345" i="27" s="1"/>
  <c r="AM341" i="27"/>
  <c r="AN341" i="27" s="1"/>
  <c r="AM335" i="27"/>
  <c r="AN335" i="27" s="1"/>
  <c r="AM329" i="27"/>
  <c r="AN329" i="27" s="1"/>
  <c r="AM323" i="27"/>
  <c r="AN323" i="27" s="1"/>
  <c r="AM317" i="27"/>
  <c r="AN317" i="27" s="1"/>
  <c r="AM313" i="27"/>
  <c r="AN313" i="27" s="1"/>
  <c r="AM307" i="27"/>
  <c r="AN307" i="27" s="1"/>
  <c r="AM301" i="27"/>
  <c r="AN301" i="27" s="1"/>
  <c r="AM295" i="27"/>
  <c r="AN295" i="27" s="1"/>
  <c r="AM289" i="27"/>
  <c r="AN289" i="27" s="1"/>
  <c r="AM285" i="27"/>
  <c r="AN285" i="27" s="1"/>
  <c r="AM279" i="27"/>
  <c r="AN279" i="27" s="1"/>
  <c r="AM273" i="27"/>
  <c r="AN273" i="27" s="1"/>
  <c r="AM267" i="27"/>
  <c r="AN267" i="27" s="1"/>
  <c r="AM261" i="27"/>
  <c r="AN261" i="27" s="1"/>
  <c r="AM257" i="27"/>
  <c r="AN257" i="27" s="1"/>
  <c r="AM251" i="27"/>
  <c r="AN251" i="27" s="1"/>
  <c r="AM245" i="27"/>
  <c r="AN245" i="27" s="1"/>
  <c r="AM239" i="27"/>
  <c r="AN239" i="27" s="1"/>
  <c r="AM233" i="27"/>
  <c r="AN233" i="27" s="1"/>
  <c r="AM229" i="27"/>
  <c r="AN229" i="27" s="1"/>
  <c r="AM223" i="27"/>
  <c r="AN223" i="27" s="1"/>
  <c r="AM217" i="27"/>
  <c r="AN217" i="27" s="1"/>
  <c r="AM211" i="27"/>
  <c r="AN211" i="27" s="1"/>
  <c r="AM205" i="27"/>
  <c r="AN205" i="27" s="1"/>
  <c r="AM201" i="27"/>
  <c r="AN201" i="27" s="1"/>
  <c r="AM195" i="27"/>
  <c r="AN195" i="27" s="1"/>
  <c r="AM189" i="27"/>
  <c r="AN189" i="27" s="1"/>
  <c r="AM183" i="27"/>
  <c r="AN183" i="27" s="1"/>
  <c r="AM177" i="27"/>
  <c r="AN177" i="27" s="1"/>
  <c r="AM173" i="27"/>
  <c r="AN173" i="27" s="1"/>
  <c r="AM167" i="27"/>
  <c r="AN167" i="27" s="1"/>
  <c r="AM161" i="27"/>
  <c r="AN161" i="27" s="1"/>
  <c r="AM155" i="27"/>
  <c r="AN155" i="27" s="1"/>
  <c r="AM149" i="27"/>
  <c r="AN149" i="27" s="1"/>
  <c r="AM145" i="27"/>
  <c r="AN145" i="27" s="1"/>
  <c r="AM133" i="27"/>
  <c r="AN133" i="27" s="1"/>
  <c r="AM850" i="27"/>
  <c r="AN850" i="27" s="1"/>
  <c r="AM828" i="27"/>
  <c r="AN828" i="27" s="1"/>
  <c r="AM818" i="27"/>
  <c r="AN818" i="27" s="1"/>
  <c r="AM782" i="27"/>
  <c r="AN782" i="27" s="1"/>
  <c r="AM740" i="27"/>
  <c r="AN740" i="27" s="1"/>
  <c r="AM693" i="27"/>
  <c r="AN693" i="27" s="1"/>
  <c r="AM683" i="27"/>
  <c r="AN683" i="27" s="1"/>
  <c r="AM673" i="27"/>
  <c r="AN673" i="27" s="1"/>
  <c r="AM645" i="27"/>
  <c r="AN645" i="27" s="1"/>
  <c r="AM635" i="27"/>
  <c r="AN635" i="27" s="1"/>
  <c r="AM625" i="27"/>
  <c r="AN625" i="27" s="1"/>
  <c r="AM597" i="27"/>
  <c r="AN597" i="27" s="1"/>
  <c r="AM587" i="27"/>
  <c r="AN587" i="27" s="1"/>
  <c r="AM569" i="27"/>
  <c r="AN569" i="27" s="1"/>
  <c r="AM549" i="27"/>
  <c r="AN549" i="27" s="1"/>
  <c r="AM539" i="27"/>
  <c r="AN539" i="27" s="1"/>
  <c r="AM529" i="27"/>
  <c r="AN529" i="27" s="1"/>
  <c r="AM508" i="27"/>
  <c r="AN508" i="27" s="1"/>
  <c r="AM502" i="27"/>
  <c r="AN502" i="27" s="1"/>
  <c r="AM498" i="27"/>
  <c r="AN498" i="27" s="1"/>
  <c r="AM492" i="27"/>
  <c r="AN492" i="27" s="1"/>
  <c r="AM486" i="27"/>
  <c r="AN486" i="27" s="1"/>
  <c r="AM482" i="27"/>
  <c r="AN482" i="27" s="1"/>
  <c r="AM476" i="27"/>
  <c r="AN476" i="27" s="1"/>
  <c r="AM454" i="27"/>
  <c r="AN454" i="27" s="1"/>
  <c r="AM450" i="27"/>
  <c r="AN450" i="27" s="1"/>
  <c r="AM446" i="27"/>
  <c r="AN446" i="27" s="1"/>
  <c r="AM442" i="27"/>
  <c r="AN442" i="27" s="1"/>
  <c r="AM428" i="27"/>
  <c r="AN428" i="27" s="1"/>
  <c r="AM422" i="27"/>
  <c r="AN422" i="27" s="1"/>
  <c r="AM418" i="27"/>
  <c r="AN418" i="27" s="1"/>
  <c r="AM412" i="27"/>
  <c r="AN412" i="27" s="1"/>
  <c r="AM406" i="27"/>
  <c r="AN406" i="27" s="1"/>
  <c r="AM400" i="27"/>
  <c r="AN400" i="27" s="1"/>
  <c r="AM394" i="27"/>
  <c r="AN394" i="27" s="1"/>
  <c r="AM390" i="27"/>
  <c r="AN390" i="27" s="1"/>
  <c r="AM384" i="27"/>
  <c r="AN384" i="27" s="1"/>
  <c r="AM378" i="27"/>
  <c r="AN378" i="27" s="1"/>
  <c r="AM372" i="27"/>
  <c r="AN372" i="27" s="1"/>
  <c r="AM366" i="27"/>
  <c r="AN366" i="27" s="1"/>
  <c r="AM362" i="27"/>
  <c r="AN362" i="27" s="1"/>
  <c r="AM356" i="27"/>
  <c r="AN356" i="27" s="1"/>
  <c r="AM350" i="27"/>
  <c r="AN350" i="27" s="1"/>
  <c r="AM344" i="27"/>
  <c r="AN344" i="27" s="1"/>
  <c r="AM338" i="27"/>
  <c r="AN338" i="27" s="1"/>
  <c r="AM334" i="27"/>
  <c r="AN334" i="27" s="1"/>
  <c r="AM328" i="27"/>
  <c r="AN328" i="27" s="1"/>
  <c r="AM322" i="27"/>
  <c r="AN322" i="27" s="1"/>
  <c r="AM316" i="27"/>
  <c r="AN316" i="27" s="1"/>
  <c r="AM310" i="27"/>
  <c r="AN310" i="27" s="1"/>
  <c r="AM306" i="27"/>
  <c r="AN306" i="27" s="1"/>
  <c r="AM300" i="27"/>
  <c r="AN300" i="27" s="1"/>
  <c r="AM294" i="27"/>
  <c r="AN294" i="27" s="1"/>
  <c r="AM288" i="27"/>
  <c r="AN288" i="27" s="1"/>
  <c r="AM282" i="27"/>
  <c r="AN282" i="27" s="1"/>
  <c r="AM278" i="27"/>
  <c r="AN278" i="27" s="1"/>
  <c r="AM272" i="27"/>
  <c r="AN272" i="27" s="1"/>
  <c r="AM266" i="27"/>
  <c r="AN266" i="27" s="1"/>
  <c r="AM260" i="27"/>
  <c r="AN260" i="27" s="1"/>
  <c r="AM254" i="27"/>
  <c r="AN254" i="27" s="1"/>
  <c r="AM250" i="27"/>
  <c r="AN250" i="27" s="1"/>
  <c r="AM244" i="27"/>
  <c r="AN244" i="27" s="1"/>
  <c r="AM238" i="27"/>
  <c r="AN238" i="27" s="1"/>
  <c r="AM232" i="27"/>
  <c r="AN232" i="27" s="1"/>
  <c r="AM226" i="27"/>
  <c r="AN226" i="27" s="1"/>
  <c r="AM222" i="27"/>
  <c r="AN222" i="27" s="1"/>
  <c r="AM216" i="27"/>
  <c r="AN216" i="27" s="1"/>
  <c r="AM210" i="27"/>
  <c r="AN210" i="27" s="1"/>
  <c r="AM204" i="27"/>
  <c r="AN204" i="27" s="1"/>
  <c r="AM198" i="27"/>
  <c r="AN198" i="27" s="1"/>
  <c r="AM194" i="27"/>
  <c r="AN194" i="27" s="1"/>
  <c r="AM188" i="27"/>
  <c r="AN188" i="27" s="1"/>
  <c r="AM182" i="27"/>
  <c r="AN182" i="27" s="1"/>
  <c r="AM176" i="27"/>
  <c r="AN176" i="27" s="1"/>
  <c r="AM170" i="27"/>
  <c r="AN170" i="27" s="1"/>
  <c r="AM166" i="27"/>
  <c r="AN166" i="27" s="1"/>
  <c r="AM160" i="27"/>
  <c r="AN160" i="27" s="1"/>
  <c r="AM154" i="27"/>
  <c r="AN154" i="27" s="1"/>
  <c r="AM148" i="27"/>
  <c r="AN148" i="27" s="1"/>
  <c r="AM142" i="27"/>
  <c r="AN142" i="27" s="1"/>
  <c r="AM138" i="27"/>
  <c r="AN138" i="27" s="1"/>
  <c r="AM132" i="27"/>
  <c r="AN132" i="27" s="1"/>
  <c r="AM126" i="27"/>
  <c r="AN126" i="27" s="1"/>
  <c r="AM120" i="27"/>
  <c r="AN120" i="27" s="1"/>
  <c r="AM114" i="27"/>
  <c r="AN114" i="27" s="1"/>
  <c r="AM110" i="27"/>
  <c r="AN110" i="27" s="1"/>
  <c r="AM97" i="27"/>
  <c r="AN97" i="27" s="1"/>
  <c r="AM91" i="27"/>
  <c r="AN91" i="27" s="1"/>
  <c r="AM85" i="27"/>
  <c r="AN85" i="27" s="1"/>
  <c r="AM79" i="27"/>
  <c r="AN79" i="27" s="1"/>
  <c r="AM75" i="27"/>
  <c r="AN75" i="27" s="1"/>
  <c r="AM69" i="27"/>
  <c r="AN69" i="27" s="1"/>
  <c r="AM63" i="27"/>
  <c r="AN63" i="27" s="1"/>
  <c r="AM56" i="27"/>
  <c r="AN56" i="27" s="1"/>
  <c r="AM49" i="27"/>
  <c r="AN49" i="27" s="1"/>
  <c r="AM43" i="27"/>
  <c r="AN43" i="27" s="1"/>
  <c r="AM30" i="27"/>
  <c r="AN30" i="27" s="1"/>
  <c r="AM175" i="27"/>
  <c r="AN175" i="27" s="1"/>
  <c r="AM163" i="27"/>
  <c r="AN163" i="27" s="1"/>
  <c r="AM153" i="27"/>
  <c r="AN153" i="27" s="1"/>
  <c r="AM141" i="27"/>
  <c r="AN141" i="27" s="1"/>
  <c r="AM121" i="27"/>
  <c r="AN121" i="27" s="1"/>
  <c r="AM111" i="27"/>
  <c r="AN111" i="27" s="1"/>
  <c r="AM92" i="27"/>
  <c r="AN92" i="27" s="1"/>
  <c r="AM82" i="27"/>
  <c r="AN82" i="27" s="1"/>
  <c r="AM70" i="27"/>
  <c r="AN70" i="27" s="1"/>
  <c r="AM57" i="27"/>
  <c r="AN57" i="27" s="1"/>
  <c r="AM46" i="27"/>
  <c r="AN46" i="27" s="1"/>
  <c r="AM135" i="27"/>
  <c r="AN135" i="27" s="1"/>
  <c r="AM119" i="27"/>
  <c r="AN119" i="27" s="1"/>
  <c r="AM90" i="27"/>
  <c r="AN90" i="27" s="1"/>
  <c r="AM68" i="27"/>
  <c r="AN68" i="27" s="1"/>
  <c r="AM42" i="27"/>
  <c r="AN42" i="27" s="1"/>
  <c r="AM131" i="27"/>
  <c r="AN131" i="27" s="1"/>
  <c r="AM117" i="27"/>
  <c r="AN117" i="27" s="1"/>
  <c r="AM98" i="27"/>
  <c r="AN98" i="27" s="1"/>
  <c r="AM86" i="27"/>
  <c r="AN86" i="27" s="1"/>
  <c r="AM76" i="27"/>
  <c r="AN76" i="27" s="1"/>
  <c r="AM64" i="27"/>
  <c r="AN64" i="27" s="1"/>
  <c r="AM50" i="27"/>
  <c r="AN50" i="27" s="1"/>
  <c r="AM38" i="27"/>
  <c r="AN38" i="27" s="1"/>
  <c r="AM125" i="27"/>
  <c r="AN125" i="27" s="1"/>
  <c r="AM113" i="27"/>
  <c r="AN113" i="27" s="1"/>
  <c r="AM96" i="27"/>
  <c r="AN96" i="27" s="1"/>
  <c r="AM84" i="27"/>
  <c r="AN84" i="27" s="1"/>
  <c r="AM72" i="27"/>
  <c r="AN72" i="27" s="1"/>
  <c r="AM62" i="27"/>
  <c r="AN62" i="27" s="1"/>
  <c r="AM48" i="27"/>
  <c r="AN48" i="27" s="1"/>
  <c r="AM100" i="27"/>
  <c r="AN100" i="27" s="1"/>
  <c r="AM78" i="27"/>
  <c r="AN78" i="27" s="1"/>
  <c r="AM55" i="27"/>
  <c r="AN55" i="27" s="1"/>
  <c r="T32" i="16"/>
  <c r="T43" i="16"/>
  <c r="T40" i="16"/>
  <c r="T41" i="16"/>
  <c r="T35" i="16"/>
  <c r="T42" i="16"/>
  <c r="T31" i="16"/>
  <c r="T45" i="16"/>
  <c r="T37" i="16"/>
  <c r="T36" i="16"/>
  <c r="T44" i="16"/>
  <c r="T34" i="16"/>
  <c r="T33" i="16"/>
  <c r="T39" i="16"/>
  <c r="AI1055" i="27"/>
  <c r="AI1054" i="27"/>
  <c r="AI1053" i="27"/>
  <c r="F20" i="28" l="1"/>
  <c r="F15" i="26" s="1"/>
  <c r="F134" i="26" s="1"/>
  <c r="G20" i="28"/>
  <c r="G15" i="26" s="1"/>
  <c r="G134" i="26" s="1"/>
  <c r="E20" i="28"/>
  <c r="E15" i="26" s="1"/>
  <c r="E134" i="26" s="1"/>
  <c r="C20" i="28"/>
  <c r="C15" i="26" s="1"/>
  <c r="H20" i="28"/>
  <c r="H15" i="26" s="1"/>
  <c r="H134" i="26" s="1"/>
  <c r="D20" i="28"/>
  <c r="D15" i="26" s="1"/>
  <c r="D134" i="26" s="1"/>
  <c r="B22" i="28"/>
  <c r="C26" i="24" s="1"/>
  <c r="B21" i="28"/>
  <c r="B17" i="26" s="1"/>
  <c r="H61" i="28"/>
  <c r="H55" i="26" s="1"/>
  <c r="H90" i="26" s="1"/>
  <c r="F61" i="28"/>
  <c r="F55" i="26" s="1"/>
  <c r="F90" i="26" s="1"/>
  <c r="D61" i="28"/>
  <c r="D55" i="26" s="1"/>
  <c r="D90" i="26" s="1"/>
  <c r="E61" i="28"/>
  <c r="E55" i="26" s="1"/>
  <c r="E90" i="26" s="1"/>
  <c r="G61" i="28"/>
  <c r="G55" i="26" s="1"/>
  <c r="G90" i="26" s="1"/>
  <c r="C61" i="28"/>
  <c r="C55" i="26" s="1"/>
  <c r="C90" i="26" s="1"/>
  <c r="J67" i="29"/>
  <c r="K66" i="29" s="1"/>
  <c r="I68" i="29"/>
  <c r="H28" i="28"/>
  <c r="H22" i="26" s="1"/>
  <c r="H122" i="26" s="1"/>
  <c r="F75" i="28"/>
  <c r="F69" i="26" s="1"/>
  <c r="F144" i="26" s="1"/>
  <c r="H74" i="28"/>
  <c r="H68" i="26" s="1"/>
  <c r="H143" i="26" s="1"/>
  <c r="D74" i="28"/>
  <c r="D68" i="26" s="1"/>
  <c r="D143" i="26" s="1"/>
  <c r="F73" i="28"/>
  <c r="F67" i="26" s="1"/>
  <c r="F142" i="26" s="1"/>
  <c r="H72" i="28"/>
  <c r="H66" i="26" s="1"/>
  <c r="H140" i="26" s="1"/>
  <c r="D72" i="28"/>
  <c r="D66" i="26" s="1"/>
  <c r="D140" i="26" s="1"/>
  <c r="F71" i="28"/>
  <c r="F65" i="26" s="1"/>
  <c r="F86" i="26" s="1"/>
  <c r="H70" i="28"/>
  <c r="H64" i="26" s="1"/>
  <c r="H138" i="26" s="1"/>
  <c r="D70" i="28"/>
  <c r="D64" i="26" s="1"/>
  <c r="D138" i="26" s="1"/>
  <c r="F69" i="28"/>
  <c r="F63" i="26" s="1"/>
  <c r="F137" i="26" s="1"/>
  <c r="H68" i="28"/>
  <c r="H62" i="26" s="1"/>
  <c r="H89" i="26" s="1"/>
  <c r="D68" i="28"/>
  <c r="D62" i="26" s="1"/>
  <c r="D89" i="26" s="1"/>
  <c r="F67" i="28"/>
  <c r="F61" i="26" s="1"/>
  <c r="H66" i="28"/>
  <c r="H60" i="26" s="1"/>
  <c r="H87" i="26" s="1"/>
  <c r="D66" i="28"/>
  <c r="D60" i="26" s="1"/>
  <c r="D87" i="26" s="1"/>
  <c r="F65" i="28"/>
  <c r="F59" i="26" s="1"/>
  <c r="F85" i="26" s="1"/>
  <c r="H64" i="28"/>
  <c r="H58" i="26" s="1"/>
  <c r="H84" i="26" s="1"/>
  <c r="D64" i="28"/>
  <c r="D58" i="26" s="1"/>
  <c r="D84" i="26" s="1"/>
  <c r="F63" i="28"/>
  <c r="F57" i="26" s="1"/>
  <c r="F83" i="26" s="1"/>
  <c r="H62" i="28"/>
  <c r="H56" i="26" s="1"/>
  <c r="D62" i="28"/>
  <c r="D56" i="26" s="1"/>
  <c r="F60" i="28"/>
  <c r="F54" i="26" s="1"/>
  <c r="F79" i="26" s="1"/>
  <c r="H59" i="28"/>
  <c r="H53" i="26" s="1"/>
  <c r="H78" i="26" s="1"/>
  <c r="D59" i="28"/>
  <c r="D53" i="26" s="1"/>
  <c r="D78" i="26" s="1"/>
  <c r="F58" i="28"/>
  <c r="F52" i="26" s="1"/>
  <c r="F156" i="26" s="1"/>
  <c r="H57" i="28"/>
  <c r="H51" i="26" s="1"/>
  <c r="D57" i="28"/>
  <c r="D51" i="26" s="1"/>
  <c r="F56" i="28"/>
  <c r="F50" i="26" s="1"/>
  <c r="H55" i="28"/>
  <c r="H49" i="26" s="1"/>
  <c r="H74" i="26" s="1"/>
  <c r="D55" i="28"/>
  <c r="D49" i="26" s="1"/>
  <c r="D74" i="26" s="1"/>
  <c r="F54" i="28"/>
  <c r="F48" i="26" s="1"/>
  <c r="F73" i="26" s="1"/>
  <c r="H53" i="28"/>
  <c r="H47" i="26" s="1"/>
  <c r="H118" i="26" s="1"/>
  <c r="D53" i="28"/>
  <c r="D47" i="26" s="1"/>
  <c r="D118" i="26" s="1"/>
  <c r="F52" i="28"/>
  <c r="F46" i="26" s="1"/>
  <c r="F117" i="26" s="1"/>
  <c r="H51" i="28"/>
  <c r="H45" i="26" s="1"/>
  <c r="H116" i="26" s="1"/>
  <c r="D51" i="28"/>
  <c r="D45" i="26" s="1"/>
  <c r="D116" i="26" s="1"/>
  <c r="F50" i="28"/>
  <c r="F44" i="26" s="1"/>
  <c r="F115" i="26" s="1"/>
  <c r="H49" i="28"/>
  <c r="H43" i="26" s="1"/>
  <c r="H114" i="26" s="1"/>
  <c r="D49" i="28"/>
  <c r="D43" i="26" s="1"/>
  <c r="D114" i="26" s="1"/>
  <c r="F48" i="28"/>
  <c r="F42" i="26" s="1"/>
  <c r="F113" i="26" s="1"/>
  <c r="H47" i="28"/>
  <c r="H41" i="26" s="1"/>
  <c r="H112" i="26" s="1"/>
  <c r="D47" i="28"/>
  <c r="D41" i="26" s="1"/>
  <c r="D112" i="26" s="1"/>
  <c r="F46" i="28"/>
  <c r="F40" i="26" s="1"/>
  <c r="F109" i="26" s="1"/>
  <c r="H45" i="28"/>
  <c r="H39" i="26" s="1"/>
  <c r="H108" i="26" s="1"/>
  <c r="D45" i="28"/>
  <c r="D39" i="26" s="1"/>
  <c r="D108" i="26" s="1"/>
  <c r="F44" i="28"/>
  <c r="F38" i="26" s="1"/>
  <c r="F107" i="26" s="1"/>
  <c r="H43" i="28"/>
  <c r="H37" i="26" s="1"/>
  <c r="H106" i="26" s="1"/>
  <c r="D43" i="28"/>
  <c r="D37" i="26" s="1"/>
  <c r="D106" i="26" s="1"/>
  <c r="F42" i="28"/>
  <c r="F36" i="26" s="1"/>
  <c r="F105" i="26" s="1"/>
  <c r="H41" i="28"/>
  <c r="D41" i="28"/>
  <c r="F40" i="28"/>
  <c r="H39" i="28"/>
  <c r="D39" i="28"/>
  <c r="F38" i="28"/>
  <c r="H37" i="28"/>
  <c r="D37" i="28"/>
  <c r="F36" i="28"/>
  <c r="H35" i="28"/>
  <c r="D35" i="28"/>
  <c r="F34" i="28"/>
  <c r="H33" i="28"/>
  <c r="D33" i="28"/>
  <c r="F32" i="28"/>
  <c r="H31" i="28"/>
  <c r="H25" i="26" s="1"/>
  <c r="H126" i="26" s="1"/>
  <c r="D31" i="28"/>
  <c r="D25" i="26" s="1"/>
  <c r="D126" i="26" s="1"/>
  <c r="F30" i="28"/>
  <c r="F24" i="26" s="1"/>
  <c r="F124" i="26" s="1"/>
  <c r="H29" i="28"/>
  <c r="H23" i="26" s="1"/>
  <c r="H123" i="26" s="1"/>
  <c r="D29" i="28"/>
  <c r="D23" i="26" s="1"/>
  <c r="D123" i="26" s="1"/>
  <c r="F28" i="28"/>
  <c r="F22" i="26" s="1"/>
  <c r="F122" i="26" s="1"/>
  <c r="H27" i="28"/>
  <c r="H21" i="26" s="1"/>
  <c r="D27" i="28"/>
  <c r="D21" i="26" s="1"/>
  <c r="E75" i="28"/>
  <c r="E69" i="26" s="1"/>
  <c r="E144" i="26" s="1"/>
  <c r="G74" i="28"/>
  <c r="G68" i="26" s="1"/>
  <c r="G143" i="26" s="1"/>
  <c r="C74" i="28"/>
  <c r="C68" i="26" s="1"/>
  <c r="E73" i="28"/>
  <c r="E67" i="26" s="1"/>
  <c r="E142" i="26" s="1"/>
  <c r="G72" i="28"/>
  <c r="G66" i="26" s="1"/>
  <c r="G140" i="26" s="1"/>
  <c r="C72" i="28"/>
  <c r="C66" i="26" s="1"/>
  <c r="E71" i="28"/>
  <c r="E65" i="26" s="1"/>
  <c r="E86" i="26" s="1"/>
  <c r="G70" i="28"/>
  <c r="G64" i="26" s="1"/>
  <c r="G138" i="26" s="1"/>
  <c r="C70" i="28"/>
  <c r="C64" i="26" s="1"/>
  <c r="E69" i="28"/>
  <c r="E63" i="26" s="1"/>
  <c r="E137" i="26" s="1"/>
  <c r="G68" i="28"/>
  <c r="G62" i="26" s="1"/>
  <c r="G89" i="26" s="1"/>
  <c r="C68" i="28"/>
  <c r="C62" i="26" s="1"/>
  <c r="E67" i="28"/>
  <c r="E61" i="26" s="1"/>
  <c r="G66" i="28"/>
  <c r="G60" i="26" s="1"/>
  <c r="G87" i="26" s="1"/>
  <c r="C66" i="28"/>
  <c r="C60" i="26" s="1"/>
  <c r="E65" i="28"/>
  <c r="E59" i="26" s="1"/>
  <c r="E85" i="26" s="1"/>
  <c r="G64" i="28"/>
  <c r="G58" i="26" s="1"/>
  <c r="G84" i="26" s="1"/>
  <c r="C64" i="28"/>
  <c r="C58" i="26" s="1"/>
  <c r="E63" i="28"/>
  <c r="E57" i="26" s="1"/>
  <c r="E83" i="26" s="1"/>
  <c r="G62" i="28"/>
  <c r="G56" i="26" s="1"/>
  <c r="C62" i="28"/>
  <c r="C56" i="26" s="1"/>
  <c r="E60" i="28"/>
  <c r="E54" i="26" s="1"/>
  <c r="E79" i="26" s="1"/>
  <c r="G59" i="28"/>
  <c r="G53" i="26" s="1"/>
  <c r="G155" i="26" s="1"/>
  <c r="C59" i="28"/>
  <c r="C53" i="26" s="1"/>
  <c r="E58" i="28"/>
  <c r="E52" i="26" s="1"/>
  <c r="E77" i="26" s="1"/>
  <c r="G57" i="28"/>
  <c r="G51" i="26" s="1"/>
  <c r="C57" i="28"/>
  <c r="C51" i="26" s="1"/>
  <c r="E56" i="28"/>
  <c r="E50" i="26" s="1"/>
  <c r="G55" i="28"/>
  <c r="G49" i="26" s="1"/>
  <c r="G74" i="26" s="1"/>
  <c r="C55" i="28"/>
  <c r="C49" i="26" s="1"/>
  <c r="E54" i="28"/>
  <c r="E48" i="26" s="1"/>
  <c r="E73" i="26" s="1"/>
  <c r="G53" i="28"/>
  <c r="G47" i="26" s="1"/>
  <c r="G118" i="26" s="1"/>
  <c r="C53" i="28"/>
  <c r="C47" i="26" s="1"/>
  <c r="E52" i="28"/>
  <c r="E46" i="26" s="1"/>
  <c r="E117" i="26" s="1"/>
  <c r="G51" i="28"/>
  <c r="G45" i="26" s="1"/>
  <c r="G116" i="26" s="1"/>
  <c r="C51" i="28"/>
  <c r="C45" i="26" s="1"/>
  <c r="E50" i="28"/>
  <c r="E44" i="26" s="1"/>
  <c r="E115" i="26" s="1"/>
  <c r="G49" i="28"/>
  <c r="G43" i="26" s="1"/>
  <c r="G114" i="26" s="1"/>
  <c r="C49" i="28"/>
  <c r="C43" i="26" s="1"/>
  <c r="E48" i="28"/>
  <c r="E42" i="26" s="1"/>
  <c r="E113" i="26" s="1"/>
  <c r="G47" i="28"/>
  <c r="G41" i="26" s="1"/>
  <c r="G112" i="26" s="1"/>
  <c r="C47" i="28"/>
  <c r="C41" i="26" s="1"/>
  <c r="E46" i="28"/>
  <c r="E40" i="26" s="1"/>
  <c r="E109" i="26" s="1"/>
  <c r="G45" i="28"/>
  <c r="G39" i="26" s="1"/>
  <c r="G108" i="26" s="1"/>
  <c r="C45" i="28"/>
  <c r="C39" i="26" s="1"/>
  <c r="E44" i="28"/>
  <c r="E38" i="26" s="1"/>
  <c r="E107" i="26" s="1"/>
  <c r="G43" i="28"/>
  <c r="G37" i="26" s="1"/>
  <c r="G106" i="26" s="1"/>
  <c r="C43" i="28"/>
  <c r="C37" i="26" s="1"/>
  <c r="E42" i="28"/>
  <c r="E36" i="26" s="1"/>
  <c r="E105" i="26" s="1"/>
  <c r="G41" i="28"/>
  <c r="C41" i="28"/>
  <c r="C35" i="26" s="1"/>
  <c r="E40" i="28"/>
  <c r="G39" i="28"/>
  <c r="C39" i="28"/>
  <c r="C33" i="26" s="1"/>
  <c r="E38" i="28"/>
  <c r="G37" i="28"/>
  <c r="C37" i="28"/>
  <c r="C31" i="26" s="1"/>
  <c r="E36" i="28"/>
  <c r="G35" i="28"/>
  <c r="C35" i="28"/>
  <c r="C29" i="26" s="1"/>
  <c r="E34" i="28"/>
  <c r="G33" i="28"/>
  <c r="C33" i="28"/>
  <c r="C27" i="26" s="1"/>
  <c r="E32" i="28"/>
  <c r="G31" i="28"/>
  <c r="G25" i="26" s="1"/>
  <c r="G126" i="26" s="1"/>
  <c r="C31" i="28"/>
  <c r="C25" i="26" s="1"/>
  <c r="E30" i="28"/>
  <c r="E24" i="26" s="1"/>
  <c r="E124" i="26" s="1"/>
  <c r="G29" i="28"/>
  <c r="G23" i="26" s="1"/>
  <c r="G123" i="26" s="1"/>
  <c r="C29" i="28"/>
  <c r="C23" i="26" s="1"/>
  <c r="E28" i="28"/>
  <c r="E22" i="26" s="1"/>
  <c r="E122" i="26" s="1"/>
  <c r="G27" i="28"/>
  <c r="G21" i="26" s="1"/>
  <c r="C27" i="28"/>
  <c r="C21" i="26" s="1"/>
  <c r="H75" i="28"/>
  <c r="H69" i="26" s="1"/>
  <c r="H144" i="26" s="1"/>
  <c r="D75" i="28"/>
  <c r="D69" i="26" s="1"/>
  <c r="D144" i="26" s="1"/>
  <c r="F74" i="28"/>
  <c r="F68" i="26" s="1"/>
  <c r="F143" i="26" s="1"/>
  <c r="H73" i="28"/>
  <c r="H67" i="26" s="1"/>
  <c r="H142" i="26" s="1"/>
  <c r="D73" i="28"/>
  <c r="D67" i="26" s="1"/>
  <c r="D142" i="26" s="1"/>
  <c r="F72" i="28"/>
  <c r="F66" i="26" s="1"/>
  <c r="F140" i="26" s="1"/>
  <c r="H71" i="28"/>
  <c r="H65" i="26" s="1"/>
  <c r="H139" i="26" s="1"/>
  <c r="D71" i="28"/>
  <c r="D65" i="26" s="1"/>
  <c r="D86" i="26" s="1"/>
  <c r="F70" i="28"/>
  <c r="F64" i="26" s="1"/>
  <c r="F138" i="26" s="1"/>
  <c r="H69" i="28"/>
  <c r="H63" i="26" s="1"/>
  <c r="H137" i="26" s="1"/>
  <c r="D69" i="28"/>
  <c r="D63" i="26" s="1"/>
  <c r="D137" i="26" s="1"/>
  <c r="F68" i="28"/>
  <c r="F62" i="26" s="1"/>
  <c r="F89" i="26" s="1"/>
  <c r="H67" i="28"/>
  <c r="H61" i="26" s="1"/>
  <c r="D67" i="28"/>
  <c r="D61" i="26" s="1"/>
  <c r="F66" i="28"/>
  <c r="F60" i="26" s="1"/>
  <c r="F87" i="26" s="1"/>
  <c r="H65" i="28"/>
  <c r="H59" i="26" s="1"/>
  <c r="H85" i="26" s="1"/>
  <c r="D65" i="28"/>
  <c r="D59" i="26" s="1"/>
  <c r="D85" i="26" s="1"/>
  <c r="F64" i="28"/>
  <c r="F58" i="26" s="1"/>
  <c r="F84" i="26" s="1"/>
  <c r="H63" i="28"/>
  <c r="H57" i="26" s="1"/>
  <c r="H83" i="26" s="1"/>
  <c r="D63" i="28"/>
  <c r="D57" i="26" s="1"/>
  <c r="D83" i="26" s="1"/>
  <c r="F62" i="28"/>
  <c r="F56" i="26" s="1"/>
  <c r="H60" i="28"/>
  <c r="H54" i="26" s="1"/>
  <c r="H79" i="26" s="1"/>
  <c r="D60" i="28"/>
  <c r="D54" i="26" s="1"/>
  <c r="D79" i="26" s="1"/>
  <c r="F59" i="28"/>
  <c r="F53" i="26" s="1"/>
  <c r="F155" i="26" s="1"/>
  <c r="H58" i="28"/>
  <c r="H52" i="26" s="1"/>
  <c r="H77" i="26" s="1"/>
  <c r="D58" i="28"/>
  <c r="D52" i="26" s="1"/>
  <c r="D77" i="26" s="1"/>
  <c r="F57" i="28"/>
  <c r="F51" i="26" s="1"/>
  <c r="H56" i="28"/>
  <c r="H50" i="26" s="1"/>
  <c r="D56" i="28"/>
  <c r="D50" i="26" s="1"/>
  <c r="F55" i="28"/>
  <c r="F49" i="26" s="1"/>
  <c r="F74" i="26" s="1"/>
  <c r="H54" i="28"/>
  <c r="H48" i="26" s="1"/>
  <c r="H73" i="26" s="1"/>
  <c r="D54" i="28"/>
  <c r="D48" i="26" s="1"/>
  <c r="D73" i="26" s="1"/>
  <c r="F53" i="28"/>
  <c r="F47" i="26" s="1"/>
  <c r="F118" i="26" s="1"/>
  <c r="H52" i="28"/>
  <c r="H46" i="26" s="1"/>
  <c r="H117" i="26" s="1"/>
  <c r="D52" i="28"/>
  <c r="D46" i="26" s="1"/>
  <c r="D117" i="26" s="1"/>
  <c r="F51" i="28"/>
  <c r="F45" i="26" s="1"/>
  <c r="F116" i="26" s="1"/>
  <c r="H50" i="28"/>
  <c r="H44" i="26" s="1"/>
  <c r="H115" i="26" s="1"/>
  <c r="D50" i="28"/>
  <c r="D44" i="26" s="1"/>
  <c r="D115" i="26" s="1"/>
  <c r="F49" i="28"/>
  <c r="F43" i="26" s="1"/>
  <c r="F114" i="26" s="1"/>
  <c r="H48" i="28"/>
  <c r="H42" i="26" s="1"/>
  <c r="H113" i="26" s="1"/>
  <c r="D48" i="28"/>
  <c r="D42" i="26" s="1"/>
  <c r="D113" i="26" s="1"/>
  <c r="F47" i="28"/>
  <c r="F41" i="26" s="1"/>
  <c r="F112" i="26" s="1"/>
  <c r="H46" i="28"/>
  <c r="H40" i="26" s="1"/>
  <c r="H109" i="26" s="1"/>
  <c r="D46" i="28"/>
  <c r="D40" i="26" s="1"/>
  <c r="D109" i="26" s="1"/>
  <c r="F45" i="28"/>
  <c r="F39" i="26" s="1"/>
  <c r="F108" i="26" s="1"/>
  <c r="H44" i="28"/>
  <c r="H38" i="26" s="1"/>
  <c r="H107" i="26" s="1"/>
  <c r="D44" i="28"/>
  <c r="D38" i="26" s="1"/>
  <c r="D107" i="26" s="1"/>
  <c r="F43" i="28"/>
  <c r="F37" i="26" s="1"/>
  <c r="F106" i="26" s="1"/>
  <c r="H42" i="28"/>
  <c r="H36" i="26" s="1"/>
  <c r="H105" i="26" s="1"/>
  <c r="D42" i="28"/>
  <c r="D36" i="26" s="1"/>
  <c r="D105" i="26" s="1"/>
  <c r="F41" i="28"/>
  <c r="H40" i="28"/>
  <c r="D40" i="28"/>
  <c r="F39" i="28"/>
  <c r="H38" i="28"/>
  <c r="D38" i="28"/>
  <c r="F37" i="28"/>
  <c r="H36" i="28"/>
  <c r="D36" i="28"/>
  <c r="F35" i="28"/>
  <c r="H34" i="28"/>
  <c r="D34" i="28"/>
  <c r="F33" i="28"/>
  <c r="H32" i="28"/>
  <c r="D32" i="28"/>
  <c r="F31" i="28"/>
  <c r="F25" i="26" s="1"/>
  <c r="F126" i="26" s="1"/>
  <c r="H30" i="28"/>
  <c r="H24" i="26" s="1"/>
  <c r="H124" i="26" s="1"/>
  <c r="D30" i="28"/>
  <c r="D24" i="26" s="1"/>
  <c r="D124" i="26" s="1"/>
  <c r="F29" i="28"/>
  <c r="F23" i="26" s="1"/>
  <c r="F123" i="26" s="1"/>
  <c r="D28" i="28"/>
  <c r="D22" i="26" s="1"/>
  <c r="D122" i="26" s="1"/>
  <c r="F27" i="28"/>
  <c r="F21" i="26" s="1"/>
  <c r="C26" i="28"/>
  <c r="C20" i="26" s="1"/>
  <c r="G75" i="28"/>
  <c r="G69" i="26" s="1"/>
  <c r="G144" i="26" s="1"/>
  <c r="C75" i="28"/>
  <c r="C69" i="26" s="1"/>
  <c r="E74" i="28"/>
  <c r="E68" i="26" s="1"/>
  <c r="E143" i="26" s="1"/>
  <c r="G73" i="28"/>
  <c r="G67" i="26" s="1"/>
  <c r="G142" i="26" s="1"/>
  <c r="C73" i="28"/>
  <c r="C67" i="26" s="1"/>
  <c r="E72" i="28"/>
  <c r="E66" i="26" s="1"/>
  <c r="E140" i="26" s="1"/>
  <c r="G71" i="28"/>
  <c r="G65" i="26" s="1"/>
  <c r="G86" i="26" s="1"/>
  <c r="C71" i="28"/>
  <c r="C65" i="26" s="1"/>
  <c r="E70" i="28"/>
  <c r="E64" i="26" s="1"/>
  <c r="E138" i="26" s="1"/>
  <c r="G69" i="28"/>
  <c r="G63" i="26" s="1"/>
  <c r="G137" i="26" s="1"/>
  <c r="C69" i="28"/>
  <c r="C63" i="26" s="1"/>
  <c r="E68" i="28"/>
  <c r="E62" i="26" s="1"/>
  <c r="E89" i="26" s="1"/>
  <c r="G67" i="28"/>
  <c r="G61" i="26" s="1"/>
  <c r="C67" i="28"/>
  <c r="C61" i="26" s="1"/>
  <c r="E66" i="28"/>
  <c r="E60" i="26" s="1"/>
  <c r="E87" i="26" s="1"/>
  <c r="G65" i="28"/>
  <c r="G59" i="26" s="1"/>
  <c r="G85" i="26" s="1"/>
  <c r="C65" i="28"/>
  <c r="C59" i="26" s="1"/>
  <c r="E64" i="28"/>
  <c r="E58" i="26" s="1"/>
  <c r="E84" i="26" s="1"/>
  <c r="G63" i="28"/>
  <c r="G57" i="26" s="1"/>
  <c r="G83" i="26" s="1"/>
  <c r="C63" i="28"/>
  <c r="C57" i="26" s="1"/>
  <c r="E62" i="28"/>
  <c r="E56" i="26" s="1"/>
  <c r="G60" i="28"/>
  <c r="G54" i="26" s="1"/>
  <c r="G79" i="26" s="1"/>
  <c r="C60" i="28"/>
  <c r="C54" i="26" s="1"/>
  <c r="C79" i="26" s="1"/>
  <c r="E59" i="28"/>
  <c r="E53" i="26" s="1"/>
  <c r="E78" i="26" s="1"/>
  <c r="G58" i="28"/>
  <c r="G52" i="26" s="1"/>
  <c r="G156" i="26" s="1"/>
  <c r="C58" i="28"/>
  <c r="C52" i="26" s="1"/>
  <c r="E57" i="28"/>
  <c r="E51" i="26" s="1"/>
  <c r="G56" i="28"/>
  <c r="G50" i="26" s="1"/>
  <c r="C56" i="28"/>
  <c r="C50" i="26" s="1"/>
  <c r="E55" i="28"/>
  <c r="E49" i="26" s="1"/>
  <c r="E74" i="26" s="1"/>
  <c r="G54" i="28"/>
  <c r="G48" i="26" s="1"/>
  <c r="G73" i="26" s="1"/>
  <c r="C54" i="28"/>
  <c r="C48" i="26" s="1"/>
  <c r="E53" i="28"/>
  <c r="E47" i="26" s="1"/>
  <c r="E118" i="26" s="1"/>
  <c r="G52" i="28"/>
  <c r="G46" i="26" s="1"/>
  <c r="G117" i="26" s="1"/>
  <c r="C52" i="28"/>
  <c r="C46" i="26" s="1"/>
  <c r="E51" i="28"/>
  <c r="E45" i="26" s="1"/>
  <c r="E116" i="26" s="1"/>
  <c r="G50" i="28"/>
  <c r="G44" i="26" s="1"/>
  <c r="G115" i="26" s="1"/>
  <c r="C50" i="28"/>
  <c r="C44" i="26" s="1"/>
  <c r="E49" i="28"/>
  <c r="E43" i="26" s="1"/>
  <c r="E114" i="26" s="1"/>
  <c r="G48" i="28"/>
  <c r="G42" i="26" s="1"/>
  <c r="G113" i="26" s="1"/>
  <c r="C48" i="28"/>
  <c r="C42" i="26" s="1"/>
  <c r="E47" i="28"/>
  <c r="E41" i="26" s="1"/>
  <c r="E112" i="26" s="1"/>
  <c r="G46" i="28"/>
  <c r="G40" i="26" s="1"/>
  <c r="G109" i="26" s="1"/>
  <c r="C46" i="28"/>
  <c r="C40" i="26" s="1"/>
  <c r="E45" i="28"/>
  <c r="E39" i="26" s="1"/>
  <c r="E108" i="26" s="1"/>
  <c r="G44" i="28"/>
  <c r="G38" i="26" s="1"/>
  <c r="G107" i="26" s="1"/>
  <c r="C44" i="28"/>
  <c r="C38" i="26" s="1"/>
  <c r="E43" i="28"/>
  <c r="E37" i="26" s="1"/>
  <c r="E106" i="26" s="1"/>
  <c r="G42" i="28"/>
  <c r="G36" i="26" s="1"/>
  <c r="G105" i="26" s="1"/>
  <c r="C42" i="28"/>
  <c r="C36" i="26" s="1"/>
  <c r="E41" i="28"/>
  <c r="G40" i="28"/>
  <c r="C40" i="28"/>
  <c r="C34" i="26" s="1"/>
  <c r="E39" i="28"/>
  <c r="G38" i="28"/>
  <c r="C38" i="28"/>
  <c r="C32" i="26" s="1"/>
  <c r="E37" i="28"/>
  <c r="G36" i="28"/>
  <c r="C36" i="28"/>
  <c r="C30" i="26" s="1"/>
  <c r="E35" i="28"/>
  <c r="G34" i="28"/>
  <c r="C34" i="28"/>
  <c r="C28" i="26" s="1"/>
  <c r="E33" i="28"/>
  <c r="G32" i="28"/>
  <c r="C32" i="28"/>
  <c r="C26" i="26" s="1"/>
  <c r="E31" i="28"/>
  <c r="E25" i="26" s="1"/>
  <c r="E126" i="26" s="1"/>
  <c r="G30" i="28"/>
  <c r="G24" i="26" s="1"/>
  <c r="G124" i="26" s="1"/>
  <c r="C30" i="28"/>
  <c r="C24" i="26" s="1"/>
  <c r="E29" i="28"/>
  <c r="E23" i="26" s="1"/>
  <c r="E123" i="26" s="1"/>
  <c r="G28" i="28"/>
  <c r="G22" i="26" s="1"/>
  <c r="G122" i="26" s="1"/>
  <c r="C28" i="28"/>
  <c r="C22" i="26" s="1"/>
  <c r="E27" i="28"/>
  <c r="E21" i="26" s="1"/>
  <c r="C25" i="28"/>
  <c r="C19" i="26" s="1"/>
  <c r="F29" i="26" l="1"/>
  <c r="F96" i="26" s="1"/>
  <c r="F30" i="26"/>
  <c r="F97" i="26" s="1"/>
  <c r="H35" i="26"/>
  <c r="H102" i="26" s="1"/>
  <c r="G26" i="26"/>
  <c r="G93" i="26" s="1"/>
  <c r="F35" i="26"/>
  <c r="F102" i="26" s="1"/>
  <c r="G27" i="26"/>
  <c r="G94" i="26" s="1"/>
  <c r="D31" i="26"/>
  <c r="D98" i="26" s="1"/>
  <c r="H30" i="26"/>
  <c r="H97" i="26" s="1"/>
  <c r="E28" i="26"/>
  <c r="E95" i="26" s="1"/>
  <c r="G33" i="26"/>
  <c r="G100" i="26" s="1"/>
  <c r="F26" i="26"/>
  <c r="F93" i="26" s="1"/>
  <c r="H31" i="26"/>
  <c r="H98" i="26" s="1"/>
  <c r="E33" i="26"/>
  <c r="E100" i="26" s="1"/>
  <c r="D26" i="26"/>
  <c r="F31" i="26"/>
  <c r="F98" i="26" s="1"/>
  <c r="E34" i="26"/>
  <c r="E101" i="26" s="1"/>
  <c r="D27" i="26"/>
  <c r="D94" i="26" s="1"/>
  <c r="F32" i="26"/>
  <c r="F99" i="26" s="1"/>
  <c r="G28" i="26"/>
  <c r="G95" i="26" s="1"/>
  <c r="H26" i="26"/>
  <c r="H93" i="26" s="1"/>
  <c r="D32" i="26"/>
  <c r="D99" i="26" s="1"/>
  <c r="G29" i="26"/>
  <c r="G96" i="26" s="1"/>
  <c r="H27" i="26"/>
  <c r="H94" i="26" s="1"/>
  <c r="D33" i="26"/>
  <c r="D100" i="26" s="1"/>
  <c r="E31" i="26"/>
  <c r="E98" i="26" s="1"/>
  <c r="H34" i="26"/>
  <c r="H101" i="26" s="1"/>
  <c r="E32" i="26"/>
  <c r="E99" i="26" s="1"/>
  <c r="D30" i="26"/>
  <c r="D97" i="26" s="1"/>
  <c r="E27" i="26"/>
  <c r="E94" i="26" s="1"/>
  <c r="G32" i="26"/>
  <c r="G99" i="26" s="1"/>
  <c r="E29" i="26"/>
  <c r="E96" i="26" s="1"/>
  <c r="G34" i="26"/>
  <c r="G101" i="26" s="1"/>
  <c r="F27" i="26"/>
  <c r="F94" i="26" s="1"/>
  <c r="H32" i="26"/>
  <c r="H99" i="26" s="1"/>
  <c r="E30" i="26"/>
  <c r="E97" i="26" s="1"/>
  <c r="G35" i="26"/>
  <c r="G102" i="26" s="1"/>
  <c r="F28" i="26"/>
  <c r="F95" i="26" s="1"/>
  <c r="H33" i="26"/>
  <c r="H100" i="26" s="1"/>
  <c r="E35" i="26"/>
  <c r="E102" i="26" s="1"/>
  <c r="D28" i="26"/>
  <c r="D95" i="26" s="1"/>
  <c r="F33" i="26"/>
  <c r="F100" i="26" s="1"/>
  <c r="D29" i="26"/>
  <c r="D96" i="26" s="1"/>
  <c r="F34" i="26"/>
  <c r="F101" i="26" s="1"/>
  <c r="G30" i="26"/>
  <c r="G97" i="26" s="1"/>
  <c r="H28" i="26"/>
  <c r="H95" i="26" s="1"/>
  <c r="D34" i="26"/>
  <c r="D101" i="26" s="1"/>
  <c r="E26" i="26"/>
  <c r="E93" i="26" s="1"/>
  <c r="G31" i="26"/>
  <c r="G98" i="26" s="1"/>
  <c r="H29" i="26"/>
  <c r="H96" i="26" s="1"/>
  <c r="D35" i="26"/>
  <c r="D102" i="26" s="1"/>
  <c r="J68" i="29"/>
  <c r="K67" i="29"/>
  <c r="K68" i="29" s="1"/>
  <c r="C73" i="26"/>
  <c r="C97" i="26"/>
  <c r="C117" i="26"/>
  <c r="C98" i="26"/>
  <c r="C118" i="26"/>
  <c r="C93" i="26"/>
  <c r="C105" i="26"/>
  <c r="C77" i="26"/>
  <c r="C106" i="26"/>
  <c r="C78" i="26"/>
  <c r="C113" i="26"/>
  <c r="C85" i="26"/>
  <c r="C94" i="26"/>
  <c r="C114" i="26"/>
  <c r="C87" i="26"/>
  <c r="C99" i="26"/>
  <c r="C86" i="26"/>
  <c r="C100" i="26"/>
  <c r="C74" i="26"/>
  <c r="C107" i="26"/>
  <c r="C123" i="26"/>
  <c r="C108" i="26"/>
  <c r="C122" i="26"/>
  <c r="C95" i="26"/>
  <c r="C115" i="26"/>
  <c r="C96" i="26"/>
  <c r="C116" i="26"/>
  <c r="C89" i="26"/>
  <c r="C72" i="26"/>
  <c r="C101" i="26"/>
  <c r="C75" i="26"/>
  <c r="C82" i="26"/>
  <c r="C102" i="26"/>
  <c r="C76" i="26"/>
  <c r="C124" i="26"/>
  <c r="C109" i="26"/>
  <c r="C83" i="26"/>
  <c r="C126" i="26"/>
  <c r="C112" i="26"/>
  <c r="C84" i="26"/>
  <c r="C121" i="26"/>
  <c r="G129" i="26"/>
  <c r="H130" i="26"/>
  <c r="F129" i="26"/>
  <c r="D129" i="26"/>
  <c r="E129" i="26"/>
  <c r="D130" i="26"/>
  <c r="H129" i="26"/>
  <c r="G130" i="26"/>
  <c r="E130" i="26"/>
  <c r="F130" i="26"/>
  <c r="F121" i="26"/>
  <c r="G121" i="26"/>
  <c r="E121" i="26"/>
  <c r="H121" i="26"/>
  <c r="D121" i="26"/>
  <c r="G170" i="26"/>
  <c r="D75" i="26"/>
  <c r="F169" i="26"/>
  <c r="H19" i="24"/>
  <c r="G176" i="26"/>
  <c r="F75" i="26"/>
  <c r="F176" i="26"/>
  <c r="E176" i="26"/>
  <c r="E168" i="26"/>
  <c r="E156" i="26"/>
  <c r="H16" i="24"/>
  <c r="D155" i="26"/>
  <c r="G168" i="26"/>
  <c r="G75" i="26"/>
  <c r="F19" i="24"/>
  <c r="E75" i="26"/>
  <c r="E155" i="26"/>
  <c r="G139" i="26"/>
  <c r="E16" i="24"/>
  <c r="H52" i="24" s="1"/>
  <c r="H155" i="26"/>
  <c r="H86" i="26"/>
  <c r="E19" i="24"/>
  <c r="F78" i="26"/>
  <c r="D16" i="24"/>
  <c r="E52" i="24" s="1"/>
  <c r="D170" i="26"/>
  <c r="G19" i="24"/>
  <c r="D139" i="26"/>
  <c r="D169" i="26"/>
  <c r="G77" i="26"/>
  <c r="H176" i="26"/>
  <c r="G16" i="24"/>
  <c r="H168" i="26"/>
  <c r="H75" i="26"/>
  <c r="D76" i="26"/>
  <c r="F168" i="26"/>
  <c r="G78" i="26"/>
  <c r="F110" i="26"/>
  <c r="E139" i="26"/>
  <c r="H169" i="26"/>
  <c r="H76" i="26"/>
  <c r="E170" i="26"/>
  <c r="E169" i="26"/>
  <c r="E76" i="26"/>
  <c r="H170" i="26"/>
  <c r="F139" i="26"/>
  <c r="F16" i="24"/>
  <c r="G110" i="26"/>
  <c r="F170" i="26"/>
  <c r="F76" i="26"/>
  <c r="D168" i="26"/>
  <c r="G119" i="26"/>
  <c r="G76" i="26"/>
  <c r="D156" i="26"/>
  <c r="D176" i="26"/>
  <c r="D110" i="26"/>
  <c r="H110" i="26"/>
  <c r="E110" i="26"/>
  <c r="G169" i="26"/>
  <c r="D19" i="24"/>
  <c r="G55" i="24" s="1"/>
  <c r="D119" i="26"/>
  <c r="F119" i="26"/>
  <c r="H156" i="26"/>
  <c r="H119" i="26"/>
  <c r="E119" i="26"/>
  <c r="F77" i="26"/>
  <c r="P40" i="24" l="1"/>
  <c r="P55" i="24"/>
  <c r="M40" i="24"/>
  <c r="M55" i="24"/>
  <c r="K37" i="24"/>
  <c r="K52" i="24"/>
  <c r="N37" i="24"/>
  <c r="N52" i="24"/>
  <c r="S55" i="24"/>
  <c r="S40" i="24"/>
  <c r="Q52" i="24"/>
  <c r="Q37" i="24"/>
  <c r="F141" i="26"/>
  <c r="D141" i="26"/>
  <c r="H141" i="26"/>
  <c r="C130" i="26"/>
  <c r="C88" i="26"/>
  <c r="C91" i="26" s="1"/>
  <c r="E141" i="26"/>
  <c r="G141" i="26"/>
  <c r="C149" i="26"/>
  <c r="C129" i="26"/>
  <c r="C150" i="26"/>
  <c r="E103" i="26"/>
  <c r="E127" i="26" s="1"/>
  <c r="H103" i="26"/>
  <c r="H127" i="26" s="1"/>
  <c r="D93" i="26"/>
  <c r="D103" i="26" s="1"/>
  <c r="D127" i="26" s="1"/>
  <c r="G103" i="26"/>
  <c r="G127" i="26" s="1"/>
  <c r="F103" i="26"/>
  <c r="F127" i="26" s="1"/>
  <c r="D175" i="26"/>
  <c r="E15" i="24"/>
  <c r="I51" i="24" s="1"/>
  <c r="I60" i="24" s="1"/>
  <c r="G175" i="26"/>
  <c r="D18" i="24"/>
  <c r="H18" i="24"/>
  <c r="C103" i="26"/>
  <c r="C127" i="26" s="1"/>
  <c r="C128" i="26" s="1"/>
  <c r="C119" i="26"/>
  <c r="C80" i="26"/>
  <c r="C110" i="26"/>
  <c r="F18" i="24"/>
  <c r="E18" i="24"/>
  <c r="G18" i="24"/>
  <c r="H23" i="24"/>
  <c r="E88" i="26"/>
  <c r="D23" i="24"/>
  <c r="D22" i="24"/>
  <c r="E54" i="24" s="1"/>
  <c r="F23" i="24"/>
  <c r="G88" i="26"/>
  <c r="H22" i="24"/>
  <c r="E22" i="24"/>
  <c r="H54" i="24" s="1"/>
  <c r="G15" i="24"/>
  <c r="H175" i="26"/>
  <c r="D15" i="24"/>
  <c r="F51" i="24" s="1"/>
  <c r="F60" i="24" s="1"/>
  <c r="F175" i="26"/>
  <c r="H15" i="24"/>
  <c r="E175" i="26"/>
  <c r="F15" i="24"/>
  <c r="F22" i="24"/>
  <c r="G22" i="24"/>
  <c r="D88" i="26"/>
  <c r="H88" i="26"/>
  <c r="E23" i="24"/>
  <c r="H56" i="24" s="1"/>
  <c r="F88" i="26"/>
  <c r="G23" i="24"/>
  <c r="E56" i="24" l="1"/>
  <c r="G56" i="24"/>
  <c r="S41" i="24"/>
  <c r="S56" i="24"/>
  <c r="M41" i="24"/>
  <c r="M45" i="24" s="1"/>
  <c r="M56" i="24"/>
  <c r="M60" i="24" s="1"/>
  <c r="P56" i="24"/>
  <c r="P60" i="24" s="1"/>
  <c r="P41" i="24"/>
  <c r="P45" i="24" s="1"/>
  <c r="Q41" i="24"/>
  <c r="Q56" i="24"/>
  <c r="K39" i="24"/>
  <c r="K54" i="24"/>
  <c r="L51" i="24"/>
  <c r="L60" i="24" s="1"/>
  <c r="L36" i="24"/>
  <c r="L45" i="24" s="1"/>
  <c r="N54" i="24"/>
  <c r="N39" i="24"/>
  <c r="O51" i="24"/>
  <c r="O60" i="24" s="1"/>
  <c r="O36" i="24"/>
  <c r="O45" i="24" s="1"/>
  <c r="Q54" i="24"/>
  <c r="Q39" i="24"/>
  <c r="N56" i="24"/>
  <c r="N41" i="24"/>
  <c r="R36" i="24"/>
  <c r="R45" i="24" s="1"/>
  <c r="R51" i="24"/>
  <c r="R60" i="24" s="1"/>
  <c r="K56" i="24"/>
  <c r="K41" i="24"/>
  <c r="H128" i="26"/>
  <c r="H131" i="26" s="1"/>
  <c r="H136" i="26" s="1"/>
  <c r="C131" i="26"/>
  <c r="D82" i="26"/>
  <c r="D150" i="26" s="1"/>
  <c r="D72" i="26"/>
  <c r="D80" i="26" s="1"/>
  <c r="C151" i="26"/>
  <c r="C152" i="26" s="1"/>
  <c r="E166" i="26"/>
  <c r="E128" i="26"/>
  <c r="E131" i="26" s="1"/>
  <c r="E136" i="26" s="1"/>
  <c r="H166" i="26"/>
  <c r="F166" i="26"/>
  <c r="F17" i="24" s="1"/>
  <c r="D128" i="26"/>
  <c r="D131" i="26" s="1"/>
  <c r="D136" i="26" s="1"/>
  <c r="G166" i="26"/>
  <c r="G128" i="26"/>
  <c r="D166" i="26"/>
  <c r="F128" i="26"/>
  <c r="F131" i="26" s="1"/>
  <c r="F136" i="26" s="1"/>
  <c r="K53" i="24" l="1"/>
  <c r="K38" i="24"/>
  <c r="D149" i="26"/>
  <c r="D151" i="26" s="1"/>
  <c r="D152" i="26" s="1"/>
  <c r="D173" i="26" s="1"/>
  <c r="D14" i="24"/>
  <c r="G131" i="26"/>
  <c r="G136" i="26" s="1"/>
  <c r="D91" i="26"/>
  <c r="D145" i="26"/>
  <c r="D13" i="24"/>
  <c r="E72" i="26"/>
  <c r="E80" i="26" s="1"/>
  <c r="E17" i="24"/>
  <c r="H53" i="24" s="1"/>
  <c r="H17" i="24"/>
  <c r="G17" i="24"/>
  <c r="D17" i="24"/>
  <c r="E53" i="24" s="1"/>
  <c r="D154" i="26"/>
  <c r="N38" i="24" l="1"/>
  <c r="N53" i="24"/>
  <c r="Q38" i="24"/>
  <c r="Q53" i="24"/>
  <c r="D58" i="24"/>
  <c r="D60" i="24" s="1"/>
  <c r="E13" i="24"/>
  <c r="E149" i="26"/>
  <c r="D146" i="26"/>
  <c r="D147" i="26" s="1"/>
  <c r="D24" i="24"/>
  <c r="D157" i="26"/>
  <c r="D158" i="26" s="1"/>
  <c r="D177" i="26" s="1"/>
  <c r="E82" i="26"/>
  <c r="E154" i="26"/>
  <c r="F72" i="26"/>
  <c r="D167" i="26" l="1"/>
  <c r="D20" i="24" s="1"/>
  <c r="E57" i="24" s="1"/>
  <c r="E60" i="24" s="1"/>
  <c r="E150" i="26"/>
  <c r="E151" i="26" s="1"/>
  <c r="E152" i="26" s="1"/>
  <c r="E173" i="26" s="1"/>
  <c r="E14" i="24"/>
  <c r="E145" i="26"/>
  <c r="E91" i="26"/>
  <c r="F82" i="26" s="1"/>
  <c r="F13" i="24"/>
  <c r="F149" i="26"/>
  <c r="F80" i="26"/>
  <c r="E157" i="26" l="1"/>
  <c r="E158" i="26" s="1"/>
  <c r="E177" i="26" s="1"/>
  <c r="D171" i="26"/>
  <c r="D174" i="26" s="1"/>
  <c r="D179" i="26" s="1"/>
  <c r="D180" i="26" s="1"/>
  <c r="F145" i="26"/>
  <c r="G72" i="26"/>
  <c r="E146" i="26"/>
  <c r="E24" i="24"/>
  <c r="F91" i="26"/>
  <c r="F154" i="26"/>
  <c r="F14" i="24"/>
  <c r="J43" i="24" s="1"/>
  <c r="J45" i="24" s="1"/>
  <c r="F150" i="26"/>
  <c r="F151" i="26" s="1"/>
  <c r="F152" i="26" s="1"/>
  <c r="F173" i="26" s="1"/>
  <c r="G149" i="26" l="1"/>
  <c r="F146" i="26"/>
  <c r="F147" i="26" s="1"/>
  <c r="G80" i="26"/>
  <c r="G13" i="24"/>
  <c r="E147" i="26"/>
  <c r="F157" i="26"/>
  <c r="F158" i="26" s="1"/>
  <c r="F177" i="26" s="1"/>
  <c r="F24" i="24"/>
  <c r="G82" i="26"/>
  <c r="G154" i="26" l="1"/>
  <c r="H72" i="26"/>
  <c r="H80" i="26" s="1"/>
  <c r="F167" i="26"/>
  <c r="G145" i="26"/>
  <c r="E167" i="26"/>
  <c r="G91" i="26"/>
  <c r="G150" i="26"/>
  <c r="G151" i="26" s="1"/>
  <c r="G152" i="26" s="1"/>
  <c r="G173" i="26" s="1"/>
  <c r="G14" i="24"/>
  <c r="H149" i="26" l="1"/>
  <c r="F171" i="26"/>
  <c r="F174" i="26" s="1"/>
  <c r="F179" i="26" s="1"/>
  <c r="B10" i="16" s="1"/>
  <c r="H13" i="24"/>
  <c r="F20" i="24"/>
  <c r="G146" i="26"/>
  <c r="G147" i="26" s="1"/>
  <c r="E171" i="26"/>
  <c r="E174" i="26" s="1"/>
  <c r="E179" i="26" s="1"/>
  <c r="E180" i="26" s="1"/>
  <c r="E20" i="24"/>
  <c r="H57" i="24" s="1"/>
  <c r="H60" i="24" s="1"/>
  <c r="G157" i="26"/>
  <c r="G158" i="26" s="1"/>
  <c r="G177" i="26" s="1"/>
  <c r="H82" i="26"/>
  <c r="G24" i="24"/>
  <c r="H25" i="24"/>
  <c r="H154" i="26"/>
  <c r="K57" i="24" l="1"/>
  <c r="K60" i="24" s="1"/>
  <c r="K42" i="24"/>
  <c r="K45" i="24" s="1"/>
  <c r="F180" i="26"/>
  <c r="B11" i="16" s="1"/>
  <c r="G167" i="26"/>
  <c r="H145" i="26"/>
  <c r="H91" i="26"/>
  <c r="H150" i="26"/>
  <c r="H151" i="26" s="1"/>
  <c r="H152" i="26" s="1"/>
  <c r="H173" i="26" s="1"/>
  <c r="H14" i="24"/>
  <c r="G171" i="26" l="1"/>
  <c r="G174" i="26" s="1"/>
  <c r="G179" i="26" s="1"/>
  <c r="G180" i="26" s="1"/>
  <c r="B13" i="16" s="1"/>
  <c r="G20" i="24"/>
  <c r="H146" i="26"/>
  <c r="H147" i="26" s="1"/>
  <c r="H157" i="26"/>
  <c r="H158" i="26" s="1"/>
  <c r="H177" i="26" s="1"/>
  <c r="H24" i="24"/>
  <c r="S59" i="24" s="1"/>
  <c r="S60" i="24" s="1"/>
  <c r="N57" i="24" l="1"/>
  <c r="N60" i="24" s="1"/>
  <c r="N42" i="24"/>
  <c r="N45" i="24" s="1"/>
  <c r="B12" i="16"/>
  <c r="H167" i="26"/>
  <c r="H20" i="24" s="1"/>
  <c r="S44" i="24"/>
  <c r="S45" i="24" s="1"/>
  <c r="Q57" i="24" l="1"/>
  <c r="Q60" i="24" s="1"/>
  <c r="Q42" i="24"/>
  <c r="Q45" i="24" s="1"/>
  <c r="H171" i="26"/>
  <c r="H174" i="26" s="1"/>
  <c r="H179" i="26" s="1"/>
  <c r="B14" i="16" s="1"/>
  <c r="H180" i="26" l="1"/>
  <c r="B15" i="16" s="1"/>
  <c r="C47" i="24" l="1"/>
  <c r="C46" i="24" s="1"/>
  <c r="C65" i="24" l="1"/>
  <c r="B16" i="16" l="1"/>
  <c r="B21" i="16"/>
  <c r="BA5" i="41" l="1"/>
  <c r="BA20" i="41"/>
  <c r="BA16" i="41"/>
  <c r="BA12" i="41"/>
  <c r="BA8" i="41"/>
  <c r="BA19" i="41"/>
  <c r="BA15" i="41"/>
  <c r="BA11" i="41"/>
  <c r="BA18" i="41"/>
  <c r="BA14" i="41"/>
  <c r="BA10" i="41"/>
  <c r="BA6" i="41"/>
  <c r="BA17" i="41"/>
  <c r="BA13" i="41"/>
  <c r="BA9" i="41"/>
  <c r="BA7" i="41"/>
  <c r="AT27" i="41"/>
  <c r="AU27" i="41"/>
  <c r="AT28" i="41"/>
  <c r="AT32" i="41"/>
  <c r="AT36" i="41"/>
  <c r="AT40" i="41"/>
  <c r="AU32" i="41"/>
  <c r="AU40" i="41"/>
  <c r="AU33" i="41"/>
  <c r="AU41" i="41"/>
  <c r="AU28" i="41"/>
  <c r="AT29" i="41"/>
  <c r="AU29" i="41"/>
  <c r="AT30" i="41"/>
  <c r="AT34" i="41"/>
  <c r="AT38" i="41"/>
  <c r="AT42" i="41"/>
  <c r="AU38" i="41"/>
  <c r="AU42" i="41"/>
  <c r="AT31" i="41"/>
  <c r="AT35" i="41"/>
  <c r="AT39" i="41"/>
  <c r="AU35" i="41"/>
  <c r="AU39" i="41"/>
  <c r="AT33" i="41"/>
  <c r="AT37" i="41"/>
  <c r="AU37" i="41"/>
  <c r="AU30" i="41"/>
  <c r="AU34" i="41"/>
  <c r="AU31" i="41"/>
  <c r="AU36" i="41"/>
  <c r="AT41" i="41"/>
  <c r="AM50" i="41"/>
  <c r="AM54" i="41"/>
  <c r="AM58" i="41"/>
  <c r="AM62" i="41"/>
  <c r="AM61" i="41"/>
  <c r="AM51" i="41"/>
  <c r="AM55" i="41"/>
  <c r="AM59" i="41"/>
  <c r="AM63" i="41"/>
  <c r="AM57" i="41"/>
  <c r="AM52" i="41"/>
  <c r="AM56" i="41"/>
  <c r="AM60" i="41"/>
  <c r="AM64" i="41"/>
  <c r="AM53" i="41"/>
  <c r="AM49" i="41"/>
  <c r="AU51" i="41"/>
  <c r="AU53" i="41"/>
  <c r="AU55" i="41"/>
  <c r="AU57" i="41"/>
  <c r="AU59" i="41"/>
  <c r="AU61" i="41"/>
  <c r="AT49" i="41"/>
  <c r="AT50" i="41"/>
  <c r="AT52" i="41"/>
  <c r="AT54" i="41"/>
  <c r="AT56" i="41"/>
  <c r="AT58" i="41"/>
  <c r="AT60" i="41"/>
  <c r="AT62" i="41"/>
  <c r="AT64" i="41"/>
  <c r="AU50" i="41"/>
  <c r="AU52" i="41"/>
  <c r="AU54" i="41"/>
  <c r="AU56" i="41"/>
  <c r="AU58" i="41"/>
  <c r="AU60" i="41"/>
  <c r="AU62" i="41"/>
  <c r="AU64" i="41"/>
  <c r="AT51" i="41"/>
  <c r="AT53" i="41"/>
  <c r="AT55" i="41"/>
  <c r="AT57" i="41"/>
  <c r="AT59" i="41"/>
  <c r="AT61" i="41"/>
  <c r="AT63" i="41"/>
  <c r="AU49" i="41"/>
  <c r="AU63" i="41"/>
  <c r="AV49" i="41"/>
  <c r="AV53" i="41"/>
  <c r="AV61" i="41"/>
  <c r="AV52" i="41"/>
  <c r="AV56" i="41"/>
  <c r="AV60" i="41"/>
  <c r="AV64" i="41"/>
  <c r="AV59" i="41"/>
  <c r="AV63" i="41"/>
  <c r="AV51" i="41"/>
  <c r="AV55" i="41"/>
  <c r="AV50" i="41"/>
  <c r="AV54" i="41"/>
  <c r="AV58" i="41"/>
  <c r="AV62" i="41"/>
  <c r="AV57" i="41"/>
  <c r="AT9" i="41"/>
  <c r="AT13" i="41"/>
  <c r="AT17" i="41"/>
  <c r="AT5" i="41"/>
  <c r="K9" i="41"/>
  <c r="K13" i="41"/>
  <c r="K17" i="41"/>
  <c r="K5" i="41"/>
  <c r="D9" i="41"/>
  <c r="D13" i="41"/>
  <c r="D17" i="41"/>
  <c r="D5" i="41"/>
  <c r="AM9" i="41"/>
  <c r="AM13" i="41"/>
  <c r="AM17" i="41"/>
  <c r="AM5" i="41"/>
  <c r="AT6" i="41"/>
  <c r="AT10" i="41"/>
  <c r="AT14" i="41"/>
  <c r="AT18" i="41"/>
  <c r="K6" i="41"/>
  <c r="K10" i="41"/>
  <c r="K14" i="41"/>
  <c r="K18" i="41"/>
  <c r="D6" i="41"/>
  <c r="D10" i="41"/>
  <c r="D14" i="41"/>
  <c r="D18" i="41"/>
  <c r="AM6" i="41"/>
  <c r="AM10" i="41"/>
  <c r="AM14" i="41"/>
  <c r="AM18" i="41"/>
  <c r="AT7" i="41"/>
  <c r="AT11" i="41"/>
  <c r="AT15" i="41"/>
  <c r="AT19" i="41"/>
  <c r="K7" i="41"/>
  <c r="K11" i="41"/>
  <c r="K15" i="41"/>
  <c r="K19" i="41"/>
  <c r="D7" i="41"/>
  <c r="D11" i="41"/>
  <c r="D15" i="41"/>
  <c r="D19" i="41"/>
  <c r="AM7" i="41"/>
  <c r="AM11" i="41"/>
  <c r="AM15" i="41"/>
  <c r="AM19" i="41"/>
  <c r="AT8" i="41"/>
  <c r="AT12" i="41"/>
  <c r="AT16" i="41"/>
  <c r="AT20" i="41"/>
  <c r="K8" i="41"/>
  <c r="K12" i="41"/>
  <c r="K16" i="41"/>
  <c r="K20" i="41"/>
  <c r="D8" i="41"/>
  <c r="D12" i="41"/>
  <c r="D16" i="41"/>
  <c r="D20" i="41"/>
  <c r="AM8" i="41"/>
  <c r="AM12" i="41"/>
  <c r="AM16" i="41"/>
  <c r="AM20" i="41"/>
  <c r="AF27" i="41"/>
  <c r="AF41" i="41"/>
  <c r="D38" i="41"/>
  <c r="D39" i="41"/>
  <c r="D36" i="41"/>
  <c r="D37" i="41"/>
  <c r="Y33" i="41"/>
  <c r="D69" i="41"/>
  <c r="D59" i="41"/>
  <c r="D77" i="41"/>
  <c r="D80" i="41"/>
  <c r="Y35" i="41"/>
  <c r="AF17" i="41"/>
  <c r="D73" i="41"/>
  <c r="AF10" i="41"/>
  <c r="R6" i="41"/>
  <c r="D70" i="41"/>
  <c r="AM41" i="41"/>
  <c r="D63" i="41"/>
  <c r="Y6" i="41"/>
  <c r="Y40" i="41"/>
  <c r="D60" i="41"/>
  <c r="Y34" i="41"/>
  <c r="R16" i="41"/>
  <c r="R10" i="41"/>
  <c r="D71" i="41"/>
  <c r="AF8" i="41"/>
  <c r="R12" i="41"/>
  <c r="Y28" i="41"/>
  <c r="Y18" i="41"/>
  <c r="AM39" i="41"/>
  <c r="D64" i="41"/>
  <c r="Y20" i="41"/>
  <c r="Y27" i="41"/>
  <c r="D30" i="41"/>
  <c r="AM29" i="41"/>
  <c r="Y15" i="41"/>
  <c r="D57" i="41"/>
  <c r="R11" i="41"/>
  <c r="Y42" i="41"/>
  <c r="D49" i="41"/>
  <c r="Y13" i="41"/>
  <c r="R9" i="41"/>
  <c r="Y30" i="41"/>
  <c r="AM42" i="41"/>
  <c r="AF30" i="41"/>
  <c r="AF31" i="41"/>
  <c r="AF28" i="41"/>
  <c r="AF32" i="41"/>
  <c r="AF29" i="41"/>
  <c r="AF34" i="41"/>
  <c r="Y38" i="41"/>
  <c r="D42" i="41"/>
  <c r="D27" i="41"/>
  <c r="D40" i="41"/>
  <c r="D41" i="41"/>
  <c r="D51" i="41"/>
  <c r="AM30" i="41"/>
  <c r="AM37" i="41"/>
  <c r="R15" i="41"/>
  <c r="R14" i="41"/>
  <c r="AF14" i="41"/>
  <c r="Y5" i="41"/>
  <c r="AM33" i="41"/>
  <c r="D58" i="41"/>
  <c r="AF9" i="41"/>
  <c r="AF7" i="41"/>
  <c r="R19" i="41"/>
  <c r="D50" i="41"/>
  <c r="R5" i="41"/>
  <c r="D75" i="41"/>
  <c r="AM38" i="41"/>
  <c r="AM35" i="41"/>
  <c r="AF15" i="41"/>
  <c r="Y10" i="41"/>
  <c r="AM31" i="41"/>
  <c r="D56" i="41"/>
  <c r="Y12" i="41"/>
  <c r="Y31" i="41"/>
  <c r="AF5" i="41"/>
  <c r="R17" i="41"/>
  <c r="D82" i="41"/>
  <c r="AF19" i="41"/>
  <c r="AF42" i="41"/>
  <c r="D28" i="41"/>
  <c r="D29" i="41"/>
  <c r="R7" i="41"/>
  <c r="D62" i="41"/>
  <c r="D76" i="41"/>
  <c r="Y19" i="41"/>
  <c r="Y16" i="41"/>
  <c r="Y37" i="41"/>
  <c r="D74" i="41"/>
  <c r="D61" i="41"/>
  <c r="Y41" i="41"/>
  <c r="AF38" i="41"/>
  <c r="AF35" i="41"/>
  <c r="AF36" i="41"/>
  <c r="AF40" i="41"/>
  <c r="AF33" i="41"/>
  <c r="D31" i="41"/>
  <c r="AM27" i="41"/>
  <c r="AF6" i="41"/>
  <c r="Y8" i="41"/>
  <c r="D67" i="41"/>
  <c r="D68" i="41"/>
  <c r="R13" i="41"/>
  <c r="AF13" i="41"/>
  <c r="AF11" i="41"/>
  <c r="Y17" i="41"/>
  <c r="AF39" i="41"/>
  <c r="AF37" i="41"/>
  <c r="D34" i="41"/>
  <c r="AM32" i="41"/>
  <c r="D35" i="41"/>
  <c r="Y7" i="41"/>
  <c r="D52" i="41"/>
  <c r="AM36" i="41"/>
  <c r="AM28" i="41"/>
  <c r="D78" i="41"/>
  <c r="AM34" i="41"/>
  <c r="AF16" i="41"/>
  <c r="D32" i="41"/>
  <c r="Y14" i="41"/>
  <c r="AF20" i="41"/>
  <c r="R8" i="41"/>
  <c r="Y39" i="41"/>
  <c r="Y29" i="41"/>
  <c r="R20" i="41"/>
  <c r="AM40" i="41"/>
  <c r="D33" i="41"/>
  <c r="D54" i="41"/>
  <c r="D55" i="41"/>
  <c r="D81" i="41"/>
  <c r="AF12" i="41"/>
  <c r="D53" i="41"/>
  <c r="R18" i="41"/>
  <c r="Y36" i="41"/>
  <c r="D72" i="41"/>
  <c r="Y11" i="41"/>
  <c r="AF18" i="41"/>
  <c r="Y32" i="41"/>
  <c r="Y9" i="41"/>
  <c r="D79" i="41"/>
  <c r="AT70" i="41" l="1"/>
  <c r="AK27" i="41"/>
  <c r="AD19" i="41"/>
  <c r="AK20" i="41"/>
  <c r="AR20" i="41"/>
  <c r="AY10" i="41"/>
  <c r="AD7" i="41"/>
  <c r="AK37" i="41"/>
  <c r="AK29" i="41"/>
  <c r="AK19" i="41"/>
  <c r="AR19" i="41"/>
  <c r="AK18" i="41"/>
  <c r="AR18" i="41"/>
  <c r="AK5" i="41"/>
  <c r="AR5" i="41"/>
  <c r="AY19" i="41"/>
  <c r="AY12" i="41"/>
  <c r="AY17" i="41"/>
  <c r="W9" i="41"/>
  <c r="AD12" i="41"/>
  <c r="B33" i="41"/>
  <c r="AK28" i="41"/>
  <c r="AD11" i="41"/>
  <c r="AD15" i="41"/>
  <c r="AD9" i="41"/>
  <c r="AD14" i="41"/>
  <c r="AK30" i="41"/>
  <c r="AK39" i="41"/>
  <c r="AD8" i="41"/>
  <c r="AD10" i="41"/>
  <c r="AK16" i="41"/>
  <c r="I16" i="41"/>
  <c r="AR16" i="41"/>
  <c r="AK15" i="41"/>
  <c r="AR15" i="41"/>
  <c r="AK14" i="41"/>
  <c r="AR14" i="41"/>
  <c r="AK17" i="41"/>
  <c r="AR17" i="41"/>
  <c r="AY18" i="41"/>
  <c r="AY7" i="41"/>
  <c r="AY8" i="41"/>
  <c r="AY16" i="41"/>
  <c r="AY5" i="41"/>
  <c r="AY6" i="41"/>
  <c r="AK40" i="41"/>
  <c r="AD16" i="41"/>
  <c r="AK36" i="41"/>
  <c r="AK32" i="41"/>
  <c r="AD13" i="41"/>
  <c r="AK35" i="41"/>
  <c r="AK41" i="41"/>
  <c r="AK12" i="41"/>
  <c r="AR12" i="41"/>
  <c r="AK11" i="41"/>
  <c r="AR11" i="41"/>
  <c r="AK10" i="41"/>
  <c r="AR10" i="41"/>
  <c r="AK13" i="41"/>
  <c r="AR13" i="41"/>
  <c r="AY11" i="41"/>
  <c r="AY20" i="41"/>
  <c r="AY9" i="41"/>
  <c r="AY14" i="41"/>
  <c r="AD18" i="41"/>
  <c r="P18" i="41"/>
  <c r="AD20" i="41"/>
  <c r="AK34" i="41"/>
  <c r="AD6" i="41"/>
  <c r="AD5" i="41"/>
  <c r="AK31" i="41"/>
  <c r="AK38" i="41"/>
  <c r="AK33" i="41"/>
  <c r="AK42" i="41"/>
  <c r="AD17" i="41"/>
  <c r="AK8" i="41"/>
  <c r="AR8" i="41"/>
  <c r="AK7" i="41"/>
  <c r="AR7" i="41"/>
  <c r="AK6" i="41"/>
  <c r="AR6" i="41"/>
  <c r="AK9" i="41"/>
  <c r="AR9" i="41"/>
  <c r="AY15" i="41"/>
  <c r="AY13" i="41"/>
  <c r="AU73" i="41"/>
  <c r="AU70" i="41"/>
  <c r="AU71" i="41"/>
  <c r="AU68" i="41"/>
  <c r="AU74" i="41"/>
  <c r="AU72" i="41"/>
  <c r="AU67" i="41"/>
  <c r="AU69" i="41"/>
  <c r="W32" i="41"/>
  <c r="AT68" i="41"/>
  <c r="AT72" i="41"/>
  <c r="AT69" i="41"/>
  <c r="AT67" i="41"/>
  <c r="AT73" i="41"/>
  <c r="AT74" i="41"/>
  <c r="AT71" i="41"/>
  <c r="AV69" i="41"/>
  <c r="AV73" i="41"/>
  <c r="AV68" i="41"/>
  <c r="AV70" i="41"/>
  <c r="AV67" i="41"/>
  <c r="AV74" i="41"/>
  <c r="AV71" i="41"/>
  <c r="AV72" i="41"/>
  <c r="W11" i="41"/>
  <c r="W29" i="41"/>
  <c r="W14" i="41"/>
  <c r="W7" i="41"/>
  <c r="W17" i="41"/>
  <c r="W41" i="41"/>
  <c r="W16" i="41"/>
  <c r="P7" i="41"/>
  <c r="W31" i="41"/>
  <c r="W10" i="41"/>
  <c r="W5" i="41"/>
  <c r="B40" i="41"/>
  <c r="W30" i="41"/>
  <c r="W42" i="41"/>
  <c r="P12" i="41"/>
  <c r="P16" i="41"/>
  <c r="W6" i="41"/>
  <c r="P6" i="41"/>
  <c r="W35" i="41"/>
  <c r="B39" i="41"/>
  <c r="B20" i="41"/>
  <c r="I20" i="41"/>
  <c r="I19" i="41"/>
  <c r="I18" i="41"/>
  <c r="I5" i="41"/>
  <c r="W39" i="41"/>
  <c r="B32" i="41"/>
  <c r="B35" i="41"/>
  <c r="B31" i="41"/>
  <c r="W19" i="41"/>
  <c r="B29" i="41"/>
  <c r="W12" i="41"/>
  <c r="P5" i="41"/>
  <c r="B27" i="41"/>
  <c r="P9" i="41"/>
  <c r="P11" i="41"/>
  <c r="B30" i="41"/>
  <c r="W34" i="41"/>
  <c r="W33" i="41"/>
  <c r="B38" i="41"/>
  <c r="I15" i="41"/>
  <c r="I14" i="41"/>
  <c r="I17" i="41"/>
  <c r="W36" i="41"/>
  <c r="P8" i="41"/>
  <c r="AD37" i="41"/>
  <c r="W8" i="41"/>
  <c r="B28" i="41"/>
  <c r="P17" i="41"/>
  <c r="P14" i="41"/>
  <c r="B42" i="41"/>
  <c r="W13" i="41"/>
  <c r="W27" i="41"/>
  <c r="W18" i="41"/>
  <c r="B37" i="41"/>
  <c r="I12" i="41"/>
  <c r="I11" i="41"/>
  <c r="I10" i="41"/>
  <c r="I13" i="41"/>
  <c r="P20" i="41"/>
  <c r="B34" i="41"/>
  <c r="P13" i="41"/>
  <c r="W37" i="41"/>
  <c r="P19" i="41"/>
  <c r="P15" i="41"/>
  <c r="B41" i="41"/>
  <c r="W38" i="41"/>
  <c r="W15" i="41"/>
  <c r="W20" i="41"/>
  <c r="W28" i="41"/>
  <c r="P10" i="41"/>
  <c r="W40" i="41"/>
  <c r="B36" i="41"/>
  <c r="I8" i="41"/>
  <c r="I7" i="41"/>
  <c r="I6" i="41"/>
  <c r="I9" i="41"/>
  <c r="AD35" i="41"/>
  <c r="AD42" i="41"/>
  <c r="AD28" i="41"/>
  <c r="B19" i="41"/>
  <c r="B18" i="41"/>
  <c r="B5" i="41"/>
  <c r="AD33" i="41"/>
  <c r="AD38" i="41"/>
  <c r="AD34" i="41"/>
  <c r="AD31" i="41"/>
  <c r="B16" i="41"/>
  <c r="B15" i="41"/>
  <c r="B14" i="41"/>
  <c r="B17" i="41"/>
  <c r="AD40" i="41"/>
  <c r="AD29" i="41"/>
  <c r="AD30" i="41"/>
  <c r="AD41" i="41"/>
  <c r="B12" i="41"/>
  <c r="B11" i="41"/>
  <c r="B10" i="41"/>
  <c r="B13" i="41"/>
  <c r="AD39" i="41"/>
  <c r="AD36" i="41"/>
  <c r="AD32" i="41"/>
  <c r="AD27" i="41"/>
  <c r="B8" i="41"/>
  <c r="B7" i="41"/>
  <c r="B6" i="41"/>
  <c r="B9" i="41"/>
  <c r="B79" i="41"/>
  <c r="B53" i="41"/>
  <c r="AK57" i="41"/>
  <c r="B72" i="41"/>
  <c r="AK53" i="41"/>
  <c r="B56" i="41"/>
  <c r="B50" i="41"/>
  <c r="B58" i="41"/>
  <c r="B51" i="41"/>
  <c r="B70" i="41"/>
  <c r="B59" i="41"/>
  <c r="B81" i="41"/>
  <c r="AK64" i="41"/>
  <c r="B61" i="41"/>
  <c r="AK49" i="41"/>
  <c r="AK51" i="41"/>
  <c r="B57" i="41"/>
  <c r="B64" i="41"/>
  <c r="B69" i="41"/>
  <c r="AK54" i="41"/>
  <c r="AK56" i="41"/>
  <c r="B55" i="41"/>
  <c r="B52" i="41"/>
  <c r="B68" i="41"/>
  <c r="B74" i="41"/>
  <c r="B76" i="41"/>
  <c r="B75" i="41"/>
  <c r="AK50" i="41"/>
  <c r="B49" i="41"/>
  <c r="B63" i="41"/>
  <c r="B80" i="41"/>
  <c r="AK61" i="41"/>
  <c r="AK63" i="41"/>
  <c r="B54" i="41"/>
  <c r="B78" i="41"/>
  <c r="AK59" i="41"/>
  <c r="B67" i="41"/>
  <c r="AK62" i="41"/>
  <c r="AK55" i="41"/>
  <c r="AK52" i="41"/>
  <c r="B62" i="41"/>
  <c r="B82" i="41"/>
  <c r="AK58" i="41"/>
  <c r="AK60" i="41"/>
  <c r="B71" i="41"/>
  <c r="B60" i="41"/>
  <c r="B73" i="41"/>
  <c r="B77" i="41"/>
  <c r="AV79" i="41" l="1"/>
  <c r="AU79" i="41"/>
  <c r="AT78" i="41"/>
  <c r="AU76" i="41"/>
  <c r="AT79" i="41"/>
  <c r="AO6" i="41"/>
  <c r="AP6" i="41" s="1"/>
  <c r="AO10" i="41"/>
  <c r="AP10" i="41" s="1"/>
  <c r="AO14" i="41"/>
  <c r="AO18" i="41"/>
  <c r="AP18" i="41" s="1"/>
  <c r="AO11" i="41"/>
  <c r="AP11" i="41" s="1"/>
  <c r="AO15" i="41"/>
  <c r="AP15" i="41" s="1"/>
  <c r="AO19" i="41"/>
  <c r="AP19" i="41" s="1"/>
  <c r="AO7" i="41"/>
  <c r="AP7" i="41" s="1"/>
  <c r="AO8" i="41"/>
  <c r="AP8" i="41" s="1"/>
  <c r="AO12" i="41"/>
  <c r="AP12" i="41" s="1"/>
  <c r="AO16" i="41"/>
  <c r="AP16" i="41" s="1"/>
  <c r="AO20" i="41"/>
  <c r="AP20" i="41" s="1"/>
  <c r="AO9" i="41"/>
  <c r="AP9" i="41" s="1"/>
  <c r="AO13" i="41"/>
  <c r="AP13" i="41" s="1"/>
  <c r="AO17" i="41"/>
  <c r="AP17" i="41" s="1"/>
  <c r="AO5" i="41"/>
  <c r="AP5" i="41" s="1"/>
  <c r="AV77" i="41"/>
  <c r="AV78" i="41"/>
  <c r="AV75" i="41"/>
  <c r="AT75" i="41"/>
  <c r="AT76" i="41"/>
  <c r="AU77" i="41"/>
  <c r="AT77" i="41"/>
  <c r="AV76" i="41"/>
  <c r="AU75" i="41"/>
  <c r="AU78" i="41"/>
  <c r="BC9" i="41"/>
  <c r="BD9" i="41" s="1"/>
  <c r="BC17" i="41"/>
  <c r="BD17" i="41" s="1"/>
  <c r="BC13" i="41"/>
  <c r="BD13" i="41" s="1"/>
  <c r="BC20" i="41"/>
  <c r="BD20" i="41" s="1"/>
  <c r="BC16" i="41"/>
  <c r="BD16" i="41" s="1"/>
  <c r="BC12" i="41"/>
  <c r="BD12" i="41" s="1"/>
  <c r="BC6" i="41"/>
  <c r="BD6" i="41" s="1"/>
  <c r="BC19" i="41"/>
  <c r="BD19" i="41" s="1"/>
  <c r="BC15" i="41"/>
  <c r="BD15" i="41" s="1"/>
  <c r="BC11" i="41"/>
  <c r="BD11" i="41" s="1"/>
  <c r="BC5" i="41"/>
  <c r="BD5" i="41" s="1"/>
  <c r="BC18" i="41"/>
  <c r="BD18" i="41" s="1"/>
  <c r="BC14" i="41"/>
  <c r="BD14" i="41" s="1"/>
  <c r="BC8" i="41"/>
  <c r="BD8" i="41" s="1"/>
  <c r="BC10" i="41"/>
  <c r="BD10" i="41" s="1"/>
  <c r="BC7" i="41"/>
  <c r="BD7" i="41" s="1"/>
  <c r="M18" i="41"/>
  <c r="N18" i="41" s="1"/>
  <c r="M20" i="41"/>
  <c r="N20" i="41" s="1"/>
  <c r="M9" i="41"/>
  <c r="N9" i="41" s="1"/>
  <c r="M19" i="41"/>
  <c r="N19" i="41" s="1"/>
  <c r="M6" i="41"/>
  <c r="N6" i="41" s="1"/>
  <c r="M15" i="41"/>
  <c r="N15" i="41" s="1"/>
  <c r="M12" i="41"/>
  <c r="N12" i="41" s="1"/>
  <c r="M5" i="41"/>
  <c r="N5" i="41" s="1"/>
  <c r="M11" i="41"/>
  <c r="N11" i="41" s="1"/>
  <c r="M16" i="41"/>
  <c r="N16" i="41" s="1"/>
  <c r="M7" i="41"/>
  <c r="N7" i="41" s="1"/>
  <c r="M10" i="41"/>
  <c r="N10" i="41" s="1"/>
  <c r="M17" i="41"/>
  <c r="N17" i="41" s="1"/>
  <c r="M8" i="41"/>
  <c r="N8" i="41" s="1"/>
  <c r="M14" i="41"/>
  <c r="N14" i="41" s="1"/>
  <c r="M13" i="41"/>
  <c r="N13" i="41" s="1"/>
  <c r="AP14" i="41"/>
  <c r="F9" i="41"/>
  <c r="G9" i="41" s="1"/>
  <c r="F13" i="41"/>
  <c r="G13" i="41" s="1"/>
  <c r="F17" i="41"/>
  <c r="G17" i="41" s="1"/>
  <c r="F5" i="41"/>
  <c r="G5" i="41" s="1"/>
  <c r="F6" i="41"/>
  <c r="G6" i="41" s="1"/>
  <c r="F10" i="41"/>
  <c r="G10" i="41" s="1"/>
  <c r="F14" i="41"/>
  <c r="G14" i="41" s="1"/>
  <c r="F18" i="41"/>
  <c r="G18" i="41" s="1"/>
  <c r="F7" i="41"/>
  <c r="G7" i="41" s="1"/>
  <c r="F11" i="41"/>
  <c r="G11" i="41" s="1"/>
  <c r="F15" i="41"/>
  <c r="G15" i="41" s="1"/>
  <c r="F19" i="41"/>
  <c r="G19" i="41" s="1"/>
  <c r="F8" i="41"/>
  <c r="G8" i="41" s="1"/>
  <c r="F12" i="41"/>
  <c r="G12" i="41" s="1"/>
  <c r="F16" i="41"/>
  <c r="G16" i="41" s="1"/>
  <c r="F20" i="41"/>
  <c r="G20" i="41" s="1"/>
  <c r="T15" i="41"/>
  <c r="U15" i="41" s="1"/>
  <c r="T16" i="41"/>
  <c r="U16" i="41" s="1"/>
  <c r="T7" i="41"/>
  <c r="U7" i="41" s="1"/>
  <c r="T17" i="41"/>
  <c r="U17" i="41" s="1"/>
  <c r="T13" i="41"/>
  <c r="U13" i="41" s="1"/>
  <c r="T20" i="41"/>
  <c r="U20" i="41" s="1"/>
  <c r="T6" i="41"/>
  <c r="U6" i="41" s="1"/>
  <c r="T19" i="41"/>
  <c r="U19" i="41" s="1"/>
  <c r="T10" i="41"/>
  <c r="U10" i="41" s="1"/>
  <c r="T8" i="41"/>
  <c r="U8" i="41" s="1"/>
  <c r="T12" i="41"/>
  <c r="U12" i="41" s="1"/>
  <c r="T5" i="41"/>
  <c r="U5" i="41" s="1"/>
  <c r="T18" i="41"/>
  <c r="U18" i="41" s="1"/>
  <c r="T11" i="41"/>
  <c r="U11" i="41" s="1"/>
  <c r="T9" i="41"/>
  <c r="U9" i="41" s="1"/>
  <c r="T14" i="41"/>
  <c r="U14" i="41" s="1"/>
  <c r="F81" i="41"/>
  <c r="F76" i="41"/>
  <c r="F70" i="41"/>
  <c r="F75" i="41"/>
  <c r="F78" i="41"/>
  <c r="F67" i="41"/>
  <c r="F82" i="41"/>
  <c r="F69" i="41"/>
  <c r="F72" i="41"/>
  <c r="F73" i="41"/>
  <c r="F80" i="41"/>
  <c r="F74" i="41"/>
  <c r="F79" i="41"/>
  <c r="F71" i="41"/>
  <c r="F77" i="41"/>
  <c r="F68" i="41"/>
  <c r="AH36" i="41"/>
  <c r="AI36" i="41" s="1"/>
  <c r="AH34" i="41"/>
  <c r="AI34" i="41" s="1"/>
  <c r="AH28" i="41"/>
  <c r="AI28" i="41" s="1"/>
  <c r="AH39" i="41"/>
  <c r="AI39" i="41" s="1"/>
  <c r="AH40" i="41"/>
  <c r="AI40" i="41" s="1"/>
  <c r="AH30" i="41"/>
  <c r="AI30" i="41" s="1"/>
  <c r="AH33" i="41"/>
  <c r="AI33" i="41" s="1"/>
  <c r="AH37" i="41"/>
  <c r="AI37" i="41" s="1"/>
  <c r="AH27" i="41"/>
  <c r="AI27" i="41" s="1"/>
  <c r="AH41" i="41"/>
  <c r="AI41" i="41" s="1"/>
  <c r="AH35" i="41"/>
  <c r="AI35" i="41" s="1"/>
  <c r="AH29" i="41"/>
  <c r="AI29" i="41" s="1"/>
  <c r="AH38" i="41"/>
  <c r="AI38" i="41" s="1"/>
  <c r="AH32" i="41"/>
  <c r="AI32" i="41" s="1"/>
  <c r="AH31" i="41"/>
  <c r="AI31" i="41" s="1"/>
  <c r="AH42" i="41"/>
  <c r="AI42" i="41" s="1"/>
  <c r="AA29" i="41"/>
  <c r="AB29" i="41" s="1"/>
  <c r="AA31" i="41"/>
  <c r="AB31" i="41" s="1"/>
  <c r="AA32" i="41"/>
  <c r="AB32" i="41" s="1"/>
  <c r="AA27" i="41"/>
  <c r="AB27" i="41" s="1"/>
  <c r="AA42" i="41"/>
  <c r="AB42" i="41" s="1"/>
  <c r="AA35" i="41"/>
  <c r="AB35" i="41" s="1"/>
  <c r="AA36" i="41"/>
  <c r="AB36" i="41" s="1"/>
  <c r="AA37" i="41"/>
  <c r="AB37" i="41" s="1"/>
  <c r="AA33" i="41"/>
  <c r="AB33" i="41" s="1"/>
  <c r="AA30" i="41"/>
  <c r="AB30" i="41" s="1"/>
  <c r="AA38" i="41"/>
  <c r="AB38" i="41" s="1"/>
  <c r="AA40" i="41"/>
  <c r="AB40" i="41" s="1"/>
  <c r="AA34" i="41"/>
  <c r="AB34" i="41" s="1"/>
  <c r="AA39" i="41"/>
  <c r="AB39" i="41" s="1"/>
  <c r="AA41" i="41"/>
  <c r="AB41" i="41" s="1"/>
  <c r="AA28" i="41"/>
  <c r="AB28" i="41" s="1"/>
  <c r="F37" i="41"/>
  <c r="G37" i="41" s="1"/>
  <c r="F27" i="41"/>
  <c r="G27" i="41" s="1"/>
  <c r="F32" i="41"/>
  <c r="G32" i="41" s="1"/>
  <c r="F33" i="41"/>
  <c r="G33" i="41" s="1"/>
  <c r="F38" i="41"/>
  <c r="G38" i="41" s="1"/>
  <c r="F39" i="41"/>
  <c r="G39" i="41" s="1"/>
  <c r="F30" i="41"/>
  <c r="G30" i="41" s="1"/>
  <c r="F34" i="41"/>
  <c r="G34" i="41" s="1"/>
  <c r="F42" i="41"/>
  <c r="G42" i="41" s="1"/>
  <c r="F41" i="41"/>
  <c r="G41" i="41" s="1"/>
  <c r="F28" i="41"/>
  <c r="G28" i="41" s="1"/>
  <c r="F35" i="41"/>
  <c r="G35" i="41" s="1"/>
  <c r="F40" i="41"/>
  <c r="G40" i="41" s="1"/>
  <c r="F36" i="41"/>
  <c r="G36" i="41" s="1"/>
  <c r="F31" i="41"/>
  <c r="G31" i="41" s="1"/>
  <c r="F29" i="41"/>
  <c r="G29" i="41" s="1"/>
  <c r="AA19" i="41"/>
  <c r="AB19" i="41" s="1"/>
  <c r="AA17" i="41"/>
  <c r="AB17" i="41" s="1"/>
  <c r="AA7" i="41"/>
  <c r="AB7" i="41" s="1"/>
  <c r="AA15" i="41"/>
  <c r="AB15" i="41" s="1"/>
  <c r="AA11" i="41"/>
  <c r="AB11" i="41" s="1"/>
  <c r="AA16" i="41"/>
  <c r="AB16" i="41" s="1"/>
  <c r="AA18" i="41"/>
  <c r="AB18" i="41" s="1"/>
  <c r="AA14" i="41"/>
  <c r="AB14" i="41" s="1"/>
  <c r="AA12" i="41"/>
  <c r="AB12" i="41" s="1"/>
  <c r="AA9" i="41"/>
  <c r="AB9" i="41" s="1"/>
  <c r="AA5" i="41"/>
  <c r="AB5" i="41" s="1"/>
  <c r="AA20" i="41"/>
  <c r="AB20" i="41" s="1"/>
  <c r="AA13" i="41"/>
  <c r="AB13" i="41" s="1"/>
  <c r="AA8" i="41"/>
  <c r="AB8" i="41" s="1"/>
  <c r="AA10" i="41"/>
  <c r="AB10" i="41" s="1"/>
  <c r="AA6" i="41"/>
  <c r="AB6" i="41" s="1"/>
  <c r="AO41" i="41"/>
  <c r="AP41" i="41" s="1"/>
  <c r="AO39" i="41"/>
  <c r="AP39" i="41" s="1"/>
  <c r="AO33" i="41"/>
  <c r="AP33" i="41" s="1"/>
  <c r="AO28" i="41"/>
  <c r="AP28" i="41" s="1"/>
  <c r="AO36" i="41"/>
  <c r="AP36" i="41" s="1"/>
  <c r="AO27" i="41"/>
  <c r="AP27" i="41" s="1"/>
  <c r="AO35" i="41"/>
  <c r="AP35" i="41" s="1"/>
  <c r="AO40" i="41"/>
  <c r="AP40" i="41" s="1"/>
  <c r="AO32" i="41"/>
  <c r="AP32" i="41" s="1"/>
  <c r="AO30" i="41"/>
  <c r="AP30" i="41" s="1"/>
  <c r="AO31" i="41"/>
  <c r="AP31" i="41" s="1"/>
  <c r="AO37" i="41"/>
  <c r="AP37" i="41" s="1"/>
  <c r="AO38" i="41"/>
  <c r="AP38" i="41" s="1"/>
  <c r="AO42" i="41"/>
  <c r="AP42" i="41" s="1"/>
  <c r="AO34" i="41"/>
  <c r="AP34" i="41" s="1"/>
  <c r="AO29" i="41"/>
  <c r="AP29" i="41" s="1"/>
  <c r="F61" i="41"/>
  <c r="F58" i="41"/>
  <c r="F54" i="41"/>
  <c r="F60" i="41"/>
  <c r="F50" i="41"/>
  <c r="F49" i="41"/>
  <c r="F63" i="41"/>
  <c r="F57" i="41"/>
  <c r="F59" i="41"/>
  <c r="F53" i="41"/>
  <c r="F56" i="41"/>
  <c r="F51" i="41"/>
  <c r="F62" i="41"/>
  <c r="F55" i="41"/>
  <c r="F52" i="41"/>
  <c r="F64" i="41"/>
  <c r="AO49" i="41"/>
  <c r="AP49" i="41" s="1"/>
  <c r="AO61" i="41"/>
  <c r="AP61" i="41" s="1"/>
  <c r="AO59" i="41"/>
  <c r="AP59" i="41" s="1"/>
  <c r="AO56" i="41"/>
  <c r="AP56" i="41" s="1"/>
  <c r="AO62" i="41"/>
  <c r="AP62" i="41" s="1"/>
  <c r="AO58" i="41"/>
  <c r="AP58" i="41" s="1"/>
  <c r="AO57" i="41"/>
  <c r="AP57" i="41" s="1"/>
  <c r="AO63" i="41"/>
  <c r="AP63" i="41" s="1"/>
  <c r="AO64" i="41"/>
  <c r="AP64" i="41" s="1"/>
  <c r="AO54" i="41"/>
  <c r="AP54" i="41" s="1"/>
  <c r="AO60" i="41"/>
  <c r="AP60" i="41" s="1"/>
  <c r="AO52" i="41"/>
  <c r="AP52" i="41" s="1"/>
  <c r="AO55" i="41"/>
  <c r="AP55" i="41" s="1"/>
  <c r="AO50" i="41"/>
  <c r="AP50" i="41" s="1"/>
  <c r="AO53" i="41"/>
  <c r="AP53" i="41" s="1"/>
  <c r="AO51" i="41"/>
  <c r="AP51" i="41" s="1"/>
  <c r="AH10" i="41"/>
  <c r="AI10" i="41" s="1"/>
  <c r="AH6" i="41"/>
  <c r="AI6" i="41" s="1"/>
  <c r="AH9" i="41"/>
  <c r="AI9" i="41" s="1"/>
  <c r="AH16" i="41"/>
  <c r="AI16" i="41" s="1"/>
  <c r="AH8" i="41"/>
  <c r="AI8" i="41" s="1"/>
  <c r="AH11" i="41"/>
  <c r="AI11" i="41" s="1"/>
  <c r="AH19" i="41"/>
  <c r="AI19" i="41" s="1"/>
  <c r="AH14" i="41"/>
  <c r="AI14" i="41" s="1"/>
  <c r="AH17" i="41"/>
  <c r="AI17" i="41" s="1"/>
  <c r="AH15" i="41"/>
  <c r="AI15" i="41" s="1"/>
  <c r="AH12" i="41"/>
  <c r="AI12" i="41" s="1"/>
  <c r="AH5" i="41"/>
  <c r="AI5" i="41" s="1"/>
  <c r="AH13" i="41"/>
  <c r="AI13" i="41" s="1"/>
  <c r="AH20" i="41"/>
  <c r="AI20" i="41" s="1"/>
  <c r="AH7" i="41"/>
  <c r="AI7" i="41" s="1"/>
  <c r="AH18" i="41"/>
  <c r="AI18" i="41" s="1"/>
  <c r="AV12" i="41"/>
  <c r="AW12" i="41" s="1"/>
  <c r="AV9" i="41"/>
  <c r="AW9" i="41" s="1"/>
  <c r="AV6" i="41"/>
  <c r="AW6" i="41" s="1"/>
  <c r="AV8" i="41"/>
  <c r="AW8" i="41" s="1"/>
  <c r="AV20" i="41"/>
  <c r="AW20" i="41" s="1"/>
  <c r="AV5" i="41"/>
  <c r="AW5" i="41" s="1"/>
  <c r="AV11" i="41"/>
  <c r="AW11" i="41" s="1"/>
  <c r="AV16" i="41"/>
  <c r="AW16" i="41" s="1"/>
  <c r="AV10" i="41"/>
  <c r="AW10" i="41" s="1"/>
  <c r="AV14" i="41"/>
  <c r="AW14" i="41" s="1"/>
  <c r="AV19" i="41"/>
  <c r="AW19" i="41" s="1"/>
  <c r="AV18" i="41"/>
  <c r="AW18" i="41" s="1"/>
  <c r="AV15" i="41"/>
  <c r="AW15" i="41" s="1"/>
  <c r="AV7" i="41"/>
  <c r="AW7" i="41" s="1"/>
  <c r="AV13" i="41"/>
  <c r="AW13" i="41" s="1"/>
  <c r="AV17" i="41"/>
  <c r="AW17" i="41" s="1"/>
  <c r="J62" i="41" l="1"/>
  <c r="G62" i="41"/>
  <c r="K62" i="41" s="1"/>
  <c r="J59" i="41"/>
  <c r="G59" i="41"/>
  <c r="K59" i="41" s="1"/>
  <c r="J50" i="41"/>
  <c r="G50" i="41"/>
  <c r="K50" i="41" s="1"/>
  <c r="J61" i="41"/>
  <c r="G61" i="41"/>
  <c r="K61" i="41" s="1"/>
  <c r="J68" i="41"/>
  <c r="G68" i="41"/>
  <c r="H68" i="41"/>
  <c r="J74" i="41"/>
  <c r="H74" i="41"/>
  <c r="G74" i="41"/>
  <c r="J69" i="41"/>
  <c r="G69" i="41"/>
  <c r="H69" i="41"/>
  <c r="G75" i="41"/>
  <c r="J75" i="41"/>
  <c r="H75" i="41"/>
  <c r="J64" i="41"/>
  <c r="G64" i="41"/>
  <c r="K64" i="41" s="1"/>
  <c r="G51" i="41"/>
  <c r="K51" i="41" s="1"/>
  <c r="J51" i="41"/>
  <c r="J57" i="41"/>
  <c r="G57" i="41"/>
  <c r="K57" i="41" s="1"/>
  <c r="G60" i="41"/>
  <c r="K60" i="41" s="1"/>
  <c r="J60" i="41"/>
  <c r="J77" i="41"/>
  <c r="G77" i="41"/>
  <c r="H77" i="41"/>
  <c r="G80" i="41"/>
  <c r="J80" i="41"/>
  <c r="H80" i="41"/>
  <c r="J82" i="41"/>
  <c r="G82" i="41"/>
  <c r="H82" i="41"/>
  <c r="J70" i="41"/>
  <c r="G70" i="41"/>
  <c r="H70" i="41"/>
  <c r="J52" i="41"/>
  <c r="G52" i="41"/>
  <c r="K52" i="41" s="1"/>
  <c r="J56" i="41"/>
  <c r="G56" i="41"/>
  <c r="K56" i="41" s="1"/>
  <c r="G63" i="41"/>
  <c r="K63" i="41" s="1"/>
  <c r="J63" i="41"/>
  <c r="G54" i="41"/>
  <c r="K54" i="41" s="1"/>
  <c r="J54" i="41"/>
  <c r="G71" i="41"/>
  <c r="H71" i="41"/>
  <c r="J71" i="41"/>
  <c r="J73" i="41"/>
  <c r="H73" i="41"/>
  <c r="G73" i="41"/>
  <c r="H67" i="41"/>
  <c r="J67" i="41"/>
  <c r="G67" i="41"/>
  <c r="J76" i="41"/>
  <c r="G76" i="41"/>
  <c r="H76" i="41"/>
  <c r="G55" i="41"/>
  <c r="K55" i="41" s="1"/>
  <c r="J55" i="41"/>
  <c r="J53" i="41"/>
  <c r="G53" i="41"/>
  <c r="K53" i="41" s="1"/>
  <c r="G49" i="41"/>
  <c r="K49" i="41" s="1"/>
  <c r="J49" i="41"/>
  <c r="G58" i="41"/>
  <c r="K58" i="41" s="1"/>
  <c r="J58" i="41"/>
  <c r="J79" i="41"/>
  <c r="G79" i="41"/>
  <c r="H79" i="41"/>
  <c r="J72" i="41"/>
  <c r="H72" i="41"/>
  <c r="G72" i="41"/>
  <c r="J78" i="41"/>
  <c r="H78" i="41"/>
  <c r="G78" i="41"/>
  <c r="H81" i="41"/>
  <c r="J81" i="41"/>
  <c r="G81" i="41"/>
  <c r="K67" i="41" l="1"/>
  <c r="I67" i="41"/>
  <c r="K81" i="41"/>
  <c r="I81" i="41"/>
  <c r="K82" i="41"/>
  <c r="I82" i="41"/>
  <c r="K80" i="41"/>
  <c r="I80" i="41"/>
  <c r="K69" i="41"/>
  <c r="I69" i="41"/>
  <c r="I78" i="41"/>
  <c r="K78" i="41"/>
  <c r="K76" i="41"/>
  <c r="I76" i="41"/>
  <c r="I70" i="41"/>
  <c r="K70" i="41"/>
  <c r="K72" i="41"/>
  <c r="I72" i="41"/>
  <c r="I79" i="41"/>
  <c r="K79" i="41"/>
  <c r="K73" i="41"/>
  <c r="I73" i="41"/>
  <c r="K77" i="41"/>
  <c r="I77" i="41"/>
  <c r="K75" i="41"/>
  <c r="I75" i="41"/>
  <c r="I74" i="41"/>
  <c r="K74" i="41"/>
  <c r="K68" i="41"/>
  <c r="I68" i="41"/>
  <c r="K71" i="41"/>
  <c r="I71" i="41"/>
  <c r="G60" i="24" l="1"/>
  <c r="C62" i="24" s="1"/>
  <c r="D62" i="24" l="1"/>
  <c r="S62" i="24"/>
  <c r="G62" i="24"/>
  <c r="C66" i="24"/>
  <c r="B17" i="16" s="1"/>
  <c r="L62" i="24"/>
  <c r="J47" i="24"/>
  <c r="O47" i="24"/>
  <c r="O48" i="24" s="1"/>
  <c r="J48" i="24" l="1"/>
  <c r="E62" i="24"/>
  <c r="P62" i="24"/>
  <c r="H62" i="24"/>
  <c r="I62" i="24"/>
  <c r="M62" i="24"/>
  <c r="F62" i="24"/>
  <c r="R47" i="24"/>
  <c r="R48" i="24" s="1"/>
  <c r="N47" i="24"/>
  <c r="N48" i="24" s="1"/>
  <c r="N62" i="24"/>
  <c r="K47" i="24"/>
  <c r="K48" i="24" s="1"/>
  <c r="J62" i="24"/>
  <c r="L47" i="24"/>
  <c r="L48" i="24" s="1"/>
  <c r="S47" i="24"/>
  <c r="S48" i="24" s="1"/>
  <c r="O62" i="24"/>
  <c r="Q47" i="24"/>
  <c r="Q48" i="24" s="1"/>
  <c r="K62" i="24"/>
  <c r="M47" i="24"/>
  <c r="M48" i="24" s="1"/>
  <c r="P47" i="24"/>
  <c r="P48" i="24" s="1"/>
  <c r="R62" i="24"/>
  <c r="Q62" i="24"/>
  <c r="C58" i="24" l="1"/>
  <c r="C59" i="24"/>
  <c r="C56" i="24"/>
  <c r="C52" i="24"/>
  <c r="C51" i="24"/>
  <c r="C57" i="24"/>
  <c r="C53" i="24"/>
  <c r="C54" i="24"/>
  <c r="C55" i="24"/>
  <c r="C48" i="24"/>
  <c r="C38" i="24"/>
  <c r="C43" i="24"/>
  <c r="C39" i="24"/>
  <c r="C42" i="24"/>
  <c r="C45" i="24"/>
  <c r="C37" i="24"/>
  <c r="C44" i="24"/>
  <c r="C40" i="24"/>
  <c r="C60" i="24"/>
  <c r="C41" i="24"/>
  <c r="C36" i="24"/>
  <c r="K27" i="41" l="1"/>
  <c r="K36" i="41"/>
  <c r="K34" i="41"/>
  <c r="K38" i="41"/>
  <c r="K37" i="41"/>
  <c r="K35" i="41"/>
  <c r="K39" i="41"/>
  <c r="K33" i="41"/>
  <c r="K41" i="41"/>
  <c r="K32" i="41"/>
  <c r="K29" i="41"/>
  <c r="K42" i="41"/>
  <c r="K28" i="41"/>
  <c r="K30" i="41"/>
  <c r="K31" i="41"/>
  <c r="K40" i="41"/>
  <c r="I28" i="41" l="1"/>
  <c r="I40" i="41"/>
  <c r="I30" i="41"/>
  <c r="I41" i="41"/>
  <c r="I37" i="41"/>
  <c r="I27" i="41"/>
  <c r="I42" i="41"/>
  <c r="I33" i="41"/>
  <c r="I38" i="41"/>
  <c r="I31" i="41"/>
  <c r="I29" i="41"/>
  <c r="I39" i="41"/>
  <c r="I34" i="41"/>
  <c r="I32" i="41"/>
  <c r="I35" i="41"/>
  <c r="I36" i="41"/>
  <c r="M33" i="41" l="1"/>
  <c r="N33" i="41" s="1"/>
  <c r="M29" i="41"/>
  <c r="N29" i="41" s="1"/>
  <c r="M28" i="41"/>
  <c r="N28" i="41" s="1"/>
  <c r="M27" i="41"/>
  <c r="N27" i="41" s="1"/>
  <c r="M42" i="41"/>
  <c r="N42" i="41" s="1"/>
  <c r="M40" i="41"/>
  <c r="N40" i="41" s="1"/>
  <c r="M39" i="41"/>
  <c r="N39" i="41" s="1"/>
  <c r="M38" i="41"/>
  <c r="N38" i="41" s="1"/>
  <c r="M35" i="41"/>
  <c r="N35" i="41" s="1"/>
  <c r="M36" i="41"/>
  <c r="N36" i="41" s="1"/>
  <c r="M31" i="41"/>
  <c r="N31" i="41" s="1"/>
  <c r="M34" i="41"/>
  <c r="N34" i="41" s="1"/>
  <c r="M37" i="41"/>
  <c r="N37" i="41" s="1"/>
  <c r="M32" i="41"/>
  <c r="N32" i="41" s="1"/>
  <c r="M41" i="41"/>
  <c r="N41" i="41" s="1"/>
  <c r="M30" i="41"/>
  <c r="N30" i="41" s="1"/>
  <c r="R27" i="41" l="1"/>
  <c r="R40" i="41"/>
  <c r="R32" i="41"/>
  <c r="R41" i="41"/>
  <c r="R33" i="41"/>
  <c r="R31" i="41"/>
  <c r="R38" i="41"/>
  <c r="R36" i="41"/>
  <c r="R34" i="41"/>
  <c r="R30" i="41"/>
  <c r="R28" i="41"/>
  <c r="R42" i="41"/>
  <c r="R37" i="41"/>
  <c r="R39" i="41"/>
  <c r="R35" i="41"/>
  <c r="R29" i="41"/>
  <c r="P39" i="41" l="1"/>
  <c r="P42" i="41"/>
  <c r="P41" i="41"/>
  <c r="P35" i="41"/>
  <c r="P38" i="41"/>
  <c r="P32" i="41"/>
  <c r="P31" i="41"/>
  <c r="P40" i="41"/>
  <c r="P34" i="41"/>
  <c r="P33" i="41"/>
  <c r="P27" i="41"/>
  <c r="P37" i="41"/>
  <c r="P28" i="41"/>
  <c r="P30" i="41"/>
  <c r="P36" i="41"/>
  <c r="P29" i="41"/>
  <c r="T38" i="41" l="1"/>
  <c r="U38" i="41" s="1"/>
  <c r="T31" i="41"/>
  <c r="U31" i="41" s="1"/>
  <c r="T41" i="41"/>
  <c r="U41" i="41" s="1"/>
  <c r="T30" i="41"/>
  <c r="U30" i="41" s="1"/>
  <c r="T29" i="41"/>
  <c r="U29" i="41" s="1"/>
  <c r="T32" i="41"/>
  <c r="U32" i="41" s="1"/>
  <c r="T33" i="41"/>
  <c r="U33" i="41" s="1"/>
  <c r="T27" i="41"/>
  <c r="U27" i="41" s="1"/>
  <c r="T42" i="41"/>
  <c r="U42" i="41" s="1"/>
  <c r="T28" i="41"/>
  <c r="U28" i="41" s="1"/>
  <c r="T35" i="41"/>
  <c r="U35" i="41" s="1"/>
  <c r="T40" i="41"/>
  <c r="U40" i="41" s="1"/>
  <c r="T39" i="41"/>
  <c r="U39" i="41" s="1"/>
  <c r="T34" i="41"/>
  <c r="U34" i="41" s="1"/>
  <c r="T37" i="41"/>
  <c r="U37" i="41" s="1"/>
  <c r="T36" i="41"/>
  <c r="U36" i="41" s="1"/>
  <c r="AJ1009" i="27" l="1"/>
  <c r="AI1009" i="27"/>
  <c r="AI1013" i="27"/>
  <c r="AJ1013" i="27" l="1"/>
</calcChain>
</file>

<file path=xl/comments1.xml><?xml version="1.0" encoding="utf-8"?>
<comments xmlns="http://schemas.openxmlformats.org/spreadsheetml/2006/main">
  <authors>
    <author>Author</author>
  </authors>
  <commentList>
    <comment ref="F17" authorId="0">
      <text>
        <r>
          <rPr>
            <sz val="9"/>
            <color indexed="81"/>
            <rFont val="Tahoma"/>
            <family val="2"/>
          </rPr>
          <t>As per 2012 DPP financial model, cell 'Timing Assumptions'!C10</t>
        </r>
      </text>
    </comment>
    <comment ref="F18" authorId="0">
      <text>
        <r>
          <rPr>
            <sz val="9"/>
            <color indexed="81"/>
            <rFont val="Tahoma"/>
            <family val="2"/>
          </rPr>
          <t>As per 2012 DPP financial model, cell 'Timing Assumptions'!C19</t>
        </r>
      </text>
    </comment>
    <comment ref="F19" authorId="0">
      <text>
        <r>
          <rPr>
            <sz val="9"/>
            <color indexed="81"/>
            <rFont val="Tahoma"/>
            <family val="2"/>
          </rPr>
          <t>As per 2012 DPP financial model, cell  'Timing Assumptions'!C20</t>
        </r>
      </text>
    </comment>
    <comment ref="F22" authorId="0">
      <text>
        <r>
          <rPr>
            <sz val="9"/>
            <color indexed="81"/>
            <rFont val="Tahoma"/>
            <family val="2"/>
          </rPr>
          <t>As per 2012 DPP financial model, cell Inputs!C4</t>
        </r>
      </text>
    </comment>
    <comment ref="F23" authorId="0">
      <text>
        <r>
          <rPr>
            <sz val="9"/>
            <color indexed="81"/>
            <rFont val="Tahoma"/>
            <family val="2"/>
          </rPr>
          <t>As per 2012 DPP financial model, cell Inputs!C6</t>
        </r>
      </text>
    </comment>
    <comment ref="G26" authorId="0">
      <text>
        <r>
          <rPr>
            <sz val="9"/>
            <color indexed="81"/>
            <rFont val="Tahoma"/>
            <family val="2"/>
          </rPr>
          <t>As per 2012 DPP financial model, cell Inputs!C12:I12</t>
        </r>
      </text>
    </comment>
    <comment ref="G29" authorId="0">
      <text>
        <r>
          <rPr>
            <sz val="9"/>
            <color indexed="81"/>
            <rFont val="Tahoma"/>
            <family val="2"/>
          </rPr>
          <t>As per 2012 DPP financial model, cell Inputs!C5</t>
        </r>
      </text>
    </comment>
    <comment ref="F38" authorId="0">
      <text>
        <r>
          <rPr>
            <sz val="9"/>
            <color indexed="81"/>
            <rFont val="Tahoma"/>
            <family val="2"/>
          </rPr>
          <t>As per 2012 DPP financial model, cell Alp!$E$11</t>
        </r>
      </text>
    </comment>
    <comment ref="F48" authorId="0">
      <text>
        <r>
          <rPr>
            <sz val="9"/>
            <color indexed="81"/>
            <rFont val="Tahoma"/>
            <family val="2"/>
          </rPr>
          <t xml:space="preserve">MAR with SPA &amp; 2009 CPI + applicable X reset
As per 2012 DPP financial model, cell Alp!H259:J259
</t>
        </r>
      </text>
    </comment>
    <comment ref="F75" authorId="0">
      <text>
        <r>
          <rPr>
            <sz val="9"/>
            <color indexed="81"/>
            <rFont val="Tahoma"/>
            <family val="2"/>
          </rPr>
          <t>As per 2012 DPP financial model, cell Alp!F43:J43</t>
        </r>
      </text>
    </comment>
    <comment ref="F89" authorId="0">
      <text>
        <r>
          <rPr>
            <sz val="9"/>
            <color indexed="81"/>
            <rFont val="Tahoma"/>
            <family val="2"/>
          </rPr>
          <t>As per 2012 DPP financial model, cell Alp!F189:J189</t>
        </r>
      </text>
    </comment>
    <comment ref="O184" authorId="0">
      <text>
        <r>
          <rPr>
            <sz val="9"/>
            <color indexed="81"/>
            <rFont val="Tahoma"/>
            <family val="2"/>
          </rPr>
          <t>Removed transmission ACOT charge 0f $1284.61k from schedule 3(ii) ID disclosure</t>
        </r>
      </text>
    </comment>
    <comment ref="P252" authorId="0">
      <text>
        <r>
          <rPr>
            <sz val="9"/>
            <color indexed="81"/>
            <rFont val="Tahoma"/>
            <family val="2"/>
          </rPr>
          <t>Removed estimated transmission ACOT charge 0f $305k from schedule 3(ii) ID disclosure</t>
        </r>
      </text>
    </comment>
    <comment ref="R252" authorId="0">
      <text>
        <r>
          <rPr>
            <sz val="9"/>
            <color indexed="81"/>
            <rFont val="Tahoma"/>
            <family val="2"/>
          </rPr>
          <t>Restated in 2015 for IRR calc (restated amount excludes ACOT)</t>
        </r>
      </text>
    </comment>
    <comment ref="S252" authorId="0">
      <text>
        <r>
          <rPr>
            <sz val="9"/>
            <color indexed="81"/>
            <rFont val="Tahoma"/>
            <family val="2"/>
          </rPr>
          <t>Restated in 2015 for IRR calc (restated amount excludes ACOT)</t>
        </r>
      </text>
    </comment>
    <comment ref="P253" authorId="0">
      <text>
        <r>
          <rPr>
            <sz val="9"/>
            <color indexed="81"/>
            <rFont val="Tahoma"/>
            <family val="2"/>
          </rPr>
          <t>Removed estimated transmission ACOT charge 0f $305k from schedule 3(ii) ID disclosure</t>
        </r>
      </text>
    </comment>
    <comment ref="R253" authorId="0">
      <text>
        <r>
          <rPr>
            <sz val="9"/>
            <color indexed="81"/>
            <rFont val="Tahoma"/>
            <family val="2"/>
          </rPr>
          <t>Restated in 2015 for IRR calc (restated amount excludes ACOT)</t>
        </r>
      </text>
    </comment>
    <comment ref="S253" authorId="0">
      <text>
        <r>
          <rPr>
            <sz val="9"/>
            <color indexed="81"/>
            <rFont val="Tahoma"/>
            <family val="2"/>
          </rPr>
          <t>Restated in 2015 for IRR calc (restated amount excludes ACOT)</t>
        </r>
      </text>
    </comment>
    <comment ref="P254" authorId="0">
      <text>
        <r>
          <rPr>
            <sz val="9"/>
            <color indexed="81"/>
            <rFont val="Tahoma"/>
            <family val="2"/>
          </rPr>
          <t>Removed pass-through costs of $6m and transmission ACOT charges from schedule 3(ii) ID disclosure</t>
        </r>
      </text>
    </comment>
    <comment ref="F425" authorId="0">
      <text>
        <r>
          <rPr>
            <sz val="9"/>
            <color indexed="81"/>
            <rFont val="Tahoma"/>
            <family val="2"/>
          </rPr>
          <t>As per 2012 DPP financial model, cell Alp!E183:J183</t>
        </r>
      </text>
    </comment>
    <comment ref="F505" authorId="0">
      <text>
        <r>
          <rPr>
            <sz val="9"/>
            <color indexed="81"/>
            <rFont val="Tahoma"/>
            <family val="2"/>
          </rPr>
          <t>As per 2012 DPP financial model, cell Alp!E174:J174</t>
        </r>
      </text>
    </comment>
    <comment ref="V505" authorId="0">
      <text>
        <r>
          <rPr>
            <sz val="9"/>
            <color indexed="81"/>
            <rFont val="Tahoma"/>
            <family val="2"/>
          </rPr>
          <t>Orion figures added 7/4/16 from 2420848_8</t>
        </r>
      </text>
    </comment>
    <comment ref="F553" authorId="0">
      <text>
        <r>
          <rPr>
            <sz val="9"/>
            <color indexed="81"/>
            <rFont val="Tahoma"/>
            <family val="2"/>
          </rPr>
          <t>As per 2012 DPP financial model, cell Alp!E172:J172</t>
        </r>
      </text>
    </comment>
    <comment ref="F593" authorId="0">
      <text>
        <r>
          <rPr>
            <sz val="9"/>
            <color indexed="81"/>
            <rFont val="Tahoma"/>
            <family val="2"/>
          </rPr>
          <t>As per 2012 DPP financial model, cell Alp!E136:J136</t>
        </r>
      </text>
    </comment>
    <comment ref="F738" authorId="0">
      <text>
        <r>
          <rPr>
            <sz val="9"/>
            <color indexed="81"/>
            <rFont val="Tahoma"/>
            <family val="2"/>
          </rPr>
          <t>As per 2012 DPP financial model, cell Alp!E147:J147.</t>
        </r>
      </text>
    </comment>
    <comment ref="F786" authorId="0">
      <text>
        <r>
          <rPr>
            <sz val="9"/>
            <color indexed="81"/>
            <rFont val="Tahoma"/>
            <family val="2"/>
          </rPr>
          <t>As per 2012 DPP financial model, cell Alp!E157:J157</t>
        </r>
      </text>
    </comment>
    <comment ref="F858" authorId="0">
      <text>
        <r>
          <rPr>
            <sz val="9"/>
            <color indexed="81"/>
            <rFont val="Tahoma"/>
            <family val="2"/>
          </rPr>
          <t>As per 2012 DPP financial model, cell Alp!E136:J136</t>
        </r>
      </text>
    </comment>
    <comment ref="F918" authorId="0">
      <text>
        <r>
          <rPr>
            <sz val="9"/>
            <color indexed="81"/>
            <rFont val="Tahoma"/>
            <family val="2"/>
          </rPr>
          <t>As per 2012 DPP financial model, cell Alp!E167:J167</t>
        </r>
      </text>
    </comment>
    <comment ref="F934" authorId="0">
      <text>
        <r>
          <rPr>
            <sz val="9"/>
            <color indexed="81"/>
            <rFont val="Tahoma"/>
            <family val="2"/>
          </rPr>
          <t>As per 2012 DPP financial model, cells Alp!E174:J174-Alp$E147:J147</t>
        </r>
      </text>
    </comment>
  </commentList>
</comments>
</file>

<file path=xl/comments2.xml><?xml version="1.0" encoding="utf-8"?>
<comments xmlns="http://schemas.openxmlformats.org/spreadsheetml/2006/main">
  <authors>
    <author>Author</author>
  </authors>
  <commentList>
    <comment ref="J4" authorId="0">
      <text>
        <r>
          <rPr>
            <sz val="9"/>
            <color indexed="81"/>
            <rFont val="Tahoma"/>
            <family val="2"/>
          </rPr>
          <t>Same order as variance in early capex (expenditure model)</t>
        </r>
      </text>
    </comment>
    <comment ref="Q4" authorId="0">
      <text>
        <r>
          <rPr>
            <sz val="9"/>
            <color indexed="81"/>
            <rFont val="Tahoma"/>
            <family val="2"/>
          </rPr>
          <t>Same order as variance in opex (expenditure model)</t>
        </r>
      </text>
    </comment>
    <comment ref="X4" authorId="0">
      <text>
        <r>
          <rPr>
            <sz val="9"/>
            <color indexed="81"/>
            <rFont val="Tahoma"/>
            <family val="2"/>
          </rPr>
          <t>Same order as variance in commissioned assets (expenditure model)</t>
        </r>
      </text>
    </comment>
    <comment ref="C26" authorId="0">
      <text>
        <r>
          <rPr>
            <sz val="9"/>
            <color indexed="81"/>
            <rFont val="Tahoma"/>
            <family val="2"/>
          </rPr>
          <t>Same order as 3 year CPRG (revenue model)</t>
        </r>
      </text>
    </comment>
    <comment ref="J26" authorId="0">
      <text>
        <r>
          <rPr>
            <sz val="9"/>
            <color indexed="81"/>
            <rFont val="Tahoma"/>
            <family val="2"/>
          </rPr>
          <t>Same order as headroom (revenue model)</t>
        </r>
      </text>
    </comment>
    <comment ref="Q26" authorId="0">
      <text>
        <r>
          <rPr>
            <sz val="9"/>
            <color indexed="81"/>
            <rFont val="Tahoma"/>
            <family val="2"/>
          </rPr>
          <t>Same order as ORI (revenue model)</t>
        </r>
      </text>
    </comment>
    <comment ref="AL48" authorId="0">
      <text>
        <r>
          <rPr>
            <sz val="9"/>
            <color indexed="81"/>
            <rFont val="Tahoma"/>
            <family val="2"/>
          </rPr>
          <t>Same order as reset v no reset (revenue model)</t>
        </r>
      </text>
    </comment>
  </commentList>
</comments>
</file>

<file path=xl/sharedStrings.xml><?xml version="1.0" encoding="utf-8"?>
<sst xmlns="http://schemas.openxmlformats.org/spreadsheetml/2006/main" count="3837" uniqueCount="613">
  <si>
    <t>Table of Contents</t>
  </si>
  <si>
    <t>Sheet Name</t>
  </si>
  <si>
    <t>Link</t>
  </si>
  <si>
    <t>Aurora Energy</t>
  </si>
  <si>
    <t>Electricity Ashburton</t>
  </si>
  <si>
    <t>Electricity Invercargill</t>
  </si>
  <si>
    <t>The Lines Company</t>
  </si>
  <si>
    <t>Inputs</t>
  </si>
  <si>
    <t>All input data is entered into this worksheet</t>
  </si>
  <si>
    <t>Name</t>
  </si>
  <si>
    <t>Supplier number</t>
  </si>
  <si>
    <t>Supplier</t>
  </si>
  <si>
    <t>Scenario</t>
  </si>
  <si>
    <t>General time-series data</t>
  </si>
  <si>
    <t>Business-specific data</t>
  </si>
  <si>
    <t>Active EDB outputs</t>
  </si>
  <si>
    <t>Outputs</t>
  </si>
  <si>
    <t>Calculations</t>
  </si>
  <si>
    <t>General Description</t>
  </si>
  <si>
    <t>Electricity Distribution Business</t>
  </si>
  <si>
    <t>Description</t>
  </si>
  <si>
    <t>Leverage</t>
  </si>
  <si>
    <t>2009/10</t>
  </si>
  <si>
    <t>2010/11</t>
  </si>
  <si>
    <t>2011/12</t>
  </si>
  <si>
    <t>2012/13</t>
  </si>
  <si>
    <t>2013/14</t>
  </si>
  <si>
    <t>2014/15</t>
  </si>
  <si>
    <t>Orion NZ</t>
  </si>
  <si>
    <t>Buller Electricity</t>
  </si>
  <si>
    <t>Counties Power</t>
  </si>
  <si>
    <t>Electra</t>
  </si>
  <si>
    <t>MainPower</t>
  </si>
  <si>
    <t>Marlborough Lines</t>
  </si>
  <si>
    <t>Network Waitaki</t>
  </si>
  <si>
    <t>Northpower</t>
  </si>
  <si>
    <t>ScanPower</t>
  </si>
  <si>
    <t>The Power Company</t>
  </si>
  <si>
    <t>Waipa Networks</t>
  </si>
  <si>
    <t>WEL Networks</t>
  </si>
  <si>
    <t>Westpower</t>
  </si>
  <si>
    <t>Output table</t>
  </si>
  <si>
    <t>Year number (base year number = 1)</t>
  </si>
  <si>
    <t>Total revaluation</t>
  </si>
  <si>
    <t>Total depreciation</t>
  </si>
  <si>
    <t>Regulatory tax allowance</t>
  </si>
  <si>
    <t>Value</t>
  </si>
  <si>
    <t>Source</t>
  </si>
  <si>
    <t>Aggregate opening RAB value</t>
  </si>
  <si>
    <t>Opening deferred tax</t>
  </si>
  <si>
    <t>Term credit spread differential allowance</t>
  </si>
  <si>
    <t>Corporate tax rate</t>
  </si>
  <si>
    <t>Assets commissioned</t>
  </si>
  <si>
    <t>Closing deferred tax</t>
  </si>
  <si>
    <t>Closing RAB value</t>
  </si>
  <si>
    <t>Return on Investment</t>
  </si>
  <si>
    <t>Year end</t>
  </si>
  <si>
    <t>Days to end of (365 day) year</t>
  </si>
  <si>
    <t>Revenue</t>
  </si>
  <si>
    <t>less operating expenditure</t>
  </si>
  <si>
    <t>Total opening RAB value</t>
  </si>
  <si>
    <t>Opening RIV</t>
  </si>
  <si>
    <t>Operating surplus / (deficit)</t>
  </si>
  <si>
    <t>Asset disposals</t>
  </si>
  <si>
    <t>Total closing RAB value</t>
  </si>
  <si>
    <t>Adjustment resulting from asset allocation</t>
  </si>
  <si>
    <t>Lost and found assets adjustment</t>
  </si>
  <si>
    <t>Leverage (%)</t>
  </si>
  <si>
    <t>Cost of debt assumption (%)</t>
  </si>
  <si>
    <t>Corporate tax rate (%)</t>
  </si>
  <si>
    <t>Closing RIV</t>
  </si>
  <si>
    <t xml:space="preserve">Line charge revenue </t>
  </si>
  <si>
    <t>Gains / (losses) on asset disposals</t>
  </si>
  <si>
    <t>Other regulated income (other than gains / (losses) on asset disposals)</t>
  </si>
  <si>
    <t>Operational expenditure</t>
  </si>
  <si>
    <t>Regulatory Asset Base Roll Forward</t>
  </si>
  <si>
    <t>Total opening RAB</t>
  </si>
  <si>
    <t>Total revaluations</t>
  </si>
  <si>
    <t>Lost and found asset adjustments</t>
  </si>
  <si>
    <t>Total closing RAB</t>
  </si>
  <si>
    <t>Tax effect of adjusted depreciation</t>
  </si>
  <si>
    <t>Tax effect of total tax depreciation</t>
  </si>
  <si>
    <t>Tax effect of other temporary differences*</t>
  </si>
  <si>
    <t>Tax effect of amortisation of initial differences in asset values</t>
  </si>
  <si>
    <t>Deferred tax balance relating to assets acquired in the disclosure year</t>
  </si>
  <si>
    <t>Deferred tax balance relating to assets disposed in the disclosure year</t>
  </si>
  <si>
    <t>Deferred tax cost allocation adjustment</t>
  </si>
  <si>
    <t xml:space="preserve">Closing deferred tax </t>
  </si>
  <si>
    <t>Total regulatory income</t>
  </si>
  <si>
    <t xml:space="preserve">Regulatory profit / (loss) before tax </t>
  </si>
  <si>
    <t>Regulatory profit / (loss) before tax</t>
  </si>
  <si>
    <t>Income not included in regulatory profit / (loss) before tax but taxable</t>
  </si>
  <si>
    <t>Expenditure or loss in regulatory profit / (loss) before tax but not deductible</t>
  </si>
  <si>
    <t>Amortisation of initial differences in asset values</t>
  </si>
  <si>
    <t>Amortisation of revaluations</t>
  </si>
  <si>
    <t>Income included in regulatory profit / (loss) before tax but not taxable</t>
  </si>
  <si>
    <t>Discretionary discounts and consumer rebates</t>
  </si>
  <si>
    <t>Expenditure or loss deductible but not in regulatory profit / (loss) before tax**</t>
  </si>
  <si>
    <t>Notional deductible interest</t>
  </si>
  <si>
    <t xml:space="preserve">Regulatory taxable income </t>
  </si>
  <si>
    <t>Deferred tax balance</t>
  </si>
  <si>
    <t>Regulatory profit / (loss)</t>
  </si>
  <si>
    <t>Non business-specific inputs</t>
  </si>
  <si>
    <t>Cost of debt</t>
  </si>
  <si>
    <t>Line charge revenue</t>
  </si>
  <si>
    <t>Alpine Energy</t>
  </si>
  <si>
    <t>Centralines</t>
  </si>
  <si>
    <t>Horizon Energy</t>
  </si>
  <si>
    <t>Nelson Electricity</t>
  </si>
  <si>
    <t>Network Tasman</t>
  </si>
  <si>
    <t>OtagoNet</t>
  </si>
  <si>
    <t>Powerco</t>
  </si>
  <si>
    <t>Top Energy</t>
  </si>
  <si>
    <t>Wellington Electricity</t>
  </si>
  <si>
    <t>Year end ROI comparable to a vanilla WACC 2013</t>
  </si>
  <si>
    <t>Year end ROI comparable to a post tax WACC 2013</t>
  </si>
  <si>
    <t>Year end ROI comparable to a vanilla WACC 2014</t>
  </si>
  <si>
    <t>Year end ROI comparable to a post tax WACC 2014</t>
  </si>
  <si>
    <t>Year end ROI comparable to a vanilla WACC 2015</t>
  </si>
  <si>
    <t>Year end ROI comparable to a post tax WACC 2015</t>
  </si>
  <si>
    <t>Mid-year net cash outflows</t>
  </si>
  <si>
    <t>Cashflow at year-end</t>
  </si>
  <si>
    <t>Expenses cash outflow</t>
  </si>
  <si>
    <t>Pass-through and recoverable costs excluding financial incentives and wash-ups</t>
  </si>
  <si>
    <t>Financial incentives</t>
  </si>
  <si>
    <t>Wash-up costs</t>
  </si>
  <si>
    <t>Adjusted depreciation</t>
  </si>
  <si>
    <t>Tax depreciation</t>
  </si>
  <si>
    <t>Regulatory tax asset value of asset disposals</t>
  </si>
  <si>
    <t>Net recoverable costs allowed under incremental rolling incentive scheme</t>
  </si>
  <si>
    <t>Purchased assets – avoided transmission charge</t>
  </si>
  <si>
    <t>Energy efficiency and demand incentive allowance</t>
  </si>
  <si>
    <t>Quality incentive adjustment</t>
  </si>
  <si>
    <t>Other financial incentives</t>
  </si>
  <si>
    <t>Input methodology claw-back</t>
  </si>
  <si>
    <t>Recoverable customised price-quality path costs</t>
  </si>
  <si>
    <t>Catastrophic event allowance</t>
  </si>
  <si>
    <t>Capex wash-up adjustment</t>
  </si>
  <si>
    <t>Transmission asset wash-up adjustment</t>
  </si>
  <si>
    <t>2013–2015 NPV wash-up allowance</t>
  </si>
  <si>
    <t>Other wash-ups</t>
  </si>
  <si>
    <t>Rates</t>
  </si>
  <si>
    <t>Commerce Act levies</t>
  </si>
  <si>
    <t>Industry levies</t>
  </si>
  <si>
    <t>CPP specified pass through costs</t>
  </si>
  <si>
    <t>Electricity lines service charge payable to Transpower</t>
  </si>
  <si>
    <t>Transpower new investment contract charges</t>
  </si>
  <si>
    <t>System operator services</t>
  </si>
  <si>
    <t>Distributed generation allowance</t>
  </si>
  <si>
    <t>Extended reserves allowance</t>
  </si>
  <si>
    <t>Other recoverable costs excluding financial incentives and wash-ups</t>
  </si>
  <si>
    <t>DPP WACC</t>
  </si>
  <si>
    <t>3 Year IRR</t>
  </si>
  <si>
    <t>Min</t>
  </si>
  <si>
    <t>Max</t>
  </si>
  <si>
    <t>Base line charge revenue</t>
  </si>
  <si>
    <t>Modelled Scenario</t>
  </si>
  <si>
    <t>ID Only Total (excluding Orion)</t>
  </si>
  <si>
    <t>Industry Total (incl Orion)</t>
  </si>
  <si>
    <t>5 Year IRR</t>
  </si>
  <si>
    <t>Selected scenario: Cost of debt</t>
  </si>
  <si>
    <t>Scenario number (for output data table)</t>
  </si>
  <si>
    <t>PV at 1 Apr 12</t>
  </si>
  <si>
    <t>Other regulated income (including gains and losses on disposals)</t>
  </si>
  <si>
    <t xml:space="preserve"> Other regulated income (including gains and losses on disposals)</t>
  </si>
  <si>
    <t>N/A</t>
  </si>
  <si>
    <t>3 year IRR</t>
  </si>
  <si>
    <t>Reset</t>
  </si>
  <si>
    <t>Count</t>
  </si>
  <si>
    <t>Mean</t>
  </si>
  <si>
    <t>SD</t>
  </si>
  <si>
    <t>Q1</t>
  </si>
  <si>
    <t>Median</t>
  </si>
  <si>
    <t>Q3</t>
  </si>
  <si>
    <t>Bottom</t>
  </si>
  <si>
    <t>2Q Box</t>
  </si>
  <si>
    <t>3Q Box</t>
  </si>
  <si>
    <t>Whisker -</t>
  </si>
  <si>
    <t>Whisker +</t>
  </si>
  <si>
    <t>Offset</t>
  </si>
  <si>
    <t>Analysis of EDB Performance 2010–2015</t>
  </si>
  <si>
    <t>Waterfall</t>
  </si>
  <si>
    <t>Without reset</t>
  </si>
  <si>
    <t>Number</t>
  </si>
  <si>
    <t>Scenario Number</t>
  </si>
  <si>
    <t>Results displayed for:</t>
  </si>
  <si>
    <t>Results for active scenario</t>
  </si>
  <si>
    <t>3 year IRR for all scenarios</t>
  </si>
  <si>
    <t>Active EDB</t>
  </si>
  <si>
    <t>Active scenario</t>
  </si>
  <si>
    <t>EDB number (for output data table)</t>
  </si>
  <si>
    <t>EDB column in Inputs worksheet</t>
  </si>
  <si>
    <t>Year</t>
  </si>
  <si>
    <t>Primary scenario</t>
  </si>
  <si>
    <t>Time-series scenario data</t>
  </si>
  <si>
    <t>Business-specific scenario  data</t>
  </si>
  <si>
    <t>Active</t>
  </si>
  <si>
    <t>Full description of active item</t>
  </si>
  <si>
    <t>Scenario Definition</t>
  </si>
  <si>
    <t>Capital expenditure</t>
  </si>
  <si>
    <t>Operating expenditure</t>
  </si>
  <si>
    <t>Expenditure inflators</t>
  </si>
  <si>
    <t>Headroom</t>
  </si>
  <si>
    <t>10% cap</t>
  </si>
  <si>
    <t>Impacts on IRR (expenditure impacts)</t>
  </si>
  <si>
    <t>Impacts on IRR (revenue impacts)</t>
  </si>
  <si>
    <t>Inputs as per 2012 financial model published outputs</t>
  </si>
  <si>
    <t>Waterfall charts</t>
  </si>
  <si>
    <t>ID Sch 4(i)</t>
  </si>
  <si>
    <t>ID</t>
  </si>
  <si>
    <t>ID Sch3(i)</t>
  </si>
  <si>
    <t>ID Sch4(i)</t>
  </si>
  <si>
    <t>ID Sch3</t>
  </si>
  <si>
    <t>ID Sch5c(i)</t>
  </si>
  <si>
    <t>ID Sch5h(vii)</t>
  </si>
  <si>
    <t>ID Sch5a(viii)</t>
  </si>
  <si>
    <t>ID Sch5a(iv)</t>
  </si>
  <si>
    <t>ID FS3</t>
  </si>
  <si>
    <t>ID Sch5a(vi)</t>
  </si>
  <si>
    <t>ID Sch5a(i)</t>
  </si>
  <si>
    <t>ID Sch5a(iii)</t>
  </si>
  <si>
    <t>CPRG model</t>
  </si>
  <si>
    <t>Nil entry</t>
  </si>
  <si>
    <t>Opex &amp; capex</t>
  </si>
  <si>
    <t>2012 DPP</t>
  </si>
  <si>
    <t>2015 DPP</t>
  </si>
  <si>
    <t>Specified in 2012 DPP reset determination</t>
  </si>
  <si>
    <t>Specified in 2015 DPP reset determination</t>
  </si>
  <si>
    <t>DPP Scen</t>
  </si>
  <si>
    <t>Disclosed in EDB ID disclosure (with ID schedule name)</t>
  </si>
  <si>
    <t>Data source</t>
  </si>
  <si>
    <t>Data values are all zero</t>
  </si>
  <si>
    <t>Term used in Column C</t>
  </si>
  <si>
    <t>Detailed description</t>
  </si>
  <si>
    <t>Sources of data</t>
  </si>
  <si>
    <t>ra_ScNumber</t>
  </si>
  <si>
    <t>ra_ScName</t>
  </si>
  <si>
    <t>'='[13042]S3.Regulatory Profit'!S35</t>
  </si>
  <si>
    <t>'='[13042]S3.Regulatory Profit'!S36</t>
  </si>
  <si>
    <t>'='[13042]S3.Regulatory Profit'!S37</t>
  </si>
  <si>
    <t>'='[13042]S3.Regulatory Profit'!S38</t>
  </si>
  <si>
    <t>'='[13042]S3.Regulatory Profit'!S40</t>
  </si>
  <si>
    <t>'='[13042]S3.Regulatory Profit'!S41</t>
  </si>
  <si>
    <t>'='[13042]S3.Regulatory Profit'!S42</t>
  </si>
  <si>
    <t>'='[13042]S3.Regulatory Profit'!S43</t>
  </si>
  <si>
    <t>'='[13042]S3.Regulatory Profit'!S44</t>
  </si>
  <si>
    <t>'='[13042]S3.Regulatory Profit'!S45</t>
  </si>
  <si>
    <t>'='[13042]S3.Regulatory Profit'!T46</t>
  </si>
  <si>
    <t>'='[13042]S2.Return on Investment'!L102</t>
  </si>
  <si>
    <t>'='[13042]S2.Return on Investment'!L103</t>
  </si>
  <si>
    <t>'='[13042]S2.Return on Investment'!L104</t>
  </si>
  <si>
    <t>'='[13042]S2.Return on Investment'!L105</t>
  </si>
  <si>
    <t>'='[13042]S2.Return on Investment'!L106</t>
  </si>
  <si>
    <t>'='[13042]S2.Return on Investment'!M107</t>
  </si>
  <si>
    <t>'='[13042]S2.Return on Investment'!L111</t>
  </si>
  <si>
    <t>'='[13042]S2.Return on Investment'!L112</t>
  </si>
  <si>
    <t>'='[13042]S2.Return on Investment'!L113</t>
  </si>
  <si>
    <t>'='[13042]S2.Return on Investment'!L114</t>
  </si>
  <si>
    <t>'='[13042]S2.Return on Investment'!L115</t>
  </si>
  <si>
    <t>'='[13042]S2.Return on Investment'!L116</t>
  </si>
  <si>
    <t>'='[13042]S2.Return on Investment'!L118</t>
  </si>
  <si>
    <t>'='[13042]S2.Return on Investment'!M119</t>
  </si>
  <si>
    <t>'='[13042]S3.Regulatory Profit'!T9</t>
  </si>
  <si>
    <t>'='[13042]S3.Regulatory Profit'!T10</t>
  </si>
  <si>
    <t>'='[13042]S3.Regulatory Profit'!T11</t>
  </si>
  <si>
    <t>'='[13042]S3.Regulatory Profit'!T13</t>
  </si>
  <si>
    <t>'='[13042]S3.Regulatory Profit'!T15</t>
  </si>
  <si>
    <t>'='[13042]S3.Regulatory Profit'!T17</t>
  </si>
  <si>
    <t>'='[13042]S3.Regulatory Profit'!T19</t>
  </si>
  <si>
    <t>'='[13042]S3.Regulatory Profit'!T21</t>
  </si>
  <si>
    <t>'='[13042]S3.Regulatory Profit'!T23</t>
  </si>
  <si>
    <t>'='[13042]S3.Regulatory Profit'!T25</t>
  </si>
  <si>
    <t>'='[13042]S2.Return on Investment'!M55</t>
  </si>
  <si>
    <t>'='[13042]S2.Return on Investment'!M56</t>
  </si>
  <si>
    <t>'='[13042]S5a.Regulatory Tax Allowance'!I28</t>
  </si>
  <si>
    <t>'='[13042]S5a.Regulatory Tax Allowance'!J8</t>
  </si>
  <si>
    <t>'='[13042]S5a.Regulatory Tax Allowance'!I10</t>
  </si>
  <si>
    <t>'='[13042]S5a.Regulatory Tax Allowance'!I11</t>
  </si>
  <si>
    <t>'='[13042]S5a.Regulatory Tax Allowance'!I12</t>
  </si>
  <si>
    <t>'='[13042]S5a.Regulatory Tax Allowance'!I13</t>
  </si>
  <si>
    <t>'='[13042]S5a.Regulatory Tax Allowance'!I16</t>
  </si>
  <si>
    <t>'='[13042]S5a.Regulatory Tax Allowance'!I17</t>
  </si>
  <si>
    <t>'='[13042]S5a.Regulatory Tax Allowance'!I18</t>
  </si>
  <si>
    <t>'='[13042]S5a.Regulatory Tax Allowance'!I19</t>
  </si>
  <si>
    <t>'='[13042]S5a.Regulatory Tax Allowance'!I20</t>
  </si>
  <si>
    <t>'='[13042]S5a.Regulatory Tax Allowance'!J23</t>
  </si>
  <si>
    <t>''='[13042]S5a.Regulatory Tax Allowance'!$J$29</t>
  </si>
  <si>
    <t>='[13042]S2.Return on Investment'!K32</t>
  </si>
  <si>
    <t>='[13042]S2.Return on Investment'!K33</t>
  </si>
  <si>
    <t>='[13042]S2.Return on Investment'!L34</t>
  </si>
  <si>
    <t>='[13042]S2.Return on Investment'!S39</t>
  </si>
  <si>
    <t>Corresponding cell in ID Schedule 1–10 template</t>
  </si>
  <si>
    <t>='[13042]S2.Return on Investment'!K38</t>
  </si>
  <si>
    <t>='[13042]S2.Return on Investment'!K39</t>
  </si>
  <si>
    <t>='[13042]S2.Return on Investment'!K40</t>
  </si>
  <si>
    <t>='[13042]S2.Return on Investment'!K41</t>
  </si>
  <si>
    <t>='[13042]S2.Return on Investment'!K42</t>
  </si>
  <si>
    <t>='[13042]S2.Return on Investment'!$S$40</t>
  </si>
  <si>
    <t>='[13042]S2.Return on Investment'!K47</t>
  </si>
  <si>
    <t>='[13042]S2.Return on Investment'!K48</t>
  </si>
  <si>
    <t>='[13042]S2.Return on Investment'!K49</t>
  </si>
  <si>
    <t>='[13042]S2.Return on Investment'!K50</t>
  </si>
  <si>
    <t>='[13042]S2.Return on Investment'!L51</t>
  </si>
  <si>
    <t>='[13042]S2.Return on Investment'!$R$39</t>
  </si>
  <si>
    <t>='[13042]S2.Return on Investment'!$R$40</t>
  </si>
  <si>
    <t>='[13042]S2.Return on Investment'!$R$41</t>
  </si>
  <si>
    <t>='[13042]S2.Return on Investment'!$R$42</t>
  </si>
  <si>
    <t>='[13042]S2.Return on Investment'!$R$43</t>
  </si>
  <si>
    <t>='[13042]S2.Return on Investment'!S40</t>
  </si>
  <si>
    <t>='[13042]S2.Return on Investment'!S41</t>
  </si>
  <si>
    <t>='[13042]S2.Return on Investment'!S42</t>
  </si>
  <si>
    <t>='[13042]S2.Return on Investment'!S43</t>
  </si>
  <si>
    <t>='[13042]S2.Return on Investment'!$M$59</t>
  </si>
  <si>
    <t>='[13042]S2.Return on Investment'!$T$48</t>
  </si>
  <si>
    <t>End of period date</t>
  </si>
  <si>
    <t>Opening RIV – days before year end</t>
  </si>
  <si>
    <t>Mid-year net cash outflows – days before year end</t>
  </si>
  <si>
    <t>Line charge revenue – days before year end</t>
  </si>
  <si>
    <t>Cashflow at year-end – days before year end</t>
  </si>
  <si>
    <t>Closing RIV – days before year end</t>
  </si>
  <si>
    <t>Data from the Inputs sheet that relates to the selected supplier. Select which calculations are displayed by entering the supplier's name and scenario name in cells C5 and C9.</t>
  </si>
  <si>
    <t>Business &amp; scenario parameters</t>
  </si>
  <si>
    <t>Mid-year net cash outflows—all revenue earned</t>
  </si>
  <si>
    <t>Annual IRR  (all revenue earned)</t>
  </si>
  <si>
    <t>Negative opening RIV</t>
  </si>
  <si>
    <t>Pass-through and recoverable costs excluding financial Incentives and wash-Ups</t>
  </si>
  <si>
    <t>Financial incentives and wash-up costs</t>
  </si>
  <si>
    <t>Tax payments</t>
  </si>
  <si>
    <t>='[13042]S4.RAB Value (Rolled Forward)'!P10</t>
  </si>
  <si>
    <t>='[13042]S4.RAB Value (Rolled Forward)'!P12</t>
  </si>
  <si>
    <t>='[13042]S4.RAB Value (Rolled Forward)'!P14</t>
  </si>
  <si>
    <t>='[13042]S4.RAB Value (Rolled Forward)'!P16</t>
  </si>
  <si>
    <t>='[13042]S4.RAB Value (Rolled Forward)'!P18</t>
  </si>
  <si>
    <t>='[13042]S4.RAB Value (Rolled Forward)'!P20</t>
  </si>
  <si>
    <t>='[13042]S4.RAB Value (Rolled Forward)'!P22</t>
  </si>
  <si>
    <t>='[13042]S4.RAB Value (Rolled Forward)'!P24</t>
  </si>
  <si>
    <t>='[13042]S5a.Regulatory Tax Allowance'!I60</t>
  </si>
  <si>
    <t>='[13042]S5a.Regulatory Tax Allowance'!A62</t>
  </si>
  <si>
    <t>='[13042]S5a.Regulatory Tax Allowance'!I64</t>
  </si>
  <si>
    <t>='[13042]S5a.Regulatory Tax Allowance'!I66</t>
  </si>
  <si>
    <t>='[13042]S5a.Regulatory Tax Allowance'!I68</t>
  </si>
  <si>
    <t>='[13042]S5a.Regulatory Tax Allowance'!I70</t>
  </si>
  <si>
    <t>='[13042]S5a.Regulatory Tax Allowance'!I72</t>
  </si>
  <si>
    <t>='[13042]S5a.Regulatory Tax Allowance'!I74</t>
  </si>
  <si>
    <t>='[13042]S5a.Regulatory Tax Allowance'!I76</t>
  </si>
  <si>
    <t>Year end IRR comparable to a vanilla WACC</t>
  </si>
  <si>
    <t>Year end IRR comparable to a post tax WACC</t>
  </si>
  <si>
    <t>Cash flow dates for IRR calculation</t>
  </si>
  <si>
    <t>Cash flows for IRR calculation—all revenue earned</t>
  </si>
  <si>
    <t>Non business-specific parameters</t>
  </si>
  <si>
    <t>Line charge revenue—all revenue earned</t>
  </si>
  <si>
    <t>Optional adjustment to true-up ex-post closing RAB</t>
  </si>
  <si>
    <t>ID estimate</t>
  </si>
  <si>
    <t>Deprec &amp; revals</t>
  </si>
  <si>
    <t>Actual from ID</t>
  </si>
  <si>
    <t>Scenario selection column</t>
  </si>
  <si>
    <t>Scanpower</t>
  </si>
  <si>
    <t>Internal rate of returns</t>
  </si>
  <si>
    <t>Selection</t>
  </si>
  <si>
    <t>Calculation</t>
  </si>
  <si>
    <t>Charts</t>
  </si>
  <si>
    <t xml:space="preserve">Active scenario: </t>
  </si>
  <si>
    <t>add other regulated income</t>
  </si>
  <si>
    <t>less commissioned assets</t>
  </si>
  <si>
    <t>less term credit spread differential allowance</t>
  </si>
  <si>
    <t>add disposed assets</t>
  </si>
  <si>
    <t>less tax payable</t>
  </si>
  <si>
    <t>less opening RIV</t>
  </si>
  <si>
    <t>add closing RIV</t>
  </si>
  <si>
    <t>XIRR residual value (internal rate of return on regulatory investment value)</t>
  </si>
  <si>
    <t>DPP Sc 4</t>
  </si>
  <si>
    <t>DPP Sc 2</t>
  </si>
  <si>
    <t>DPP Sc 23</t>
  </si>
  <si>
    <t>DPP Sc 24</t>
  </si>
  <si>
    <t>Other revenue effects</t>
  </si>
  <si>
    <t>Billed quantities</t>
  </si>
  <si>
    <t>Bar length</t>
  </si>
  <si>
    <t>Bar Start</t>
  </si>
  <si>
    <t>Bar Stop</t>
  </si>
  <si>
    <t>Actual bar (absolute)</t>
  </si>
  <si>
    <t>"Real" target</t>
  </si>
  <si>
    <t>Progression of revenue effects</t>
  </si>
  <si>
    <t>Progression of cost effects</t>
  </si>
  <si>
    <t>Pricing beneath limit</t>
  </si>
  <si>
    <t>Clawback for delay</t>
  </si>
  <si>
    <t>NPV adjustment for 10% cap</t>
  </si>
  <si>
    <t>Other regulatory income</t>
  </si>
  <si>
    <t>Revenue model</t>
  </si>
  <si>
    <t>No revaluations 2010–2015</t>
  </si>
  <si>
    <t>Actual revenues</t>
  </si>
  <si>
    <t>Early RAB</t>
  </si>
  <si>
    <t>Inflation of costs - 2012/13 to 2014/15</t>
  </si>
  <si>
    <t>Actual opex - 2012/13 to 2014/15</t>
  </si>
  <si>
    <t>Actual capex - 2012/13 to 2014/15</t>
  </si>
  <si>
    <t>Actual disposals - 2012/13 to 2014/15</t>
  </si>
  <si>
    <t>Revaluations 2010–2015 at 2009 CPI forecast rate</t>
  </si>
  <si>
    <t>DPP Sc 7</t>
  </si>
  <si>
    <t>DPP Sc 1</t>
  </si>
  <si>
    <t>Clawback &amp; NPV adjustment to line charge revenue</t>
  </si>
  <si>
    <t>DPP Sc 5</t>
  </si>
  <si>
    <t>Under bar</t>
  </si>
  <si>
    <t>Other cost effects</t>
  </si>
  <si>
    <t>DPP Sc 8</t>
  </si>
  <si>
    <t>Forecast asset revaluations</t>
  </si>
  <si>
    <t>Input price inflators 2013–15</t>
  </si>
  <si>
    <t>Operating expenditure 2013–15</t>
  </si>
  <si>
    <t>Commissioned assets 2013–15</t>
  </si>
  <si>
    <t>Actual asset revaluations</t>
  </si>
  <si>
    <t>Deviation from 8.77%</t>
  </si>
  <si>
    <t>Reval effect</t>
  </si>
  <si>
    <t>3 yr 'real' IRR</t>
  </si>
  <si>
    <t>8.77% - Scenario 10</t>
  </si>
  <si>
    <t>Returns from revals</t>
  </si>
  <si>
    <t>Scenario 9</t>
  </si>
  <si>
    <t>Scenario 10 - Scenario 9</t>
  </si>
  <si>
    <t>DPP</t>
  </si>
  <si>
    <t>CPP</t>
  </si>
  <si>
    <t>Price-quality regulated</t>
  </si>
  <si>
    <t>Information disclosure</t>
  </si>
  <si>
    <t>Default price-quality path</t>
  </si>
  <si>
    <t>Information disclosure only</t>
  </si>
  <si>
    <t>Customised price-quality path</t>
  </si>
  <si>
    <t>Nominal IRR (all)</t>
  </si>
  <si>
    <t>Nominal IRR (DPP)</t>
  </si>
  <si>
    <t>Real IRR (DPP)</t>
  </si>
  <si>
    <t>Inflation</t>
  </si>
  <si>
    <t>Scenario 6 - Scenario 5</t>
  </si>
  <si>
    <t>Scenario 7 - Scenario 6</t>
  </si>
  <si>
    <t>Optional adjustment to true-up closing deferred tax</t>
  </si>
  <si>
    <t>Scenario 14 - Scenario 2</t>
  </si>
  <si>
    <t>Scenario 9 &amp; Scenario 10 - Scenario 9</t>
  </si>
  <si>
    <t>7.32% - Scenario 9</t>
  </si>
  <si>
    <t>Actual</t>
  </si>
  <si>
    <t>Discretionary rebates</t>
  </si>
  <si>
    <t>Note: In the summary allocation, 'Expected return excluding forecast asset revaluation's is adjusted to reflect IM change. Accordingly, 'Other cost effects' includes the effects of IM change</t>
  </si>
  <si>
    <t>Scenario 23 - Scenario 15</t>
  </si>
  <si>
    <t>Specified NPV wash-up allowance</t>
  </si>
  <si>
    <t>Days from start of regulatory period</t>
  </si>
  <si>
    <t>With reset</t>
  </si>
  <si>
    <t>General scenario data</t>
  </si>
  <si>
    <t>Notional deductible interest — Nov 2014 definition</t>
  </si>
  <si>
    <t>Bar label</t>
  </si>
  <si>
    <t xml:space="preserve"> A </t>
  </si>
  <si>
    <t xml:space="preserve"> B </t>
  </si>
  <si>
    <t xml:space="preserve"> C </t>
  </si>
  <si>
    <t xml:space="preserve"> D </t>
  </si>
  <si>
    <t xml:space="preserve"> E </t>
  </si>
  <si>
    <t xml:space="preserve"> F </t>
  </si>
  <si>
    <t xml:space="preserve"> G </t>
  </si>
  <si>
    <t xml:space="preserve"> H </t>
  </si>
  <si>
    <t xml:space="preserve"> I </t>
  </si>
  <si>
    <t xml:space="preserve"> J </t>
  </si>
  <si>
    <t xml:space="preserve"> K </t>
  </si>
  <si>
    <t xml:space="preserve"> L </t>
  </si>
  <si>
    <t xml:space="preserve"> M </t>
  </si>
  <si>
    <t>Note: For the scenario, line charge revenue is equal to MAR before tax (in revenue-date terms) and "pass-through and recoverable costs excluding financial incentives and wash-ups" is equal to zero.</t>
  </si>
  <si>
    <t>Regulatory investment flow</t>
  </si>
  <si>
    <t>XIRR 3 year regulatory investment flow &amp; discount index</t>
  </si>
  <si>
    <t>XIRR 5 year regulatory investment flow &amp; discount index</t>
  </si>
  <si>
    <t>Discounted 3 year regulatory investment flow</t>
  </si>
  <si>
    <t>Chart label</t>
  </si>
  <si>
    <t>IRR</t>
  </si>
  <si>
    <t>Scenario 10</t>
  </si>
  <si>
    <t>Deviation from 'normal real' return</t>
  </si>
  <si>
    <t>'Real' / nominal IRR</t>
  </si>
  <si>
    <t>Reset v no reset</t>
  </si>
  <si>
    <t>Scenario 12 - Scenario 11</t>
  </si>
  <si>
    <t>Scenario 22 - Scenario 21</t>
  </si>
  <si>
    <t>Other reg. income</t>
  </si>
  <si>
    <t>Discretionary discounts</t>
  </si>
  <si>
    <t>Reset v.s. no reset</t>
  </si>
  <si>
    <t>Scenario 16 - Scenario 15</t>
  </si>
  <si>
    <t>Vector Lines</t>
  </si>
  <si>
    <t>Unison Networks</t>
  </si>
  <si>
    <t>Eastland Network</t>
  </si>
  <si>
    <t>Scenario 4 - Scenario 3</t>
  </si>
  <si>
    <t>Comparison of 3 year IRRs (PQR v.s. ID only)</t>
  </si>
  <si>
    <t>Comparison of 3 year IRRs (reset v.s. no reset)</t>
  </si>
  <si>
    <t>DPP Total</t>
  </si>
  <si>
    <t>The model assesses the percentage point differences between the internal rate of return that was targetted and the internal rates of returns that were achieved.</t>
  </si>
  <si>
    <t>Look-up table of scenarios</t>
  </si>
  <si>
    <t>Short description</t>
  </si>
  <si>
    <t>Long description</t>
  </si>
  <si>
    <t>This scenario modifies scenario 5 by updating post-March 2012 assumptions in the cost inflation scenario with the outcomes disclosed under information disclosure.</t>
  </si>
  <si>
    <t>This scenario takes its inputs from the 2012 EDB DPP model used to inform scenario 1 after re-running it with the revaluation index set to zero from 1 April 2009 to 31 March 2015.</t>
  </si>
  <si>
    <t xml:space="preserve">This scenario uses the same inputs as scenario 3 but replaces the inputs that change when the 2012 EDB DPP model used to inform scenario 2 is re-run with pre-April 2012 opening RAB, commissioned assets, and asset disposals disclosed under information disclosure. </t>
  </si>
  <si>
    <t>This scenario uses the same inputs as scenario 4 but replaces the inputs that change when the 2012 EDB DPP model used to inform scenario 3 is re-run with NZ Statistics post-March 2012 actual capex and opex cost inflators.</t>
  </si>
  <si>
    <t>This scenario uses the same inputs as scenario 6 but replaces the inputs that change when the 2012 EDB DPP model used to inform scenario 5 is re-run with post-March 2012 capex outcomes disclosed under information disclosure.</t>
  </si>
  <si>
    <t>This scenario uses the same inputs as scenario 7 but replaces the inputs that change when the 2012 EDB DPP model used to inform scenario 7 is re-run with post-March 2012 asset disposal outcomes disclosed under information disclosure.</t>
  </si>
  <si>
    <t>Further cost effects</t>
  </si>
  <si>
    <t>Further revenue effects</t>
  </si>
  <si>
    <t>This scenario uses the same inputs as scenario 8 but includes the post-March 2010 discretionary discounts and consumer rebate outcomes disclosed under information disclosure.</t>
  </si>
  <si>
    <t>Inputs that differ from scenario 1:
•  total depreciation values for the years 2009/10–2014/15;
•  total revaluation values (ie, zero) for the years 2009/10–2014/15;
•  term credit spread differential allowance for the years 2010/11–2014/15;
•  amortisation of revaluations for the years 2010/11–2014/15.</t>
  </si>
  <si>
    <t>Inputs that differ from scenario 3:
•  total opening RAB value for the year 2009/10;
•  opening deferred tax for the year 2009/10;
•  total depreciation for the years 2009/10–2014/15;
•  value of commissioned assets for the years 2009/10–2011/12;
•  asset disposals for the years 2009/10–2014/15;
•  term credit spread differential allowance for the years 2010/11–2014/15;
•  adjusted depreciation for the years 2009/10–2014/15;
•  tax depreciation for the years 2009/10–2014/15.</t>
  </si>
  <si>
    <t>Inputs that differ from scenario 4:
•  operational expenditure for the years 2012/13–2014/15;
•  total depreciation for the years 2009/10–2014/15;
•  value of commissioned assets for the years 2012/13–2014/15;
•  adjusted depreciation for the years 2009/10–2014/15;
•  tax depreciation for the years 2009/10–2014/15.</t>
  </si>
  <si>
    <t>Inputs that differ from scenario 6:
•  total depreciation for the years 2009/10–2014/15;
•  assets commissioned for the years 2012/13–2014/15;
•  term credit spread differential allowance for the years 2010/11–2014/15;
•  adjusted depreciation for the years 2009/10–2014/15;
•  tax depreciation for the years 2009/10–2014/15.</t>
  </si>
  <si>
    <t>Inputs that differ from scenario 7:
• total depreciation for the years 2010/11–2014/15;
• disposed assets for the years 2012/13–2014/15;
• term credit spread differential allowance for the years 2010/11–2014/15;
• adjusted depreciation for the years 2009/10–2014/15.</t>
  </si>
  <si>
    <t>Inputs that differ from scenario 10:
• total opening RAB value for the year 2009/10
• total depreciation for the years 2009/10–2014/15
• total revaluations for the years 2009/10–2014/15
• assets commissioned for the years 2009/10–2014/15
• asset disposals for the years 2009/10–2014/15
• lost and found asset adjustments for the years 2009/10–2014/15
• adjustment resulting from asset allocation for the years 2009/10–2014/15;</t>
  </si>
  <si>
    <t>Inputs that differ from scenario 8:
• discretionary discounts and consumer rebates for the years 2010/11–2014/15.</t>
  </si>
  <si>
    <t>Inputs that differ from scenario 13:
• base line charge revenue for the years 2012/13–2014/15.</t>
  </si>
  <si>
    <t>Inputs that differ from scenario 14:
• base line charge revenue for the years 2012/13–2014/15.</t>
  </si>
  <si>
    <t>Inputs that differ from scenario 15:
• base line charge revenue for the years 2012/13–2014/15.</t>
  </si>
  <si>
    <t>Inputs that differ from scenario 16:
• base line charge revenue for the years 2012/13–2014/15.</t>
  </si>
  <si>
    <t>Inputs that differ from scenario 17:
• base line charge revenue for the years 2012/13–2014/15.</t>
  </si>
  <si>
    <t>Inputs that differ from scenario 18:
• base line charge revenue for the years 2012/13–2014/15.</t>
  </si>
  <si>
    <t>Inputs that differ from scenario 19:
• base line charge revenue for the years 2012/13–2014/15.</t>
  </si>
  <si>
    <t>Inputs that differ from scenario 20:
• base line charge revenue for the years 2012/13–2014/15.</t>
  </si>
  <si>
    <t>Inputs that differ from scenario 21:
• base line charge revenue for the years 2012/13–2014/15.</t>
  </si>
  <si>
    <t>Inputs that differ from scenario 22:
• base line charge revenue for the years 2012/13–2014/15.</t>
  </si>
  <si>
    <t>All inputs from information disclosed under ID. Slight inconsistencies identified in a small number of recent disclosures have been rectified. Also includes (for 4 EDBs):
• clawback &amp; NPV adjustment to line charge revenue for year 2014/15 (to reflect amounts to be recovered in years 2015/16–2019/20).</t>
  </si>
  <si>
    <t>Individual cascades in the waterfall charts identifies the percentage point difference in the internal rate of returns of these successive scenarios. Scenarios regarded as being of particular significance are depicted as intermediate pillars.</t>
  </si>
  <si>
    <t>Two further scenarios (scenarios 11 &amp; 12) are used to calculate the percentage point change in IRRs that resulted from the Commission's decision to determine a mid-period reset of the 2010–2015 default price path in 2012.</t>
  </si>
  <si>
    <t>To reset EDB price paths for 1 April 2012 – 31 March 2015, the Commission in November 2012 targeted a nominal internal rate of return of 8.77% p.a. for each distributor, where 8.77% p.a. is the 75th percentile of vanilla WACC for the first DPP regulatory period (commencing April 2010) based on the risk-free rate and debt premium as at 1 September 2009.</t>
  </si>
  <si>
    <t>Accordingly, scenario 1 reflects the cost and revenue expectations and forecasts that applied in 2012 when the DPP was reset in November 2012, and the scenario 10 encompasses the outcomes disclosed in the distributors’ subsequent information disclosure reports.   Twenty intermediate scenarios (scenarios 2–9, 13–24) step progressively from the assumptions encompassed in the first scenario to the outcomes encompassed in the final scenario. The progression is subdivided into nine cost-based steps (scenarios 2–9 &amp; 24) and eleven revenue-based steps (scenarios 13–23).</t>
  </si>
  <si>
    <t>NB. The first two columns of this table (scenario number and name) inform some of the drop box selections in this model.</t>
  </si>
  <si>
    <t>Data sources for IRR model input sheet</t>
  </si>
  <si>
    <t>Operating instructions</t>
  </si>
  <si>
    <t>To view the scenario calculations for an individual EDB, use the dropdown box in cell C5 of the 'Selection' worksheet to select the EDB's name and the dropdown box in cell C9 of the same worksheet to select the desired scenario.</t>
  </si>
  <si>
    <t>This table is used to aggregate collection of columns in the detailed waterfall table to summary waterfall table.</t>
  </si>
  <si>
    <t>Summary waterfall tables</t>
  </si>
  <si>
    <t>Summary waterfall table</t>
  </si>
  <si>
    <t>Allocation to summary waterfall table</t>
  </si>
  <si>
    <t>Detailed waterfall charts</t>
  </si>
  <si>
    <t>Summary waterfall chart</t>
  </si>
  <si>
    <t>To view the waterfall charts for an individual DPP-regulated EDB, use the dropdown box in cell C2 of the 'Waterfall' worksheet to select the EDB's name.</t>
  </si>
  <si>
    <t>IRR model</t>
  </si>
  <si>
    <t>The engine of the model is the IRR calculation in Schedule 2 of the EDB information disclosure Excel template. The engine sits inside a shell that iterates over all scenarios and all DPP-regulated EDBs.</t>
  </si>
  <si>
    <t>Revenue lost or gained as a result of a delay to the reset</t>
  </si>
  <si>
    <t>Revenue recovered as a result of financial incentives, namely avoided cost of transmission on spur asset purchases</t>
  </si>
  <si>
    <t>Deviation as a result of our assumptions of other regulated income and gains and losses on asset disposals</t>
  </si>
  <si>
    <t>The residual that is not explained by the factors above</t>
  </si>
  <si>
    <t>Tax effect of profit distribution policies</t>
  </si>
  <si>
    <t>Change in constant price revenue for the periods 1 April 2013 to 31 March 2014 and 1 April 2014 to 31 March 2015</t>
  </si>
  <si>
    <t>Distributors may choose to recover less revenue than allowed under the DPP, as described in clause 8.4 of the 2012 DPP reset determination</t>
  </si>
  <si>
    <t>Compensation for the delay to the reset, including future compensation for EDBs specified in schedule 5C of the 2014 EDB DPP reset determination</t>
  </si>
  <si>
    <t>Revenue not recovered as a result of a limit to price increases for EDBs specified in schedule 1C table 3 of the 2012 EDB DPP reset determination</t>
  </si>
  <si>
    <t>Future compensation for the 10% cap for EDBs specified in schedule 5D of the 2014 EDB DPP reset determination</t>
  </si>
  <si>
    <t>The table '3 year IRR for all scenarios', located in the 'Outputs' worksheet, shows the calculated IRRs for all EDBs and all scenarios. This table uses Excel's Data Table facility. If Excel's calculation options  are not set to automatically recalculate tables, a manual recalculation of the table can be triggered by entering {Cntrl} {Alt} {Shift} {F9}.</t>
  </si>
  <si>
    <t>Inputs that differ from scenario 2:
• base line charge revenue for the years 2012/13–2014/15;
• all pass-through and recoverable costs excluding financial incentives and wash-ups for the years 2010/11–2014/15.</t>
  </si>
  <si>
    <t>Inputs that differ from scenario 2:
•  base line charge revenue for the years 2010/11–2014/15;
•  clawback &amp; NPV adjustment to line charge revenue for the years 2010/11–2014/15;
•  other regulated income (other than gains / (losses) on asset disposals for the years 2010/11–2014/15;
•  all pass-through and recoverable costs excluding financial incentives and wash-ups for the years 2010/11–2014/15:
   ◦  rates for the years 2012/13–2014/15;
   ◦  Commerce Act levies for the years 2012/13–2014/15;
   ◦  industry levies for the years 2012/13–2014/15;
   ◦  CPP specified pass through costs for the years 2012/13 &amp; 2014/15;
   ◦  electricity lines service charge payable to Transpower for the years 2012/13–2014/15;
   ◦  Transpower new investment contract charges for the years 2012/13–2014/15;
   ◦  system operator services for the year 2014/15;
   ◦  distributed generation allowance for the years 2014/15;
   ◦  other recoverable costs excluding financial incentives and wash-ups for the years 2010/11–2014/15.</t>
  </si>
  <si>
    <t>Inputs that differ from scenario 5:
•  operational expenditure for the years 2012/13–2014/15;
•  gains / (losses) on asset disposals for the years 2010/11–2014/15.</t>
  </si>
  <si>
    <t>This scenario uses the same inputs as scenario 2 but replaces the revenue forecasts with actual revenue outcomes in all years.
NB. In the 2012 EDB DPP determination, 'gains / (losses) on asset disposals' were treated as an operating cost rather than a component of revenue. In order for scenario 3 to better reflect the effect on IRR of opex forecasts versus actuals, the disclosed 'gains / (losses) on asset disposals'  are introduced in scenario 6 'Actual opex', and not in the more intuitively appropriate scenario 3 "Actual revenues".</t>
  </si>
  <si>
    <t>This scenario does not form part of the waterfalls. It reflects disclosed revenues adjusted upwards to remove the effect of EDBs pricing beneath the allowable revenue limit.</t>
  </si>
  <si>
    <t>Factual scenario to counterfactual scenario 12</t>
  </si>
  <si>
    <t>Counterfactual scenario to factual scenario 11</t>
  </si>
  <si>
    <t>This scenario does not form part of the waterfalls. It reflects disclosed revenues up to and including 2012/13 adjusted upwards to remove the effect of EDBs pricing beneath the allowable revenue limit, and prices in subsequent years increasing only with actual CPI, observed CPRG, and rate of change X = 0.</t>
  </si>
  <si>
    <t>No reset</t>
  </si>
  <si>
    <t>Mid-year cash flow timing for disposed assets</t>
  </si>
  <si>
    <t>5 year IRR</t>
  </si>
  <si>
    <t>Opex v.s. Demand impacts</t>
  </si>
  <si>
    <t>Impact—demand v opex</t>
  </si>
  <si>
    <t>(Scenario 9 - Scenario 7)+(Scenario 4 - Scenario 3)+(Scenario 1 - 8.77%)</t>
  </si>
  <si>
    <t>Unused</t>
  </si>
  <si>
    <t>IRR definition changes</t>
  </si>
  <si>
    <t>Expected nominal return (incl forecast asset revaluations)</t>
  </si>
  <si>
    <t>Expected real return (excl forecast asset revaluations)</t>
  </si>
  <si>
    <t>Disclosed nominal return (incl actual asset revaluations)</t>
  </si>
  <si>
    <t>Disclosed real return (excl actual asset revaluations)</t>
  </si>
  <si>
    <t>Expected nominal return (incl asset revaluations)</t>
  </si>
  <si>
    <t>Total revenue effects</t>
  </si>
  <si>
    <t>Net additions prior to 1 April 2012</t>
  </si>
  <si>
    <t>Asset disposals 2013–15</t>
  </si>
  <si>
    <t>Changes in demand (delta D)</t>
  </si>
  <si>
    <t>Changes in demand (CPRG)</t>
  </si>
  <si>
    <t>Inflation indexation of revenue limit (CPI–X%)</t>
  </si>
  <si>
    <t>Impact of delay to reset</t>
  </si>
  <si>
    <t>Payments for avoided costs of transmission</t>
  </si>
  <si>
    <t>Asset value changes before 1 April 2012</t>
  </si>
  <si>
    <t>Change in constant price revenue for the period 1 April 2011 to 31 March 2013 (?D), as specified in schedule 1C, table 4  of the 2012 EDB DPP reset determination</t>
  </si>
  <si>
    <t>Change in the CPI (eg, ?CPI2013/14 , as specified in schedule 1C table 3 of the 2012 EDB DPP reset determination)</t>
  </si>
  <si>
    <t xml:space="preserve">This scenario uses the same inputs as scenario 10 (NB. not the preceding scenario) but replaces the inputs that change when the revaluation adjustment model is used to recalculate the disclosed RAB roll-forward by setting to zero the CPI growth indices used for calculating revaluations in all years.
</t>
  </si>
  <si>
    <t xml:space="preserve"> Expected nominal return (incl forecast asset revaluations) </t>
  </si>
  <si>
    <t xml:space="preserve"> Forecast asset revaluations </t>
  </si>
  <si>
    <t xml:space="preserve"> Expected real return (excl forecast asset revaluations) </t>
  </si>
  <si>
    <t xml:space="preserve"> Changes in demand </t>
  </si>
  <si>
    <t xml:space="preserve"> Inflation indexation of revenue limit (CPI-X%) </t>
  </si>
  <si>
    <t xml:space="preserve"> Input price inflators 2013–15 </t>
  </si>
  <si>
    <t xml:space="preserve"> Operating expenditure 2013–15 </t>
  </si>
  <si>
    <t xml:space="preserve"> Commissioned assets 2013–15 </t>
  </si>
  <si>
    <t xml:space="preserve"> Other revenue effects </t>
  </si>
  <si>
    <t xml:space="preserve"> Other cost effects </t>
  </si>
  <si>
    <t xml:space="preserve"> Disclosed real return (excl actual asset revaluations) </t>
  </si>
  <si>
    <t xml:space="preserve"> Actual asset revaluations </t>
  </si>
  <si>
    <t xml:space="preserve"> Disclosed nominal return (incl actual asset revaluations) </t>
  </si>
  <si>
    <t>Total cost effects</t>
  </si>
  <si>
    <t>Note: These waterfall charts have been prepared according to the Commission's web publication standard which uses Microsoft Excel 2010. There are slight presentational differences to the charts in the Commissions' published report.</t>
  </si>
  <si>
    <t>Note: the internal rate of returns charts and tables require the cell C9 dropdown box in the "Selection" worksheet to be set to "Disclosed nominal return (incl actual asset revaluations)"</t>
  </si>
  <si>
    <t>Version 1.   8 June 2016</t>
  </si>
  <si>
    <t xml:space="preserve">Active EDB: </t>
  </si>
  <si>
    <t>The calculations in this worksheet and the "IRR" worksheet are from  the Commission's ID template workbook  "EDB ID determination templates for schedules 1 to 10 v4.1 – 24 March 2015", available at http://www.comcom.govt.nz/dmsdocument/13042</t>
  </si>
  <si>
    <t>The cell references in column I are to the corresponding cells in the ID template calculations</t>
  </si>
  <si>
    <t>The above calculation does not include the ID template 'utilised tax losses' and 'reconsideration event allowance' calculations, as these are forecast and disclosed as zero in the 2010–2015 regulatory period.</t>
  </si>
  <si>
    <t>Charts for report (other than waterfall)</t>
  </si>
  <si>
    <t>Chart data</t>
  </si>
  <si>
    <t>Data for charts (other than waterfall)</t>
  </si>
  <si>
    <t>Scenario and supplier selection</t>
  </si>
  <si>
    <t>Cash flow and RIV roll-forward calculation</t>
  </si>
  <si>
    <t>Data inputs</t>
  </si>
  <si>
    <t>Internal rate of return calculation</t>
  </si>
  <si>
    <t xml:space="preserve">This scenario encompasses all disclosed values that feed into the annual IRR calculation in the Excel template used by distributors in 2015 to prepare their Schedule 2 ID reports. It also includes a wash-up amount for the 4 EDBs entitled in the 2015 EDB DPP price reset determination to an input methodology claw-back and an NPV wash-up.
</t>
  </si>
  <si>
    <t>Output of DPP model (with DPP model scenario number)</t>
  </si>
  <si>
    <t>Output of Revenue model</t>
  </si>
  <si>
    <t>Recalculation of opex &amp; capex forecasts using actual (ie, observed) inflation factors</t>
  </si>
  <si>
    <t>Output of Revaluation adjustment model</t>
  </si>
  <si>
    <t>DPP model inputs changed from previous scenario</t>
  </si>
  <si>
    <t>This scenario takes its inputs from the 2012 EDB DPP financial model used for the 2012 EDB DPP price reset determination. Results include subsequent changes/corrections to the definition of IRR (from ID &amp; IM determinations).</t>
  </si>
  <si>
    <t>All inputs from 2012 EDB DPP financial model</t>
  </si>
  <si>
    <t>This worksheet uses Excel's data table facility to display the calculated results for all suppliers.  If Excel's calculation options  are not set to automatically recalculate tables, a manual recalculation of the table can be triggered by entering {Cntrl} {Alt} {Shift} {F9}.</t>
  </si>
  <si>
    <t xml:space="preserve">Note: In the summary, 'Expected return excluding forecast asset revaluation's is adjusted to reflect IM change. Accordingly, 'Other cost effects' includes the effects of IM change. </t>
  </si>
  <si>
    <t>A small modelling discrepancy between the revenue model results and the other used in the IRR model creates a small (0.1 percentage difference)  in the estimate of 'Total revenue effects" for some distributors.</t>
  </si>
  <si>
    <t>Change in constant price revenue for the period 1 April 2011 to 31 March 2013 (ΔD), as specified in schedule 1C, table 4  of the 2012 EDB DPP reset determination</t>
  </si>
  <si>
    <t>Change in the CPI (eg, ΔCPI2013/14 , as specified in schedule 1C table 3 of the 2012 EDB DPP reset determination)</t>
  </si>
  <si>
    <t>The residual from the Revenue model that is not explained by the factors in scenarios 13–22 above</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</si>
</sst>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2" formatCode="_-&quot;$&quot;* #,##0_-;\-&quot;$&quot;* #,##0_-;_-&quot;$&quot;* &quot;-&quot;_-;_-@_-"/>
    <numFmt numFmtId="44" formatCode="_-&quot;$&quot;* #,##0.00_-;\-&quot;$&quot;* #,##0.00_-;_-&quot;$&quot;* &quot;-&quot;??_-;_-@_-"/>
    <numFmt numFmtId="43" formatCode="_-* #,##0.00_-;\-* #,##0.00_-;_-* &quot;-&quot;??_-;_-@_-"/>
    <numFmt numFmtId="164" formatCode="_(@_)"/>
    <numFmt numFmtId="165" formatCode="_(* #,##0_);_(* \(#,##0\);_(* &quot;-&quot;_);_(@_)"/>
    <numFmt numFmtId="166" formatCode="_(* #,##0.0_);_(* \(#,##0.0\);_(* &quot;–&quot;???_);_(* @_)"/>
    <numFmt numFmtId="167" formatCode="_(* #,##0_);_(* \(#,##0\);_(* &quot;–&quot;???_);_(* @_)"/>
    <numFmt numFmtId="168" formatCode="_(* #,##0%_);_(* \(#,##0%\);_(* &quot;–&quot;???_);_(* @_)"/>
    <numFmt numFmtId="169" formatCode="_(* #,##0.0%_);_(* \(#,##0.0%\);_(* &quot;–&quot;??_);_(* @_)"/>
    <numFmt numFmtId="170" formatCode="_(* #,##0.00%_);_(* \(#,##0.00%\);_(* &quot;–&quot;???_);_(* @_)"/>
    <numFmt numFmtId="171" formatCode="_(* #,##0.0%_);_(* \(#,##0.0%\);_(* &quot;–&quot;???_);_(* @_)"/>
    <numFmt numFmtId="172" formatCode="_(* 0_);_(* \(0\);_(* &quot;–&quot;???_);_(* @_)"/>
    <numFmt numFmtId="173" formatCode="_(* #,##0.0000_);_(* \(#,##0.0000\);_(* &quot;–&quot;???_);_(* @_)"/>
    <numFmt numFmtId="174" formatCode="[$-1409]d\ mmm\ yy;@"/>
    <numFmt numFmtId="175" formatCode="_(* #,##0%_);_(* \(#,##0%\);_(* &quot;–&quot;??_);_(* @_)"/>
    <numFmt numFmtId="176" formatCode="_(&quot;$&quot;* #,##0_);_(&quot;$&quot;* \(#,##0\);_(&quot;$&quot;* &quot;-&quot;_);_(@_)"/>
    <numFmt numFmtId="177" formatCode="_(&quot;$&quot;* #,##0.00_);_(&quot;$&quot;* \(#,##0.00\);_(&quot;$&quot;* &quot;-&quot;??_);_(@_)"/>
    <numFmt numFmtId="178" formatCode="_(* #,##0.00%_);_(* \(#,##0.00%\);_(* &quot;–&quot;??_);_(* @_)"/>
    <numFmt numFmtId="179" formatCode="&quot;Scenario &quot;0"/>
    <numFmt numFmtId="180" formatCode="_(* #,##0.00_);_(* \(#,##0.00\);_(* &quot;–&quot;???_);_(* @_)"/>
    <numFmt numFmtId="181" formatCode="_(* #,##0.0000_);_(* \(#,##0.0000\);_(* &quot;–&quot;??_);_(* @_)"/>
    <numFmt numFmtId="182" formatCode="_(* #,##0.000%_);_(* \(#,##0.000%\);_(* &quot;–&quot;???_);_(* @_)"/>
    <numFmt numFmtId="183" formatCode="_(* 0_);_(* \(0\);_(* 0_);_(@_)"/>
    <numFmt numFmtId="184" formatCode="_(* #,##0.000_);_(* \(#,##0.000\);_(* &quot;–&quot;??_);_(* @_)"/>
  </numFmts>
  <fonts count="35" x14ac:knownFonts="1">
    <font>
      <sz val="11"/>
      <color theme="1"/>
      <name val="Calibri"/>
      <family val="2"/>
      <scheme val="minor"/>
    </font>
    <font>
      <sz val="11"/>
      <color theme="1"/>
      <name val="Calibri"/>
      <family val="2"/>
      <scheme val="minor"/>
    </font>
    <font>
      <b/>
      <sz val="11"/>
      <color theme="1"/>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sz val="10"/>
      <color theme="1"/>
      <name val="Calibri"/>
      <family val="2"/>
      <scheme val="minor"/>
    </font>
    <font>
      <b/>
      <sz val="10"/>
      <color theme="1"/>
      <name val="Cambria"/>
      <family val="1"/>
      <scheme val="major"/>
    </font>
    <font>
      <sz val="10"/>
      <color theme="1"/>
      <name val="Cambria"/>
      <family val="1"/>
      <scheme val="major"/>
    </font>
    <font>
      <sz val="11"/>
      <name val="Calibri"/>
      <family val="2"/>
      <scheme val="minor"/>
    </font>
    <font>
      <b/>
      <sz val="18"/>
      <name val="Calibri"/>
      <family val="2"/>
      <scheme val="minor"/>
    </font>
    <font>
      <b/>
      <sz val="16"/>
      <name val="Calibri"/>
      <family val="2"/>
      <scheme val="minor"/>
    </font>
    <font>
      <b/>
      <sz val="14"/>
      <name val="Calibri"/>
      <family val="2"/>
      <scheme val="minor"/>
    </font>
    <font>
      <u/>
      <sz val="10"/>
      <color theme="10"/>
      <name val="Arial"/>
      <family val="2"/>
    </font>
    <font>
      <sz val="11"/>
      <color theme="2"/>
      <name val="Calibri"/>
      <family val="2"/>
      <scheme val="minor"/>
    </font>
    <font>
      <b/>
      <sz val="10"/>
      <name val="Calibri"/>
      <family val="4"/>
      <scheme val="minor"/>
    </font>
    <font>
      <sz val="11"/>
      <color theme="9"/>
      <name val="Calibri"/>
      <family val="2"/>
      <scheme val="minor"/>
    </font>
    <font>
      <b/>
      <sz val="20"/>
      <color theme="2"/>
      <name val="Calibri"/>
      <family val="2"/>
      <scheme val="minor"/>
    </font>
    <font>
      <b/>
      <sz val="12"/>
      <color theme="1"/>
      <name val="Calibri"/>
      <family val="2"/>
      <scheme val="minor"/>
    </font>
    <font>
      <b/>
      <sz val="18"/>
      <color theme="2"/>
      <name val="Cambria"/>
      <family val="1"/>
      <scheme val="major"/>
    </font>
    <font>
      <sz val="11"/>
      <name val="Calibri"/>
      <family val="2"/>
    </font>
    <font>
      <i/>
      <sz val="10"/>
      <name val="Calibri"/>
      <family val="4"/>
      <scheme val="minor"/>
    </font>
    <font>
      <u/>
      <sz val="10"/>
      <color theme="11"/>
      <name val="Cambria"/>
      <family val="1"/>
      <scheme val="major"/>
    </font>
    <font>
      <u/>
      <sz val="11"/>
      <color theme="11"/>
      <name val="Calibri"/>
      <family val="2"/>
      <scheme val="minor"/>
    </font>
    <font>
      <sz val="9"/>
      <color indexed="81"/>
      <name val="Tahoma"/>
      <family val="2"/>
    </font>
    <font>
      <b/>
      <sz val="10"/>
      <color theme="1"/>
      <name val="Calibri"/>
      <family val="2"/>
      <scheme val="minor"/>
    </font>
    <font>
      <sz val="9"/>
      <color theme="9"/>
      <name val="Calibri"/>
      <family val="2"/>
      <scheme val="minor"/>
    </font>
    <font>
      <b/>
      <sz val="16"/>
      <name val="Calibri"/>
      <family val="2"/>
    </font>
    <font>
      <i/>
      <sz val="10"/>
      <color theme="1"/>
      <name val="Calibri"/>
      <family val="2"/>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43"/>
        <bgColor indexed="64"/>
      </patternFill>
    </fill>
    <fill>
      <patternFill patternType="solid">
        <fgColor theme="4"/>
        <bgColor indexed="64"/>
      </patternFill>
    </fill>
    <fill>
      <patternFill patternType="solid">
        <fgColor theme="6"/>
        <bgColor indexed="64"/>
      </patternFill>
    </fill>
    <fill>
      <patternFill patternType="solid">
        <fgColor theme="3"/>
        <bgColor indexed="64"/>
      </patternFill>
    </fill>
  </fills>
  <borders count="32">
    <border>
      <left/>
      <right/>
      <top/>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top style="thin">
        <color theme="7"/>
      </top>
      <bottom style="thin">
        <color theme="7"/>
      </bottom>
      <diagonal/>
    </border>
    <border>
      <left style="medium">
        <color indexed="8"/>
      </left>
      <right/>
      <top style="medium">
        <color indexed="8"/>
      </top>
      <bottom/>
      <diagonal/>
    </border>
    <border>
      <left/>
      <right style="medium">
        <color indexed="8"/>
      </right>
      <top style="medium">
        <color indexed="8"/>
      </top>
      <bottom/>
      <diagonal/>
    </border>
    <border>
      <left style="medium">
        <color indexed="8"/>
      </left>
      <right/>
      <top style="thin">
        <color indexed="64"/>
      </top>
      <bottom/>
      <diagonal/>
    </border>
    <border>
      <left/>
      <right style="medium">
        <color indexed="8"/>
      </right>
      <top style="thin">
        <color indexed="64"/>
      </top>
      <bottom/>
      <diagonal/>
    </border>
    <border>
      <left/>
      <right/>
      <top/>
      <bottom style="thin">
        <color theme="7"/>
      </bottom>
      <diagonal/>
    </border>
    <border>
      <left style="medium">
        <color indexed="8"/>
      </left>
      <right/>
      <top/>
      <bottom/>
      <diagonal/>
    </border>
    <border>
      <left/>
      <right style="medium">
        <color indexed="8"/>
      </right>
      <top/>
      <bottom/>
      <diagonal/>
    </border>
    <border>
      <left/>
      <right/>
      <top/>
      <bottom style="thin">
        <color rgb="FFB0A978"/>
      </bottom>
      <diagonal/>
    </border>
    <border>
      <left/>
      <right/>
      <top style="thin">
        <color rgb="FFB0A978"/>
      </top>
      <bottom/>
      <diagonal/>
    </border>
    <border>
      <left/>
      <right/>
      <top style="thin">
        <color rgb="FFB0A978"/>
      </top>
      <bottom style="thin">
        <color rgb="FFB0A978"/>
      </bottom>
      <diagonal/>
    </border>
    <border>
      <left/>
      <right style="thin">
        <color rgb="FFB0A978"/>
      </right>
      <top style="thin">
        <color rgb="FFB0A978"/>
      </top>
      <bottom style="thin">
        <color theme="7"/>
      </bottom>
      <diagonal/>
    </border>
    <border>
      <left/>
      <right style="thin">
        <color theme="7"/>
      </right>
      <top style="thin">
        <color theme="7"/>
      </top>
      <bottom style="thin">
        <color theme="7"/>
      </bottom>
      <diagonal/>
    </border>
    <border>
      <left/>
      <right/>
      <top style="double">
        <color rgb="FFB0A978"/>
      </top>
      <bottom style="thin">
        <color rgb="FFB0A978"/>
      </bottom>
      <diagonal/>
    </border>
    <border>
      <left/>
      <right/>
      <top style="thin">
        <color indexed="64"/>
      </top>
      <bottom style="thin">
        <color indexed="64"/>
      </bottom>
      <diagonal/>
    </border>
    <border>
      <left/>
      <right/>
      <top style="thin">
        <color rgb="FFB0A978"/>
      </top>
      <bottom style="thin">
        <color theme="7"/>
      </bottom>
      <diagonal/>
    </border>
    <border>
      <left style="medium">
        <color indexed="8"/>
      </left>
      <right/>
      <top style="thin">
        <color indexed="64"/>
      </top>
      <bottom style="medium">
        <color indexed="8"/>
      </bottom>
      <diagonal/>
    </border>
    <border>
      <left/>
      <right style="medium">
        <color indexed="8"/>
      </right>
      <top style="thin">
        <color indexed="64"/>
      </top>
      <bottom style="medium">
        <color indexed="8"/>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3613">
    <xf numFmtId="0" fontId="0" fillId="0" borderId="0"/>
    <xf numFmtId="43" fontId="1" fillId="0" borderId="0" applyFont="0" applyFill="0" applyBorder="0" applyAlignment="0" applyProtection="0"/>
    <xf numFmtId="165" fontId="15"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9" fontId="23" fillId="0" borderId="0" applyFill="0" applyAlignment="0"/>
    <xf numFmtId="49" fontId="16" fillId="0" borderId="0" applyFill="0" applyAlignment="0"/>
    <xf numFmtId="49" fontId="17" fillId="0" borderId="0" applyFill="0" applyAlignment="0"/>
    <xf numFmtId="49" fontId="18" fillId="33" borderId="0" applyFill="0" applyBorder="0">
      <alignment horizontal="left"/>
    </xf>
    <xf numFmtId="0" fontId="3" fillId="0" borderId="0" applyNumberFormat="0" applyFill="0" applyBorder="0" applyAlignment="0" applyProtection="0"/>
    <xf numFmtId="0" fontId="4" fillId="2" borderId="0" applyNumberFormat="0" applyBorder="0" applyAlignment="0" applyProtection="0"/>
    <xf numFmtId="0" fontId="5" fillId="3" borderId="0" applyNumberFormat="0" applyBorder="0" applyAlignment="0" applyProtection="0"/>
    <xf numFmtId="0" fontId="6" fillId="4" borderId="0" applyNumberFormat="0" applyBorder="0" applyAlignment="0" applyProtection="0"/>
    <xf numFmtId="0" fontId="20" fillId="34" borderId="11" applyNumberFormat="0" applyAlignment="0">
      <protection locked="0"/>
    </xf>
    <xf numFmtId="0" fontId="1" fillId="36" borderId="11" applyNumberFormat="0" applyAlignment="0"/>
    <xf numFmtId="0" fontId="7" fillId="5" borderId="1" applyNumberFormat="0" applyAlignment="0" applyProtection="0"/>
    <xf numFmtId="0" fontId="8" fillId="0" borderId="2" applyNumberFormat="0" applyFill="0" applyAlignment="0" applyProtection="0"/>
    <xf numFmtId="0" fontId="9" fillId="6" borderId="3" applyNumberFormat="0" applyAlignment="0" applyProtection="0"/>
    <xf numFmtId="0" fontId="10" fillId="0" borderId="0" applyNumberFormat="0" applyFill="0" applyBorder="0" applyAlignment="0" applyProtection="0"/>
    <xf numFmtId="0" fontId="1" fillId="7" borderId="4" applyNumberFormat="0" applyFont="0" applyAlignment="0" applyProtection="0"/>
    <xf numFmtId="49" fontId="27" fillId="0" borderId="0" applyFill="0" applyProtection="0">
      <alignment horizontal="left" indent="1"/>
    </xf>
    <xf numFmtId="0" fontId="2" fillId="0" borderId="5" applyNumberFormat="0" applyFill="0" applyAlignment="0" applyProtection="0"/>
    <xf numFmtId="0" fontId="1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1" fillId="31" borderId="0" applyNumberFormat="0" applyBorder="0" applyAlignment="0" applyProtection="0"/>
    <xf numFmtId="164" fontId="14" fillId="0" borderId="0" applyFont="0" applyFill="0" applyBorder="0" applyAlignment="0" applyProtection="0">
      <alignment horizontal="left"/>
      <protection locked="0"/>
    </xf>
    <xf numFmtId="0" fontId="19" fillId="0" borderId="0" applyNumberFormat="0" applyFill="0" applyBorder="0" applyAlignment="0" applyProtection="0">
      <alignment vertical="top"/>
      <protection locked="0"/>
    </xf>
    <xf numFmtId="164" fontId="27" fillId="0" borderId="0" applyFill="0" applyProtection="0">
      <alignment horizontal="left" indent="1"/>
    </xf>
    <xf numFmtId="49" fontId="17" fillId="0" borderId="0" applyFill="0" applyAlignment="0"/>
    <xf numFmtId="0" fontId="21" fillId="35" borderId="11" applyNumberFormat="0" applyFill="0">
      <alignment horizontal="centerContinuous" wrapText="1"/>
    </xf>
    <xf numFmtId="167" fontId="15" fillId="0" borderId="0" applyFont="0" applyFill="0" applyBorder="0" applyAlignment="0" applyProtection="0"/>
    <xf numFmtId="166" fontId="26" fillId="0" borderId="0" applyFont="0" applyFill="0" applyBorder="0" applyAlignment="0" applyProtection="0">
      <protection locked="0"/>
    </xf>
    <xf numFmtId="0" fontId="20" fillId="34" borderId="11" applyNumberFormat="0" applyFill="0" applyAlignment="0">
      <protection locked="0"/>
    </xf>
    <xf numFmtId="0" fontId="1" fillId="36" borderId="11" applyNumberFormat="0" applyFill="0" applyAlignment="0"/>
    <xf numFmtId="168" fontId="22" fillId="34" borderId="11" applyNumberFormat="0" applyFill="0" applyAlignment="0"/>
    <xf numFmtId="0" fontId="3" fillId="0" borderId="0" applyNumberFormat="0" applyFill="0" applyBorder="0" applyAlignment="0" applyProtection="0"/>
    <xf numFmtId="0" fontId="4" fillId="2" borderId="0" applyNumberFormat="0" applyBorder="0" applyAlignment="0" applyProtection="0"/>
    <xf numFmtId="0" fontId="5" fillId="3" borderId="0" applyNumberFormat="0" applyBorder="0" applyAlignment="0" applyProtection="0"/>
    <xf numFmtId="0" fontId="6" fillId="4" borderId="0" applyNumberFormat="0" applyBorder="0" applyAlignment="0" applyProtection="0"/>
    <xf numFmtId="0" fontId="7" fillId="5" borderId="1" applyNumberFormat="0" applyAlignment="0" applyProtection="0"/>
    <xf numFmtId="0" fontId="8" fillId="0" borderId="2" applyNumberFormat="0" applyFill="0" applyAlignment="0" applyProtection="0"/>
    <xf numFmtId="0" fontId="9" fillId="6" borderId="3" applyNumberFormat="0" applyAlignment="0" applyProtection="0"/>
    <xf numFmtId="0" fontId="10" fillId="0" borderId="0" applyNumberFormat="0" applyFill="0" applyBorder="0" applyAlignment="0" applyProtection="0"/>
    <xf numFmtId="0" fontId="1" fillId="7" borderId="4" applyNumberFormat="0" applyFont="0" applyAlignment="0" applyProtection="0"/>
    <xf numFmtId="0" fontId="2" fillId="0" borderId="5" applyNumberFormat="0" applyFill="0" applyAlignment="0" applyProtection="0"/>
    <xf numFmtId="0" fontId="1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1" fillId="31" borderId="0" applyNumberFormat="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alignment vertical="top"/>
      <protection locked="0"/>
    </xf>
    <xf numFmtId="9" fontId="1" fillId="0" borderId="0" applyFont="0" applyFill="0" applyBorder="0" applyAlignment="0" applyProtection="0"/>
    <xf numFmtId="169" fontId="15" fillId="0" borderId="0" applyFont="0" applyFill="0" applyBorder="0" applyAlignment="0" applyProtection="0">
      <alignment horizontal="center" vertical="top" wrapText="1"/>
    </xf>
    <xf numFmtId="170" fontId="26" fillId="0" borderId="0" applyFont="0" applyFill="0" applyBorder="0" applyAlignment="0" applyProtection="0">
      <protection locked="0"/>
    </xf>
    <xf numFmtId="49" fontId="27" fillId="0" borderId="0" applyFill="0" applyProtection="0">
      <alignment horizontal="left" indent="1"/>
    </xf>
    <xf numFmtId="175" fontId="1" fillId="0" borderId="0" applyFont="0" applyFill="0" applyBorder="0" applyAlignment="0" applyProtection="0"/>
    <xf numFmtId="166" fontId="1" fillId="36" borderId="22" applyNumberFormat="0" applyFont="0" applyFill="0" applyAlignment="0" applyProtection="0"/>
    <xf numFmtId="0" fontId="1" fillId="13" borderId="0" applyNumberFormat="0" applyBorder="0" applyAlignment="0" applyProtection="0"/>
    <xf numFmtId="49" fontId="17" fillId="0" borderId="0" applyFill="0" applyAlignment="0"/>
    <xf numFmtId="0" fontId="1" fillId="21" borderId="0" applyNumberFormat="0" applyBorder="0" applyAlignment="0" applyProtection="0"/>
    <xf numFmtId="180" fontId="26" fillId="0" borderId="0" applyFont="0" applyFill="0" applyBorder="0" applyAlignment="0" applyProtection="0">
      <protection locked="0"/>
    </xf>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0" fontId="1" fillId="13"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3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177" fontId="1" fillId="0" borderId="0" applyFont="0" applyFill="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177" fontId="1" fillId="0" borderId="0" applyFont="0" applyFill="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177" fontId="1" fillId="0" borderId="0" applyFont="0" applyFill="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176"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177"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177" fontId="1" fillId="0" borderId="0" applyFont="0" applyFill="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176" fontId="1" fillId="0" borderId="0" applyFont="0" applyFill="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176" fontId="1" fillId="0" borderId="0" applyFont="0" applyFill="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177"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6" fontId="1" fillId="0" borderId="0" applyFont="0" applyFill="0" applyBorder="0" applyAlignment="0" applyProtection="0"/>
    <xf numFmtId="177"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7"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25"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25" borderId="0" applyNumberFormat="0" applyBorder="0" applyAlignment="0" applyProtection="0"/>
    <xf numFmtId="176" fontId="1" fillId="0" borderId="0" applyFont="0" applyFill="0" applyBorder="0" applyAlignment="0" applyProtection="0"/>
    <xf numFmtId="0" fontId="1" fillId="7" borderId="4" applyNumberFormat="0" applyFont="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25"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7" borderId="4" applyNumberFormat="0" applyFont="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9" borderId="0" applyNumberFormat="0" applyBorder="0" applyAlignment="0" applyProtection="0"/>
    <xf numFmtId="176" fontId="1" fillId="0" borderId="0" applyFont="0" applyFill="0" applyBorder="0" applyAlignment="0" applyProtection="0"/>
    <xf numFmtId="0" fontId="1" fillId="18"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7" borderId="4" applyNumberFormat="0" applyFont="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26" borderId="0" applyNumberFormat="0" applyBorder="0" applyAlignment="0" applyProtection="0"/>
    <xf numFmtId="0" fontId="1" fillId="9"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18"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176"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176" fontId="1" fillId="0" borderId="0" applyFont="0" applyFill="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176" fontId="1" fillId="0" borderId="0" applyFont="0" applyFill="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7"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7"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176" fontId="1" fillId="0" borderId="0" applyFont="0" applyFill="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6"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8"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6"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17"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1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7" fontId="1" fillId="0" borderId="0" applyFont="0" applyFill="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177"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176" fontId="1" fillId="0" borderId="0" applyFont="0" applyFill="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1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176" fontId="1" fillId="0" borderId="0" applyFont="0" applyFill="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176" fontId="1" fillId="0" borderId="0" applyFont="0" applyFill="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7" fontId="1" fillId="0" borderId="0" applyFont="0" applyFill="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0" fontId="1" fillId="30"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177"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176" fontId="1" fillId="0" borderId="0" applyFont="0" applyFill="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176" fontId="1" fillId="0" borderId="0" applyFont="0" applyFill="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176" fontId="1" fillId="0" borderId="0" applyFont="0" applyFill="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176"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176" fontId="1" fillId="0" borderId="0" applyFont="0" applyFill="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176" fontId="1" fillId="0" borderId="0" applyFont="0" applyFill="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176" fontId="1" fillId="0" borderId="0" applyFont="0" applyFill="0" applyBorder="0" applyAlignment="0" applyProtection="0"/>
    <xf numFmtId="0" fontId="1" fillId="25" borderId="0" applyNumberFormat="0" applyBorder="0" applyAlignment="0" applyProtection="0"/>
    <xf numFmtId="0" fontId="1" fillId="9" borderId="0" applyNumberFormat="0" applyBorder="0" applyAlignment="0" applyProtection="0"/>
    <xf numFmtId="176" fontId="1" fillId="0" borderId="0" applyFont="0" applyFill="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176" fontId="1" fillId="0" borderId="0" applyFont="0" applyFill="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6" fontId="1" fillId="0" borderId="0" applyFont="0" applyFill="0" applyBorder="0" applyAlignment="0" applyProtection="0"/>
    <xf numFmtId="177" fontId="1" fillId="0" borderId="0" applyFont="0" applyFill="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0" fontId="1" fillId="30"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176" fontId="1" fillId="0" borderId="0" applyFont="0" applyFill="0" applyBorder="0" applyAlignment="0" applyProtection="0"/>
    <xf numFmtId="0" fontId="1" fillId="9" borderId="0" applyNumberFormat="0" applyBorder="0" applyAlignment="0" applyProtection="0"/>
    <xf numFmtId="0" fontId="1" fillId="7" borderId="4" applyNumberFormat="0" applyFont="0" applyAlignment="0" applyProtection="0"/>
    <xf numFmtId="177"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176" fontId="1" fillId="0" borderId="0" applyFont="0" applyFill="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22" borderId="0" applyNumberFormat="0" applyBorder="0" applyAlignment="0" applyProtection="0"/>
    <xf numFmtId="176" fontId="1" fillId="0" borderId="0" applyFont="0" applyFill="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176" fontId="1" fillId="0" borderId="0" applyFont="0" applyFill="0" applyBorder="0" applyAlignment="0" applyProtection="0"/>
    <xf numFmtId="0" fontId="1" fillId="14" borderId="0" applyNumberFormat="0" applyBorder="0" applyAlignment="0" applyProtection="0"/>
    <xf numFmtId="176" fontId="1" fillId="0" borderId="0" applyFont="0" applyFill="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176" fontId="1" fillId="0" borderId="0" applyFont="0" applyFill="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176" fontId="1" fillId="0" borderId="0" applyFont="0" applyFill="0" applyBorder="0" applyAlignment="0" applyProtection="0"/>
    <xf numFmtId="0" fontId="1" fillId="7" borderId="4" applyNumberFormat="0" applyFont="0" applyAlignment="0" applyProtection="0"/>
    <xf numFmtId="176" fontId="1" fillId="0" borderId="0" applyFont="0" applyFill="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176" fontId="1" fillId="0" borderId="0" applyFont="0" applyFill="0" applyBorder="0" applyAlignment="0" applyProtection="0"/>
    <xf numFmtId="0" fontId="1" fillId="29" borderId="0" applyNumberFormat="0" applyBorder="0" applyAlignment="0" applyProtection="0"/>
    <xf numFmtId="176" fontId="1" fillId="0" borderId="0" applyFont="0" applyFill="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176" fontId="1" fillId="0" borderId="0" applyFont="0" applyFill="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176" fontId="1" fillId="0" borderId="0" applyFont="0" applyFill="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176" fontId="1" fillId="0" borderId="0" applyFont="0" applyFill="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176" fontId="1" fillId="0" borderId="0" applyFont="0" applyFill="0" applyBorder="0" applyAlignment="0" applyProtection="0"/>
    <xf numFmtId="0" fontId="1" fillId="17" borderId="0" applyNumberFormat="0" applyBorder="0" applyAlignment="0" applyProtection="0"/>
    <xf numFmtId="0" fontId="1" fillId="22" borderId="0" applyNumberFormat="0" applyBorder="0" applyAlignment="0" applyProtection="0"/>
    <xf numFmtId="176" fontId="1" fillId="0" borderId="0" applyFont="0" applyFill="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176"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18" borderId="0" applyNumberFormat="0" applyBorder="0" applyAlignment="0" applyProtection="0"/>
    <xf numFmtId="176" fontId="1" fillId="0" borderId="0" applyFont="0" applyFill="0" applyBorder="0" applyAlignment="0" applyProtection="0"/>
    <xf numFmtId="0" fontId="1" fillId="14" borderId="0" applyNumberFormat="0" applyBorder="0" applyAlignment="0" applyProtection="0"/>
    <xf numFmtId="176"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176" fontId="1" fillId="0" borderId="0" applyFont="0" applyFill="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176" fontId="1" fillId="0" borderId="0" applyFont="0" applyFill="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176"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176" fontId="1" fillId="0" borderId="0" applyFont="0" applyFill="0" applyBorder="0" applyAlignment="0" applyProtection="0"/>
    <xf numFmtId="0" fontId="1" fillId="13"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176" fontId="1" fillId="0" borderId="0" applyFont="0" applyFill="0" applyBorder="0" applyAlignment="0" applyProtection="0"/>
    <xf numFmtId="0" fontId="1" fillId="9"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176" fontId="1" fillId="0" borderId="0" applyFont="0" applyFill="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176" fontId="1" fillId="0" borderId="0" applyFont="0" applyFill="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176"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176" fontId="1" fillId="0" borderId="0" applyFont="0" applyFill="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176" fontId="1" fillId="0" borderId="0" applyFont="0" applyFill="0" applyBorder="0" applyAlignment="0" applyProtection="0"/>
    <xf numFmtId="0" fontId="1" fillId="14"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176" fontId="1" fillId="0" borderId="0" applyFont="0" applyFill="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176" fontId="1" fillId="0" borderId="0" applyFont="0" applyFill="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176" fontId="1" fillId="0" borderId="0" applyFont="0" applyFill="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25" borderId="0" applyNumberFormat="0" applyBorder="0" applyAlignment="0" applyProtection="0"/>
    <xf numFmtId="176" fontId="1" fillId="0" borderId="0" applyFont="0" applyFill="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2"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176" fontId="1" fillId="0" borderId="0" applyFont="0" applyFill="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176"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1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176"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176" fontId="1" fillId="0" borderId="0" applyFont="0" applyFill="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7" fontId="1" fillId="0" borderId="0" applyFont="0" applyFill="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177" fontId="1" fillId="0" borderId="0" applyFont="0" applyFill="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176" fontId="1" fillId="0" borderId="0" applyFont="0" applyFill="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176" fontId="1" fillId="0" borderId="0" applyFont="0" applyFill="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176" fontId="1" fillId="0" borderId="0" applyFont="0" applyFill="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176" fontId="1" fillId="0" borderId="0" applyFont="0" applyFill="0" applyBorder="0" applyAlignment="0" applyProtection="0"/>
    <xf numFmtId="0" fontId="1" fillId="22" borderId="0" applyNumberFormat="0" applyBorder="0" applyAlignment="0" applyProtection="0"/>
    <xf numFmtId="176" fontId="1" fillId="0" borderId="0" applyFont="0" applyFill="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176" fontId="1" fillId="0" borderId="0" applyFont="0" applyFill="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176" fontId="1" fillId="0" borderId="0" applyFont="0" applyFill="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176" fontId="1" fillId="0" borderId="0" applyFont="0" applyFill="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176"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9" borderId="0" applyNumberFormat="0" applyBorder="0" applyAlignment="0" applyProtection="0"/>
    <xf numFmtId="176" fontId="1" fillId="0" borderId="0" applyFont="0" applyFill="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176" fontId="1" fillId="0" borderId="0" applyFont="0" applyFill="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29" borderId="0" applyNumberFormat="0" applyBorder="0" applyAlignment="0" applyProtection="0"/>
    <xf numFmtId="176" fontId="1" fillId="0" borderId="0" applyFont="0" applyFill="0" applyBorder="0" applyAlignment="0" applyProtection="0"/>
    <xf numFmtId="0" fontId="1" fillId="30" borderId="0" applyNumberFormat="0" applyBorder="0" applyAlignment="0" applyProtection="0"/>
    <xf numFmtId="176" fontId="1" fillId="0" borderId="0" applyFont="0" applyFill="0" applyBorder="0" applyAlignment="0" applyProtection="0"/>
    <xf numFmtId="0" fontId="1" fillId="17"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176" fontId="1" fillId="0" borderId="0" applyFont="0" applyFill="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7" fontId="1" fillId="0" borderId="0" applyFont="0" applyFill="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6" fontId="1" fillId="0" borderId="0" applyFont="0" applyFill="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177"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18" borderId="0" applyNumberFormat="0" applyBorder="0" applyAlignment="0" applyProtection="0"/>
    <xf numFmtId="0" fontId="1" fillId="17" borderId="0" applyNumberFormat="0" applyBorder="0" applyAlignment="0" applyProtection="0"/>
    <xf numFmtId="176" fontId="1" fillId="0" borderId="0" applyFont="0" applyFill="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176"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7"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7"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76" fontId="1" fillId="0" borderId="0" applyFont="0" applyFill="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13" borderId="0" applyNumberFormat="0" applyBorder="0" applyAlignment="0" applyProtection="0"/>
    <xf numFmtId="176" fontId="1" fillId="0" borderId="0" applyFont="0" applyFill="0" applyBorder="0" applyAlignment="0" applyProtection="0"/>
    <xf numFmtId="0" fontId="1" fillId="9" borderId="0" applyNumberFormat="0" applyBorder="0" applyAlignment="0" applyProtection="0"/>
    <xf numFmtId="176" fontId="1" fillId="0" borderId="0" applyFont="0" applyFill="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176" fontId="1" fillId="0" borderId="0" applyFont="0" applyFill="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76" fontId="1" fillId="0" borderId="0" applyFont="0" applyFill="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176" fontId="1" fillId="0" borderId="0" applyFont="0" applyFill="0" applyBorder="0" applyAlignment="0" applyProtection="0"/>
    <xf numFmtId="0" fontId="1" fillId="30"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7" fontId="1" fillId="0" borderId="0" applyFont="0" applyFill="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76" fontId="1" fillId="0" borderId="0" applyFont="0" applyFill="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177"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7" borderId="4" applyNumberFormat="0" applyFont="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7" borderId="4" applyNumberFormat="0" applyFont="0" applyAlignment="0" applyProtection="0"/>
    <xf numFmtId="176" fontId="1" fillId="0" borderId="0" applyFont="0" applyFill="0" applyBorder="0" applyAlignment="0" applyProtection="0"/>
    <xf numFmtId="0" fontId="1" fillId="30"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176" fontId="1" fillId="0" borderId="0" applyFont="0" applyFill="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176" fontId="1" fillId="0" borderId="0" applyFont="0" applyFill="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8"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176" fontId="1" fillId="0" borderId="0" applyFont="0" applyFill="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176" fontId="1" fillId="0" borderId="0" applyFont="0" applyFill="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9" borderId="0" applyNumberFormat="0" applyBorder="0" applyAlignment="0" applyProtection="0"/>
    <xf numFmtId="176" fontId="1" fillId="0" borderId="0" applyFont="0" applyFill="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17" borderId="0" applyNumberFormat="0" applyBorder="0" applyAlignment="0" applyProtection="0"/>
    <xf numFmtId="176" fontId="1" fillId="0" borderId="0" applyFont="0" applyFill="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176" fontId="1" fillId="0" borderId="0" applyFont="0" applyFill="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7" fontId="1" fillId="0" borderId="0" applyFont="0" applyFill="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0" fontId="1" fillId="3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176" fontId="1" fillId="0" borderId="0" applyFont="0" applyFill="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177"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176" fontId="1" fillId="0" borderId="0" applyFont="0" applyFill="0" applyBorder="0" applyAlignment="0" applyProtection="0"/>
    <xf numFmtId="0" fontId="1" fillId="25"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6" fontId="1" fillId="0" borderId="0" applyFont="0" applyFill="0" applyBorder="0" applyAlignment="0" applyProtection="0"/>
    <xf numFmtId="0" fontId="1" fillId="18" borderId="0" applyNumberFormat="0" applyBorder="0" applyAlignment="0" applyProtection="0"/>
    <xf numFmtId="176" fontId="1" fillId="0" borderId="0" applyFont="0" applyFill="0" applyBorder="0" applyAlignment="0" applyProtection="0"/>
    <xf numFmtId="0" fontId="1" fillId="26"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25" borderId="0" applyNumberFormat="0" applyBorder="0" applyAlignment="0" applyProtection="0"/>
    <xf numFmtId="176" fontId="1" fillId="0" borderId="0" applyFont="0" applyFill="0" applyBorder="0" applyAlignment="0" applyProtection="0"/>
    <xf numFmtId="0" fontId="1" fillId="7" borderId="4" applyNumberFormat="0" applyFont="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9"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14" borderId="0" applyNumberFormat="0" applyBorder="0" applyAlignment="0" applyProtection="0"/>
    <xf numFmtId="0" fontId="1" fillId="9" borderId="0" applyNumberFormat="0" applyBorder="0" applyAlignment="0" applyProtection="0"/>
    <xf numFmtId="176" fontId="1" fillId="0" borderId="0" applyFont="0" applyFill="0" applyBorder="0" applyAlignment="0" applyProtection="0"/>
    <xf numFmtId="0" fontId="1" fillId="18" borderId="0" applyNumberFormat="0" applyBorder="0" applyAlignment="0" applyProtection="0"/>
    <xf numFmtId="0" fontId="1" fillId="7" borderId="4" applyNumberFormat="0" applyFont="0" applyAlignment="0" applyProtection="0"/>
    <xf numFmtId="176" fontId="1" fillId="0" borderId="0" applyFont="0" applyFill="0" applyBorder="0" applyAlignment="0" applyProtection="0"/>
    <xf numFmtId="0" fontId="1" fillId="9" borderId="0" applyNumberFormat="0" applyBorder="0" applyAlignment="0" applyProtection="0"/>
    <xf numFmtId="176" fontId="1" fillId="0" borderId="0" applyFont="0" applyFill="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76" fontId="1" fillId="0" borderId="0" applyFont="0" applyFill="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176" fontId="1" fillId="0" borderId="0" applyFont="0" applyFill="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176" fontId="1" fillId="0" borderId="0" applyFont="0" applyFill="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1" borderId="0" applyNumberFormat="0" applyBorder="0" applyAlignment="0" applyProtection="0"/>
    <xf numFmtId="176"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21" borderId="0" applyNumberFormat="0" applyBorder="0" applyAlignment="0" applyProtection="0"/>
    <xf numFmtId="176"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7"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7"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7" fontId="1" fillId="0" borderId="0" applyFont="0" applyFill="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0" fontId="1" fillId="30" borderId="0" applyNumberFormat="0" applyBorder="0" applyAlignment="0" applyProtection="0"/>
    <xf numFmtId="176" fontId="1" fillId="0" borderId="0" applyFont="0" applyFill="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177"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176" fontId="1" fillId="0" borderId="0" applyFont="0" applyFill="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176" fontId="1" fillId="0" borderId="0" applyFont="0" applyFill="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2"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176" fontId="1" fillId="0" borderId="0" applyFont="0" applyFill="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176"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176" fontId="1" fillId="0" borderId="0" applyFont="0" applyFill="0" applyBorder="0" applyAlignment="0" applyProtection="0"/>
    <xf numFmtId="0" fontId="1" fillId="9" borderId="0" applyNumberFormat="0" applyBorder="0" applyAlignment="0" applyProtection="0"/>
    <xf numFmtId="176" fontId="1" fillId="0" borderId="0" applyFont="0" applyFill="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25" borderId="0" applyNumberFormat="0" applyBorder="0" applyAlignment="0" applyProtection="0"/>
    <xf numFmtId="176" fontId="1" fillId="0" borderId="0" applyFont="0" applyFill="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176" fontId="1" fillId="0" borderId="0" applyFont="0" applyFill="0" applyBorder="0" applyAlignment="0" applyProtection="0"/>
    <xf numFmtId="0" fontId="1" fillId="22" borderId="0" applyNumberFormat="0" applyBorder="0" applyAlignment="0" applyProtection="0"/>
    <xf numFmtId="0" fontId="1" fillId="17" borderId="0" applyNumberFormat="0" applyBorder="0" applyAlignment="0" applyProtection="0"/>
    <xf numFmtId="176" fontId="1" fillId="0" borderId="0" applyFont="0" applyFill="0" applyBorder="0" applyAlignment="0" applyProtection="0"/>
    <xf numFmtId="0" fontId="1" fillId="26" borderId="0" applyNumberFormat="0" applyBorder="0" applyAlignment="0" applyProtection="0"/>
    <xf numFmtId="0" fontId="1" fillId="22" borderId="0" applyNumberFormat="0" applyBorder="0" applyAlignment="0" applyProtection="0"/>
    <xf numFmtId="176" fontId="1" fillId="0" borderId="0" applyFont="0" applyFill="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29" borderId="0" applyNumberFormat="0" applyBorder="0" applyAlignment="0" applyProtection="0"/>
    <xf numFmtId="176" fontId="1" fillId="0" borderId="0" applyFont="0" applyFill="0" applyBorder="0" applyAlignment="0" applyProtection="0"/>
    <xf numFmtId="0" fontId="1" fillId="14"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176" fontId="1" fillId="0" borderId="0" applyFont="0" applyFill="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176" fontId="1" fillId="0" borderId="0" applyFont="0" applyFill="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176" fontId="1" fillId="0" borderId="0" applyFont="0" applyFill="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177" fontId="1" fillId="0" borderId="0" applyFont="0" applyFill="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177" fontId="1" fillId="0" borderId="0" applyFont="0" applyFill="0" applyBorder="0" applyAlignment="0" applyProtection="0"/>
    <xf numFmtId="0" fontId="1" fillId="22"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176" fontId="1" fillId="0" borderId="0" applyFont="0" applyFill="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176" fontId="1" fillId="0" borderId="0" applyFont="0" applyFill="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26"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176" fontId="1" fillId="0" borderId="0" applyFont="0" applyFill="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176" fontId="1" fillId="0" borderId="0" applyFont="0" applyFill="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176"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176"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176" fontId="1" fillId="0" borderId="0" applyFont="0" applyFill="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25" borderId="0" applyNumberFormat="0" applyBorder="0" applyAlignment="0" applyProtection="0"/>
    <xf numFmtId="176"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176" fontId="1" fillId="0" borderId="0" applyFont="0" applyFill="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1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176" fontId="1" fillId="0" borderId="0" applyFont="0" applyFill="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176" fontId="1" fillId="0" borderId="0" applyFont="0" applyFill="0" applyBorder="0" applyAlignment="0" applyProtection="0"/>
    <xf numFmtId="0" fontId="1" fillId="22" borderId="0" applyNumberFormat="0" applyBorder="0" applyAlignment="0" applyProtection="0"/>
    <xf numFmtId="0" fontId="1" fillId="22" borderId="0" applyNumberFormat="0" applyBorder="0" applyAlignment="0" applyProtection="0"/>
    <xf numFmtId="176" fontId="1" fillId="0" borderId="0" applyFont="0" applyFill="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9" borderId="0" applyNumberFormat="0" applyBorder="0" applyAlignment="0" applyProtection="0"/>
    <xf numFmtId="176" fontId="1" fillId="0" borderId="0" applyFont="0" applyFill="0" applyBorder="0" applyAlignment="0" applyProtection="0"/>
    <xf numFmtId="0" fontId="1" fillId="29" borderId="0" applyNumberFormat="0" applyBorder="0" applyAlignment="0" applyProtection="0"/>
    <xf numFmtId="0" fontId="1" fillId="14" borderId="0" applyNumberFormat="0" applyBorder="0" applyAlignment="0" applyProtection="0"/>
    <xf numFmtId="176" fontId="1" fillId="0" borderId="0" applyFont="0" applyFill="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176" fontId="1" fillId="0" borderId="0" applyFont="0" applyFill="0" applyBorder="0" applyAlignment="0" applyProtection="0"/>
    <xf numFmtId="0" fontId="1" fillId="1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176" fontId="1" fillId="0" borderId="0" applyFont="0" applyFill="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176" fontId="1" fillId="0" borderId="0" applyFont="0" applyFill="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176" fontId="1" fillId="0" borderId="0" applyFont="0" applyFill="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25" borderId="0" applyNumberFormat="0" applyBorder="0" applyAlignment="0" applyProtection="0"/>
    <xf numFmtId="176" fontId="1" fillId="0" borderId="0" applyFont="0" applyFill="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176" fontId="1" fillId="0" borderId="0" applyFont="0" applyFill="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176" fontId="1" fillId="0" borderId="0" applyFont="0" applyFill="0" applyBorder="0" applyAlignment="0" applyProtection="0"/>
    <xf numFmtId="0" fontId="1" fillId="21" borderId="0" applyNumberFormat="0" applyBorder="0" applyAlignment="0" applyProtection="0"/>
    <xf numFmtId="0" fontId="1" fillId="13" borderId="0" applyNumberFormat="0" applyBorder="0" applyAlignment="0" applyProtection="0"/>
    <xf numFmtId="176" fontId="1" fillId="0" borderId="0" applyFont="0" applyFill="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7" borderId="4" applyNumberFormat="0" applyFont="0" applyAlignment="0" applyProtection="0"/>
    <xf numFmtId="176" fontId="1" fillId="0" borderId="0" applyFont="0" applyFill="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10" borderId="0" applyNumberFormat="0" applyBorder="0" applyAlignment="0" applyProtection="0"/>
    <xf numFmtId="176" fontId="1" fillId="0" borderId="0" applyFont="0" applyFill="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176" fontId="1" fillId="0" borderId="0" applyFont="0" applyFill="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176" fontId="1" fillId="0" borderId="0" applyFont="0" applyFill="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176" fontId="1" fillId="0" borderId="0" applyFont="0" applyFill="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176" fontId="1" fillId="0" borderId="0" applyFont="0" applyFill="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7" fontId="1" fillId="0" borderId="0" applyFont="0" applyFill="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177"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176" fontId="1" fillId="0" borderId="0" applyFont="0" applyFill="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176" fontId="1" fillId="0" borderId="0" applyFont="0" applyFill="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176" fontId="1" fillId="0" borderId="0" applyFont="0" applyFill="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176" fontId="1" fillId="0" borderId="0" applyFont="0" applyFill="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176" fontId="1" fillId="0" borderId="0" applyFont="0" applyFill="0" applyBorder="0" applyAlignment="0" applyProtection="0"/>
    <xf numFmtId="0" fontId="1" fillId="9" borderId="0" applyNumberFormat="0" applyBorder="0" applyAlignment="0" applyProtection="0"/>
    <xf numFmtId="0" fontId="1" fillId="7" borderId="4" applyNumberFormat="0" applyFont="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176" fontId="1" fillId="0" borderId="0" applyFont="0" applyFill="0" applyBorder="0" applyAlignment="0" applyProtection="0"/>
    <xf numFmtId="0" fontId="1" fillId="17"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176" fontId="1" fillId="0" borderId="0" applyFont="0" applyFill="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176" fontId="1" fillId="0" borderId="0" applyFont="0" applyFill="0" applyBorder="0" applyAlignment="0" applyProtection="0"/>
    <xf numFmtId="0" fontId="1" fillId="7" borderId="4" applyNumberFormat="0" applyFont="0" applyAlignment="0" applyProtection="0"/>
    <xf numFmtId="176" fontId="1" fillId="0" borderId="0" applyFont="0" applyFill="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7"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7"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176" fontId="1" fillId="0" borderId="0" applyFont="0" applyFill="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176" fontId="1" fillId="0" borderId="0" applyFont="0" applyFill="0" applyBorder="0" applyAlignment="0" applyProtection="0"/>
    <xf numFmtId="0" fontId="1" fillId="25" borderId="0" applyNumberFormat="0" applyBorder="0" applyAlignment="0" applyProtection="0"/>
    <xf numFmtId="0" fontId="1" fillId="29" borderId="0" applyNumberFormat="0" applyBorder="0" applyAlignment="0" applyProtection="0"/>
    <xf numFmtId="176" fontId="1" fillId="0" borderId="0" applyFont="0" applyFill="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176" fontId="1" fillId="0" borderId="0" applyFont="0" applyFill="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176" fontId="1" fillId="0" borderId="0" applyFont="0" applyFill="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176" fontId="1" fillId="0" borderId="0" applyFont="0" applyFill="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176" fontId="1" fillId="0" borderId="0" applyFont="0" applyFill="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176" fontId="1" fillId="0" borderId="0" applyFont="0" applyFill="0" applyBorder="0" applyAlignment="0" applyProtection="0"/>
    <xf numFmtId="0" fontId="1" fillId="7" borderId="4" applyNumberFormat="0" applyFont="0" applyAlignment="0" applyProtection="0"/>
    <xf numFmtId="176"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76" fontId="1" fillId="0" borderId="0" applyFont="0" applyFill="0" applyBorder="0" applyAlignment="0" applyProtection="0"/>
    <xf numFmtId="0" fontId="1" fillId="7" borderId="4" applyNumberFormat="0" applyFont="0" applyAlignment="0" applyProtection="0"/>
    <xf numFmtId="0" fontId="1" fillId="7" borderId="4" applyNumberFormat="0" applyFont="0" applyAlignment="0" applyProtection="0"/>
    <xf numFmtId="0" fontId="1" fillId="10"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7" fontId="1" fillId="0" borderId="0" applyFont="0" applyFill="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177"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6"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176" fontId="1" fillId="0" borderId="0" applyFont="0" applyFill="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8"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176" fontId="1" fillId="0" borderId="0" applyFont="0" applyFill="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176" fontId="1" fillId="0" borderId="0" applyFont="0" applyFill="0" applyBorder="0" applyAlignment="0" applyProtection="0"/>
    <xf numFmtId="0" fontId="1" fillId="21" borderId="0" applyNumberFormat="0" applyBorder="0" applyAlignment="0" applyProtection="0"/>
    <xf numFmtId="0" fontId="1" fillId="30"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17" borderId="0" applyNumberFormat="0" applyBorder="0" applyAlignment="0" applyProtection="0"/>
    <xf numFmtId="176" fontId="1" fillId="0" borderId="0" applyFont="0" applyFill="0" applyBorder="0" applyAlignment="0" applyProtection="0"/>
    <xf numFmtId="0" fontId="1" fillId="29" borderId="0" applyNumberFormat="0" applyBorder="0" applyAlignment="0" applyProtection="0"/>
    <xf numFmtId="0" fontId="1" fillId="18" borderId="0" applyNumberFormat="0" applyBorder="0" applyAlignment="0" applyProtection="0"/>
    <xf numFmtId="176" fontId="1" fillId="0" borderId="0" applyFont="0" applyFill="0" applyBorder="0" applyAlignment="0" applyProtection="0"/>
    <xf numFmtId="0" fontId="1" fillId="26" borderId="0" applyNumberFormat="0" applyBorder="0" applyAlignment="0" applyProtection="0"/>
    <xf numFmtId="0" fontId="1" fillId="14" borderId="0" applyNumberFormat="0" applyBorder="0" applyAlignment="0" applyProtection="0"/>
    <xf numFmtId="176" fontId="1" fillId="0" borderId="0" applyFont="0" applyFill="0" applyBorder="0" applyAlignment="0" applyProtection="0"/>
    <xf numFmtId="0" fontId="1" fillId="7" borderId="4" applyNumberFormat="0" applyFont="0" applyAlignment="0" applyProtection="0"/>
    <xf numFmtId="0" fontId="1" fillId="17"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176" fontId="1" fillId="0" borderId="0" applyFont="0" applyFill="0" applyBorder="0" applyAlignment="0" applyProtection="0"/>
    <xf numFmtId="0" fontId="1" fillId="9" borderId="0" applyNumberFormat="0" applyBorder="0" applyAlignment="0" applyProtection="0"/>
    <xf numFmtId="176" fontId="1" fillId="0" borderId="0" applyFont="0" applyFill="0" applyBorder="0" applyAlignment="0" applyProtection="0"/>
    <xf numFmtId="0" fontId="1" fillId="22" borderId="0" applyNumberFormat="0" applyBorder="0" applyAlignment="0" applyProtection="0"/>
    <xf numFmtId="0" fontId="1" fillId="25" borderId="0" applyNumberFormat="0" applyBorder="0" applyAlignment="0" applyProtection="0"/>
    <xf numFmtId="176" fontId="1" fillId="0" borderId="0" applyFont="0" applyFill="0" applyBorder="0" applyAlignment="0" applyProtection="0"/>
    <xf numFmtId="0" fontId="1" fillId="9" borderId="0" applyNumberFormat="0" applyBorder="0" applyAlignment="0" applyProtection="0"/>
    <xf numFmtId="0" fontId="1" fillId="7" borderId="4" applyNumberFormat="0" applyFont="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176" fontId="1" fillId="0" borderId="0" applyFont="0" applyFill="0" applyBorder="0" applyAlignment="0" applyProtection="0"/>
    <xf numFmtId="0" fontId="1" fillId="14" borderId="0" applyNumberFormat="0" applyBorder="0" applyAlignment="0" applyProtection="0"/>
    <xf numFmtId="0" fontId="1" fillId="7" borderId="4" applyNumberFormat="0" applyFont="0" applyAlignment="0" applyProtection="0"/>
    <xf numFmtId="176" fontId="1" fillId="0" borderId="0" applyFont="0" applyFill="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176" fontId="1" fillId="0" borderId="0" applyFont="0" applyFill="0" applyBorder="0" applyAlignment="0" applyProtection="0"/>
    <xf numFmtId="0" fontId="1" fillId="18" borderId="0" applyNumberFormat="0" applyBorder="0" applyAlignment="0" applyProtection="0"/>
    <xf numFmtId="176"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25" borderId="0" applyNumberFormat="0" applyBorder="0" applyAlignment="0" applyProtection="0"/>
    <xf numFmtId="176" fontId="1" fillId="0" borderId="0" applyFont="0" applyFill="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7" fontId="1" fillId="0" borderId="0" applyFont="0" applyFill="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176" fontId="1" fillId="0" borderId="0" applyFont="0" applyFill="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177"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176" fontId="1" fillId="0" borderId="0" applyFont="0" applyFill="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176" fontId="1" fillId="0" borderId="0" applyFont="0" applyFill="0" applyBorder="0" applyAlignment="0" applyProtection="0"/>
    <xf numFmtId="0" fontId="1" fillId="22" borderId="0" applyNumberFormat="0" applyBorder="0" applyAlignment="0" applyProtection="0"/>
    <xf numFmtId="176" fontId="1" fillId="0" borderId="0" applyFont="0" applyFill="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8"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7"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7"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76" fontId="1" fillId="0" borderId="0" applyFont="0" applyFill="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76" fontId="1" fillId="0" borderId="0" applyFont="0" applyFill="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176" fontId="1" fillId="0" borderId="0" applyFont="0" applyFill="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7" fontId="1" fillId="0" borderId="0" applyFont="0" applyFill="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5"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30" borderId="0" applyNumberFormat="0" applyBorder="0" applyAlignment="0" applyProtection="0"/>
    <xf numFmtId="176" fontId="1" fillId="0" borderId="0" applyFont="0" applyFill="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4"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26" borderId="0" applyNumberFormat="0" applyBorder="0" applyAlignment="0" applyProtection="0"/>
    <xf numFmtId="176" fontId="1" fillId="0" borderId="0" applyFont="0" applyFill="0" applyBorder="0" applyAlignment="0" applyProtection="0"/>
    <xf numFmtId="0" fontId="1" fillId="26" borderId="0" applyNumberFormat="0" applyBorder="0" applyAlignment="0" applyProtection="0"/>
    <xf numFmtId="177"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176" fontId="1" fillId="0" borderId="0" applyFont="0" applyFill="0" applyBorder="0" applyAlignment="0" applyProtection="0"/>
    <xf numFmtId="0" fontId="1" fillId="9"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13"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21" borderId="0" applyNumberFormat="0" applyBorder="0" applyAlignment="0" applyProtection="0"/>
    <xf numFmtId="0" fontId="1" fillId="30"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176" fontId="1" fillId="0" borderId="0" applyFont="0" applyFill="0" applyBorder="0" applyAlignment="0" applyProtection="0"/>
    <xf numFmtId="0" fontId="1" fillId="26" borderId="0" applyNumberFormat="0" applyBorder="0" applyAlignment="0" applyProtection="0"/>
    <xf numFmtId="0" fontId="1" fillId="14"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17" borderId="0" applyNumberFormat="0" applyBorder="0" applyAlignment="0" applyProtection="0"/>
    <xf numFmtId="0" fontId="1" fillId="9"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25" borderId="0" applyNumberFormat="0" applyBorder="0" applyAlignment="0" applyProtection="0"/>
    <xf numFmtId="176" fontId="1" fillId="0" borderId="0" applyFont="0" applyFill="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176" fontId="1" fillId="0" borderId="0" applyFont="0" applyFill="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176" fontId="1" fillId="0" borderId="0" applyFont="0" applyFill="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1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176" fontId="1" fillId="0" borderId="0" applyFont="0" applyFill="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176" fontId="1" fillId="0" borderId="0" applyFont="0" applyFill="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7" fontId="1" fillId="0" borderId="0" applyFont="0" applyFill="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6" fontId="1" fillId="0" borderId="0" applyFont="0" applyFill="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177"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176" fontId="1" fillId="0" borderId="0" applyFont="0" applyFill="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176"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176" fontId="1" fillId="0" borderId="0" applyFont="0" applyFill="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176" fontId="1" fillId="0" borderId="0" applyFont="0" applyFill="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176" fontId="1" fillId="0" borderId="0" applyFont="0" applyFill="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176" fontId="1" fillId="0" borderId="0" applyFont="0" applyFill="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2"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176"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176" fontId="1" fillId="0" borderId="0" applyFont="0" applyFill="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176" fontId="1" fillId="0" borderId="0" applyFont="0" applyFill="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176" fontId="1" fillId="0" borderId="0" applyFont="0" applyFill="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176" fontId="1" fillId="0" borderId="0" applyFont="0" applyFill="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176"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176"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176" fontId="1" fillId="0" borderId="0" applyFont="0" applyFill="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176" fontId="1" fillId="0" borderId="0" applyFont="0" applyFill="0" applyBorder="0" applyAlignment="0" applyProtection="0"/>
    <xf numFmtId="0" fontId="1" fillId="9" borderId="0" applyNumberFormat="0" applyBorder="0" applyAlignment="0" applyProtection="0"/>
    <xf numFmtId="0" fontId="1" fillId="26"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9"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18"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176" fontId="1" fillId="0" borderId="0" applyFont="0" applyFill="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176"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76" fontId="1" fillId="0" borderId="0" applyFont="0" applyFill="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176" fontId="1" fillId="0" borderId="0" applyFont="0" applyFill="0" applyBorder="0" applyAlignment="0" applyProtection="0"/>
    <xf numFmtId="0" fontId="1" fillId="14" borderId="0" applyNumberFormat="0" applyBorder="0" applyAlignment="0" applyProtection="0"/>
    <xf numFmtId="0" fontId="1" fillId="26"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9"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176" fontId="1" fillId="0" borderId="0" applyFont="0" applyFill="0" applyBorder="0" applyAlignment="0" applyProtection="0"/>
    <xf numFmtId="0" fontId="1" fillId="25" borderId="0" applyNumberFormat="0" applyBorder="0" applyAlignment="0" applyProtection="0"/>
    <xf numFmtId="0" fontId="1" fillId="17" borderId="0" applyNumberFormat="0" applyBorder="0" applyAlignment="0" applyProtection="0"/>
    <xf numFmtId="176" fontId="1" fillId="0" borderId="0" applyFont="0" applyFill="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176" fontId="1" fillId="0" borderId="0" applyFont="0" applyFill="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176" fontId="1" fillId="0" borderId="0" applyFont="0" applyFill="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176" fontId="1" fillId="0" borderId="0" applyFont="0" applyFill="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176" fontId="1" fillId="0" borderId="0" applyFont="0" applyFill="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176" fontId="1" fillId="0" borderId="0" applyFont="0" applyFill="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29" borderId="0" applyNumberFormat="0" applyBorder="0" applyAlignment="0" applyProtection="0"/>
    <xf numFmtId="176" fontId="1" fillId="0" borderId="0" applyFont="0" applyFill="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8" borderId="0" applyNumberFormat="0" applyBorder="0" applyAlignment="0" applyProtection="0"/>
    <xf numFmtId="176" fontId="1" fillId="0" borderId="0" applyFont="0" applyFill="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7"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7"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18" borderId="0" applyNumberFormat="0" applyBorder="0" applyAlignment="0" applyProtection="0"/>
    <xf numFmtId="176" fontId="1" fillId="0" borderId="0" applyFont="0" applyFill="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177" fontId="1" fillId="0" borderId="0" applyFont="0" applyFill="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0" fontId="1" fillId="30"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176" fontId="1" fillId="0" borderId="0" applyFont="0" applyFill="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177"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176" fontId="1" fillId="0" borderId="0" applyFont="0" applyFill="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176" fontId="1" fillId="0" borderId="0" applyFont="0" applyFill="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13"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176" fontId="1" fillId="0" borderId="0" applyFont="0" applyFill="0" applyBorder="0" applyAlignment="0" applyProtection="0"/>
    <xf numFmtId="0" fontId="1" fillId="22" borderId="0" applyNumberFormat="0" applyBorder="0" applyAlignment="0" applyProtection="0"/>
    <xf numFmtId="0" fontId="1" fillId="10" borderId="0" applyNumberFormat="0" applyBorder="0" applyAlignment="0" applyProtection="0"/>
    <xf numFmtId="176"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10"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176" fontId="1" fillId="0" borderId="0" applyFont="0" applyFill="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176" fontId="1" fillId="0" borderId="0" applyFont="0" applyFill="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176" fontId="1" fillId="0" borderId="0" applyFont="0" applyFill="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176" fontId="1" fillId="0" borderId="0" applyFont="0" applyFill="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8"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176" fontId="1" fillId="0" borderId="0" applyFont="0" applyFill="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1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6" borderId="0" applyNumberFormat="0" applyBorder="0" applyAlignment="0" applyProtection="0"/>
    <xf numFmtId="0" fontId="1" fillId="29" borderId="0" applyNumberFormat="0" applyBorder="0" applyAlignment="0" applyProtection="0"/>
    <xf numFmtId="176" fontId="1" fillId="0" borderId="0" applyFont="0" applyFill="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176" fontId="1" fillId="0" borderId="0" applyFont="0" applyFill="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176" fontId="1" fillId="0" borderId="0" applyFont="0" applyFill="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17"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176" fontId="1" fillId="0" borderId="0" applyFont="0" applyFill="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17"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6" fontId="1" fillId="0" borderId="0" applyFont="0" applyFill="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14" borderId="0" applyNumberFormat="0" applyBorder="0" applyAlignment="0" applyProtection="0"/>
    <xf numFmtId="176" fontId="1" fillId="0" borderId="0" applyFont="0" applyFill="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176" fontId="1" fillId="0" borderId="0" applyFont="0" applyFill="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176" fontId="1" fillId="0" borderId="0" applyFont="0" applyFill="0" applyBorder="0" applyAlignment="0" applyProtection="0"/>
    <xf numFmtId="0" fontId="1" fillId="10" borderId="0" applyNumberFormat="0" applyBorder="0" applyAlignment="0" applyProtection="0"/>
    <xf numFmtId="176"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176" fontId="1" fillId="0" borderId="0" applyFont="0" applyFill="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4"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176" fontId="1" fillId="0" borderId="0" applyFont="0" applyFill="0" applyBorder="0" applyAlignment="0" applyProtection="0"/>
    <xf numFmtId="0" fontId="1" fillId="7" borderId="4" applyNumberFormat="0" applyFont="0" applyAlignment="0" applyProtection="0"/>
    <xf numFmtId="0" fontId="1" fillId="10" borderId="0" applyNumberFormat="0" applyBorder="0" applyAlignment="0" applyProtection="0"/>
    <xf numFmtId="176" fontId="1" fillId="0" borderId="0" applyFont="0" applyFill="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176" fontId="1" fillId="0" borderId="0" applyFont="0" applyFill="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176" fontId="1" fillId="0" borderId="0" applyFont="0" applyFill="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176" fontId="1" fillId="0" borderId="0" applyFont="0" applyFill="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176" fontId="1" fillId="0" borderId="0" applyFont="0" applyFill="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176" fontId="1" fillId="0" borderId="0" applyFont="0" applyFill="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176" fontId="1" fillId="0" borderId="0" applyFont="0" applyFill="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176" fontId="1" fillId="0" borderId="0" applyFont="0" applyFill="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176" fontId="1" fillId="0" borderId="0" applyFont="0" applyFill="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176" fontId="1" fillId="0" borderId="0" applyFont="0" applyFill="0" applyBorder="0" applyAlignment="0" applyProtection="0"/>
    <xf numFmtId="0" fontId="1" fillId="10" borderId="0" applyNumberFormat="0" applyBorder="0" applyAlignment="0" applyProtection="0"/>
    <xf numFmtId="176" fontId="1" fillId="0" borderId="0" applyFont="0" applyFill="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176" fontId="1" fillId="0" borderId="0" applyFont="0" applyFill="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176" fontId="1" fillId="0" borderId="0" applyFont="0" applyFill="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176" fontId="1" fillId="0" borderId="0" applyFont="0" applyFill="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176" fontId="1" fillId="0" borderId="0" applyFont="0" applyFill="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176" fontId="1" fillId="0" borderId="0" applyFont="0" applyFill="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176" fontId="1" fillId="0" borderId="0" applyFont="0" applyFill="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7"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7"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176" fontId="1" fillId="0" borderId="0" applyFont="0" applyFill="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7" fontId="1" fillId="0" borderId="0" applyFont="0" applyFill="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177"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176" fontId="1" fillId="0" borderId="0" applyFont="0" applyFill="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176" fontId="1" fillId="0" borderId="0" applyFont="0" applyFill="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176" fontId="1" fillId="0" borderId="0" applyFont="0" applyFill="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176"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176"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176"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176"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6" fontId="1" fillId="0" borderId="0" applyFont="0" applyFill="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6"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13"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176" fontId="1" fillId="0" borderId="0" applyFont="0" applyFill="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176" fontId="1" fillId="0" borderId="0" applyFont="0" applyFill="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176" fontId="1" fillId="0" borderId="0" applyFont="0" applyFill="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176" fontId="1" fillId="0" borderId="0" applyFont="0" applyFill="0" applyBorder="0" applyAlignment="0" applyProtection="0"/>
    <xf numFmtId="0" fontId="1" fillId="22" borderId="0" applyNumberFormat="0" applyBorder="0" applyAlignment="0" applyProtection="0"/>
    <xf numFmtId="0" fontId="1" fillId="17" borderId="0" applyNumberFormat="0" applyBorder="0" applyAlignment="0" applyProtection="0"/>
    <xf numFmtId="176" fontId="1" fillId="0" borderId="0" applyFont="0" applyFill="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21" borderId="0" applyNumberFormat="0" applyBorder="0" applyAlignment="0" applyProtection="0"/>
    <xf numFmtId="176" fontId="1" fillId="0" borderId="0" applyFont="0" applyFill="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22"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176" fontId="1" fillId="0" borderId="0" applyFont="0" applyFill="0" applyBorder="0" applyAlignment="0" applyProtection="0"/>
    <xf numFmtId="0" fontId="1" fillId="10"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17" borderId="0" applyNumberFormat="0" applyBorder="0" applyAlignment="0" applyProtection="0"/>
    <xf numFmtId="176" fontId="1" fillId="0" borderId="0" applyFont="0" applyFill="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7" fontId="1" fillId="0" borderId="0" applyFont="0" applyFill="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76" fontId="1" fillId="0" borderId="0" applyFont="0" applyFill="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176" fontId="1" fillId="0" borderId="0" applyFont="0" applyFill="0" applyBorder="0" applyAlignment="0" applyProtection="0"/>
    <xf numFmtId="177"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176" fontId="1" fillId="0" borderId="0" applyFont="0" applyFill="0" applyBorder="0" applyAlignment="0" applyProtection="0"/>
    <xf numFmtId="0" fontId="1" fillId="7" borderId="4" applyNumberFormat="0" applyFont="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176" fontId="1" fillId="0" borderId="0" applyFont="0" applyFill="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176" fontId="1" fillId="0" borderId="0" applyFont="0" applyFill="0" applyBorder="0" applyAlignment="0" applyProtection="0"/>
    <xf numFmtId="0" fontId="1" fillId="9" borderId="0" applyNumberFormat="0" applyBorder="0" applyAlignment="0" applyProtection="0"/>
    <xf numFmtId="0" fontId="1" fillId="29" borderId="0" applyNumberFormat="0" applyBorder="0" applyAlignment="0" applyProtection="0"/>
    <xf numFmtId="176" fontId="1" fillId="0" borderId="0" applyFont="0" applyFill="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176" fontId="1" fillId="0" borderId="0" applyFont="0" applyFill="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176"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176" fontId="1" fillId="0" borderId="0" applyFont="0" applyFill="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176" fontId="1" fillId="0" borderId="0" applyFont="0" applyFill="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176" fontId="1"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176"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176" fontId="1" fillId="0" borderId="0" applyFont="0" applyFill="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176" fontId="1" fillId="0" borderId="0" applyFont="0" applyFill="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13"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1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7" fontId="1" fillId="0" borderId="0" applyFont="0" applyFill="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177"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176" fontId="1" fillId="0" borderId="0" applyFont="0" applyFill="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176" fontId="1" fillId="0" borderId="0" applyFont="0" applyFill="0" applyBorder="0" applyAlignment="0" applyProtection="0"/>
    <xf numFmtId="0" fontId="1" fillId="1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7"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7"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7"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7"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1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176" fontId="1" fillId="0" borderId="0" applyFont="0" applyFill="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22" borderId="0" applyNumberFormat="0" applyBorder="0" applyAlignment="0" applyProtection="0"/>
    <xf numFmtId="176" fontId="1" fillId="0" borderId="0" applyFont="0" applyFill="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176" fontId="1" fillId="0" borderId="0" applyFont="0" applyFill="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9" borderId="0" applyNumberFormat="0" applyBorder="0" applyAlignment="0" applyProtection="0"/>
    <xf numFmtId="176" fontId="1" fillId="0" borderId="0" applyFont="0" applyFill="0" applyBorder="0" applyAlignment="0" applyProtection="0"/>
    <xf numFmtId="0" fontId="1" fillId="10" borderId="0" applyNumberFormat="0" applyBorder="0" applyAlignment="0" applyProtection="0"/>
    <xf numFmtId="0" fontId="1" fillId="9"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7" borderId="4" applyNumberFormat="0" applyFont="0" applyAlignment="0" applyProtection="0"/>
    <xf numFmtId="176" fontId="1" fillId="0" borderId="0" applyFont="0" applyFill="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7"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7"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176" fontId="1" fillId="0" borderId="0" applyFont="0" applyFill="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17" borderId="0" applyNumberFormat="0" applyBorder="0" applyAlignment="0" applyProtection="0"/>
    <xf numFmtId="176" fontId="1" fillId="0" borderId="0" applyFont="0" applyFill="0" applyBorder="0" applyAlignment="0" applyProtection="0"/>
    <xf numFmtId="0" fontId="1" fillId="7" borderId="4" applyNumberFormat="0" applyFont="0" applyAlignment="0" applyProtection="0"/>
    <xf numFmtId="0" fontId="1" fillId="18" borderId="0" applyNumberFormat="0" applyBorder="0" applyAlignment="0" applyProtection="0"/>
    <xf numFmtId="0" fontId="1" fillId="25" borderId="0" applyNumberFormat="0" applyBorder="0" applyAlignment="0" applyProtection="0"/>
    <xf numFmtId="176" fontId="1" fillId="0" borderId="0" applyFont="0" applyFill="0" applyBorder="0" applyAlignment="0" applyProtection="0"/>
    <xf numFmtId="0" fontId="1" fillId="10" borderId="0" applyNumberFormat="0" applyBorder="0" applyAlignment="0" applyProtection="0"/>
    <xf numFmtId="0" fontId="1" fillId="25" borderId="0" applyNumberFormat="0" applyBorder="0" applyAlignment="0" applyProtection="0"/>
    <xf numFmtId="176" fontId="1" fillId="0" borderId="0" applyFont="0" applyFill="0" applyBorder="0" applyAlignment="0" applyProtection="0"/>
    <xf numFmtId="0" fontId="1" fillId="29" borderId="0" applyNumberFormat="0" applyBorder="0" applyAlignment="0" applyProtection="0"/>
    <xf numFmtId="0" fontId="1" fillId="30"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25" borderId="0" applyNumberFormat="0" applyBorder="0" applyAlignment="0" applyProtection="0"/>
    <xf numFmtId="176" fontId="1" fillId="0" borderId="0" applyFont="0" applyFill="0" applyBorder="0" applyAlignment="0" applyProtection="0"/>
    <xf numFmtId="0" fontId="1" fillId="9" borderId="0" applyNumberFormat="0" applyBorder="0" applyAlignment="0" applyProtection="0"/>
    <xf numFmtId="176" fontId="1" fillId="0" borderId="0" applyFont="0" applyFill="0" applyBorder="0" applyAlignment="0" applyProtection="0"/>
    <xf numFmtId="0" fontId="1" fillId="14"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30" borderId="0" applyNumberFormat="0" applyBorder="0" applyAlignment="0" applyProtection="0"/>
    <xf numFmtId="0" fontId="1" fillId="21"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7"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7"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7"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7"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8" borderId="0" applyNumberFormat="0" applyBorder="0" applyAlignment="0" applyProtection="0"/>
    <xf numFmtId="0" fontId="1" fillId="9"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7" borderId="4" applyNumberFormat="0" applyFont="0" applyAlignment="0" applyProtection="0"/>
    <xf numFmtId="176" fontId="1" fillId="0" borderId="0" applyFont="0" applyFill="0" applyBorder="0" applyAlignment="0" applyProtection="0"/>
    <xf numFmtId="0" fontId="1" fillId="26" borderId="0" applyNumberFormat="0" applyBorder="0" applyAlignment="0" applyProtection="0"/>
    <xf numFmtId="0" fontId="1" fillId="25"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30" borderId="0" applyNumberFormat="0" applyBorder="0" applyAlignment="0" applyProtection="0"/>
    <xf numFmtId="176" fontId="1" fillId="0" borderId="0" applyFont="0" applyFill="0" applyBorder="0" applyAlignment="0" applyProtection="0"/>
    <xf numFmtId="0" fontId="1" fillId="17"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7"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7"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7" borderId="4" applyNumberFormat="0" applyFont="0" applyAlignment="0" applyProtection="0"/>
    <xf numFmtId="176" fontId="1" fillId="0" borderId="0" applyFont="0" applyFill="0" applyBorder="0" applyAlignment="0" applyProtection="0"/>
    <xf numFmtId="0" fontId="1" fillId="25"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7"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7"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7" borderId="4" applyNumberFormat="0" applyFont="0" applyAlignment="0" applyProtection="0"/>
    <xf numFmtId="176" fontId="1" fillId="0" borderId="0" applyFont="0" applyFill="0" applyBorder="0" applyAlignment="0" applyProtection="0"/>
    <xf numFmtId="0" fontId="1" fillId="25"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7"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7"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7"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7"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7"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7"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1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176" fontId="1" fillId="0" borderId="0" applyFont="0" applyFill="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22" borderId="0" applyNumberFormat="0" applyBorder="0" applyAlignment="0" applyProtection="0"/>
    <xf numFmtId="176" fontId="1" fillId="0" borderId="0" applyFont="0" applyFill="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176" fontId="1" fillId="0" borderId="0" applyFont="0" applyFill="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9" borderId="0" applyNumberFormat="0" applyBorder="0" applyAlignment="0" applyProtection="0"/>
    <xf numFmtId="176" fontId="1" fillId="0" borderId="0" applyFont="0" applyFill="0" applyBorder="0" applyAlignment="0" applyProtection="0"/>
    <xf numFmtId="0" fontId="1" fillId="10" borderId="0" applyNumberFormat="0" applyBorder="0" applyAlignment="0" applyProtection="0"/>
    <xf numFmtId="0" fontId="1" fillId="9"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7" borderId="4" applyNumberFormat="0" applyFont="0" applyAlignment="0" applyProtection="0"/>
    <xf numFmtId="176" fontId="1" fillId="0" borderId="0" applyFont="0" applyFill="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7"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7"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176" fontId="1" fillId="0" borderId="0" applyFont="0" applyFill="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17" borderId="0" applyNumberFormat="0" applyBorder="0" applyAlignment="0" applyProtection="0"/>
    <xf numFmtId="176" fontId="1" fillId="0" borderId="0" applyFont="0" applyFill="0" applyBorder="0" applyAlignment="0" applyProtection="0"/>
    <xf numFmtId="0" fontId="1" fillId="7" borderId="4" applyNumberFormat="0" applyFont="0" applyAlignment="0" applyProtection="0"/>
    <xf numFmtId="0" fontId="1" fillId="18" borderId="0" applyNumberFormat="0" applyBorder="0" applyAlignment="0" applyProtection="0"/>
    <xf numFmtId="0" fontId="1" fillId="25" borderId="0" applyNumberFormat="0" applyBorder="0" applyAlignment="0" applyProtection="0"/>
    <xf numFmtId="176" fontId="1" fillId="0" borderId="0" applyFont="0" applyFill="0" applyBorder="0" applyAlignment="0" applyProtection="0"/>
    <xf numFmtId="0" fontId="1" fillId="10" borderId="0" applyNumberFormat="0" applyBorder="0" applyAlignment="0" applyProtection="0"/>
    <xf numFmtId="0" fontId="1" fillId="25" borderId="0" applyNumberFormat="0" applyBorder="0" applyAlignment="0" applyProtection="0"/>
    <xf numFmtId="176" fontId="1" fillId="0" borderId="0" applyFont="0" applyFill="0" applyBorder="0" applyAlignment="0" applyProtection="0"/>
    <xf numFmtId="0" fontId="1" fillId="29" borderId="0" applyNumberFormat="0" applyBorder="0" applyAlignment="0" applyProtection="0"/>
    <xf numFmtId="0" fontId="1" fillId="30"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25" borderId="0" applyNumberFormat="0" applyBorder="0" applyAlignment="0" applyProtection="0"/>
    <xf numFmtId="176" fontId="1" fillId="0" borderId="0" applyFont="0" applyFill="0" applyBorder="0" applyAlignment="0" applyProtection="0"/>
    <xf numFmtId="0" fontId="1" fillId="9" borderId="0" applyNumberFormat="0" applyBorder="0" applyAlignment="0" applyProtection="0"/>
    <xf numFmtId="176" fontId="1" fillId="0" borderId="0" applyFont="0" applyFill="0" applyBorder="0" applyAlignment="0" applyProtection="0"/>
    <xf numFmtId="0" fontId="1" fillId="14"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30" borderId="0" applyNumberFormat="0" applyBorder="0" applyAlignment="0" applyProtection="0"/>
    <xf numFmtId="0" fontId="1" fillId="21"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7"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7"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7"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7"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8" borderId="0" applyNumberFormat="0" applyBorder="0" applyAlignment="0" applyProtection="0"/>
    <xf numFmtId="0" fontId="1" fillId="9"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7" borderId="4" applyNumberFormat="0" applyFont="0" applyAlignment="0" applyProtection="0"/>
    <xf numFmtId="176" fontId="1" fillId="0" borderId="0" applyFont="0" applyFill="0" applyBorder="0" applyAlignment="0" applyProtection="0"/>
    <xf numFmtId="0" fontId="1" fillId="26" borderId="0" applyNumberFormat="0" applyBorder="0" applyAlignment="0" applyProtection="0"/>
    <xf numFmtId="0" fontId="1" fillId="25"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30" borderId="0" applyNumberFormat="0" applyBorder="0" applyAlignment="0" applyProtection="0"/>
    <xf numFmtId="176" fontId="1" fillId="0" borderId="0" applyFont="0" applyFill="0" applyBorder="0" applyAlignment="0" applyProtection="0"/>
    <xf numFmtId="0" fontId="1" fillId="17"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7"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7"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7" borderId="4" applyNumberFormat="0" applyFont="0" applyAlignment="0" applyProtection="0"/>
    <xf numFmtId="176" fontId="1" fillId="0" borderId="0" applyFont="0" applyFill="0" applyBorder="0" applyAlignment="0" applyProtection="0"/>
    <xf numFmtId="0" fontId="1" fillId="25"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7"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7"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7" borderId="4" applyNumberFormat="0" applyFont="0" applyAlignment="0" applyProtection="0"/>
    <xf numFmtId="176" fontId="1" fillId="0" borderId="0" applyFont="0" applyFill="0" applyBorder="0" applyAlignment="0" applyProtection="0"/>
    <xf numFmtId="0" fontId="1" fillId="25"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7"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7"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176"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176" fontId="1" fillId="0" borderId="0" applyFont="0" applyFill="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176" fontId="1" fillId="0" borderId="0" applyFont="0" applyFill="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13"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176"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6"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6" fontId="1" fillId="0" borderId="0" applyFont="0" applyFill="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13"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176" fontId="1" fillId="0" borderId="0" applyFont="0" applyFill="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176" fontId="1" fillId="0" borderId="0" applyFont="0" applyFill="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176" fontId="1" fillId="0" borderId="0" applyFont="0" applyFill="0" applyBorder="0" applyAlignment="0" applyProtection="0"/>
    <xf numFmtId="0" fontId="1" fillId="18" borderId="0" applyNumberFormat="0" applyBorder="0" applyAlignment="0" applyProtection="0"/>
    <xf numFmtId="176" fontId="1" fillId="0" borderId="0" applyFont="0" applyFill="0" applyBorder="0" applyAlignment="0" applyProtection="0"/>
    <xf numFmtId="0" fontId="1" fillId="21" borderId="0" applyNumberFormat="0" applyBorder="0" applyAlignment="0" applyProtection="0"/>
    <xf numFmtId="0" fontId="1" fillId="9"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26" borderId="0" applyNumberFormat="0" applyBorder="0" applyAlignment="0" applyProtection="0"/>
    <xf numFmtId="0" fontId="1" fillId="14" borderId="0" applyNumberFormat="0" applyBorder="0" applyAlignment="0" applyProtection="0"/>
    <xf numFmtId="176" fontId="1" fillId="0" borderId="0" applyFont="0" applyFill="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7" fontId="1" fillId="0" borderId="0" applyFont="0" applyFill="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76" fontId="1" fillId="0" borderId="0" applyFont="0" applyFill="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176" fontId="1" fillId="0" borderId="0" applyFont="0" applyFill="0" applyBorder="0" applyAlignment="0" applyProtection="0"/>
    <xf numFmtId="177"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176" fontId="1" fillId="0" borderId="0" applyFont="0" applyFill="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25" borderId="0" applyNumberFormat="0" applyBorder="0" applyAlignment="0" applyProtection="0"/>
    <xf numFmtId="176" fontId="1" fillId="0" borderId="0" applyFont="0" applyFill="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176" fontId="1" fillId="0" borderId="0" applyFont="0" applyFill="0" applyBorder="0" applyAlignment="0" applyProtection="0"/>
    <xf numFmtId="0" fontId="1" fillId="21" borderId="0" applyNumberFormat="0" applyBorder="0" applyAlignment="0" applyProtection="0"/>
    <xf numFmtId="176" fontId="1" fillId="0" borderId="0" applyFont="0" applyFill="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176"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176" fontId="1" fillId="0" borderId="0" applyFont="0" applyFill="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176" fontId="1" fillId="0" borderId="0" applyFont="0" applyFill="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176" fontId="1" fillId="0" borderId="0" applyFont="0" applyFill="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176" fontId="1" fillId="0" borderId="0" applyFont="0" applyFill="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176" fontId="1" fillId="0" borderId="0" applyFont="0" applyFill="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1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7" fontId="1" fillId="0" borderId="0" applyFont="0" applyFill="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177"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176" fontId="1" fillId="0" borderId="0" applyFont="0" applyFill="0" applyBorder="0" applyAlignment="0" applyProtection="0"/>
    <xf numFmtId="0" fontId="1" fillId="13" borderId="0" applyNumberFormat="0" applyBorder="0" applyAlignment="0" applyProtection="0"/>
    <xf numFmtId="0" fontId="1" fillId="30" borderId="0" applyNumberFormat="0" applyBorder="0" applyAlignment="0" applyProtection="0"/>
    <xf numFmtId="176" fontId="1" fillId="0" borderId="0" applyFont="0" applyFill="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176" fontId="1" fillId="0" borderId="0" applyFont="0" applyFill="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7"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7"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7"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7"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1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176" fontId="1" fillId="0" borderId="0" applyFont="0" applyFill="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22" borderId="0" applyNumberFormat="0" applyBorder="0" applyAlignment="0" applyProtection="0"/>
    <xf numFmtId="176" fontId="1" fillId="0" borderId="0" applyFont="0" applyFill="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176" fontId="1" fillId="0" borderId="0" applyFont="0" applyFill="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9" borderId="0" applyNumberFormat="0" applyBorder="0" applyAlignment="0" applyProtection="0"/>
    <xf numFmtId="176" fontId="1" fillId="0" borderId="0" applyFont="0" applyFill="0" applyBorder="0" applyAlignment="0" applyProtection="0"/>
    <xf numFmtId="0" fontId="1" fillId="10" borderId="0" applyNumberFormat="0" applyBorder="0" applyAlignment="0" applyProtection="0"/>
    <xf numFmtId="0" fontId="1" fillId="9"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7" borderId="4" applyNumberFormat="0" applyFont="0" applyAlignment="0" applyProtection="0"/>
    <xf numFmtId="176" fontId="1" fillId="0" borderId="0" applyFont="0" applyFill="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7"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7"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176" fontId="1" fillId="0" borderId="0" applyFont="0" applyFill="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17" borderId="0" applyNumberFormat="0" applyBorder="0" applyAlignment="0" applyProtection="0"/>
    <xf numFmtId="176" fontId="1" fillId="0" borderId="0" applyFont="0" applyFill="0" applyBorder="0" applyAlignment="0" applyProtection="0"/>
    <xf numFmtId="0" fontId="1" fillId="7" borderId="4" applyNumberFormat="0" applyFont="0" applyAlignment="0" applyProtection="0"/>
    <xf numFmtId="0" fontId="1" fillId="18" borderId="0" applyNumberFormat="0" applyBorder="0" applyAlignment="0" applyProtection="0"/>
    <xf numFmtId="0" fontId="1" fillId="25" borderId="0" applyNumberFormat="0" applyBorder="0" applyAlignment="0" applyProtection="0"/>
    <xf numFmtId="176" fontId="1" fillId="0" borderId="0" applyFont="0" applyFill="0" applyBorder="0" applyAlignment="0" applyProtection="0"/>
    <xf numFmtId="0" fontId="1" fillId="10" borderId="0" applyNumberFormat="0" applyBorder="0" applyAlignment="0" applyProtection="0"/>
    <xf numFmtId="0" fontId="1" fillId="25" borderId="0" applyNumberFormat="0" applyBorder="0" applyAlignment="0" applyProtection="0"/>
    <xf numFmtId="176" fontId="1" fillId="0" borderId="0" applyFont="0" applyFill="0" applyBorder="0" applyAlignment="0" applyProtection="0"/>
    <xf numFmtId="0" fontId="1" fillId="29" borderId="0" applyNumberFormat="0" applyBorder="0" applyAlignment="0" applyProtection="0"/>
    <xf numFmtId="0" fontId="1" fillId="30"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25" borderId="0" applyNumberFormat="0" applyBorder="0" applyAlignment="0" applyProtection="0"/>
    <xf numFmtId="176" fontId="1" fillId="0" borderId="0" applyFont="0" applyFill="0" applyBorder="0" applyAlignment="0" applyProtection="0"/>
    <xf numFmtId="0" fontId="1" fillId="9" borderId="0" applyNumberFormat="0" applyBorder="0" applyAlignment="0" applyProtection="0"/>
    <xf numFmtId="176" fontId="1" fillId="0" borderId="0" applyFont="0" applyFill="0" applyBorder="0" applyAlignment="0" applyProtection="0"/>
    <xf numFmtId="0" fontId="1" fillId="14"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30" borderId="0" applyNumberFormat="0" applyBorder="0" applyAlignment="0" applyProtection="0"/>
    <xf numFmtId="0" fontId="1" fillId="21"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7"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7"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7"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7"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8" borderId="0" applyNumberFormat="0" applyBorder="0" applyAlignment="0" applyProtection="0"/>
    <xf numFmtId="0" fontId="1" fillId="9"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7" borderId="4" applyNumberFormat="0" applyFont="0" applyAlignment="0" applyProtection="0"/>
    <xf numFmtId="176" fontId="1" fillId="0" borderId="0" applyFont="0" applyFill="0" applyBorder="0" applyAlignment="0" applyProtection="0"/>
    <xf numFmtId="0" fontId="1" fillId="26" borderId="0" applyNumberFormat="0" applyBorder="0" applyAlignment="0" applyProtection="0"/>
    <xf numFmtId="0" fontId="1" fillId="25"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30" borderId="0" applyNumberFormat="0" applyBorder="0" applyAlignment="0" applyProtection="0"/>
    <xf numFmtId="176" fontId="1" fillId="0" borderId="0" applyFont="0" applyFill="0" applyBorder="0" applyAlignment="0" applyProtection="0"/>
    <xf numFmtId="0" fontId="1" fillId="17"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7"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7"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7" borderId="4" applyNumberFormat="0" applyFont="0" applyAlignment="0" applyProtection="0"/>
    <xf numFmtId="176" fontId="1" fillId="0" borderId="0" applyFont="0" applyFill="0" applyBorder="0" applyAlignment="0" applyProtection="0"/>
    <xf numFmtId="0" fontId="1" fillId="25"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7"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7"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7" borderId="4" applyNumberFormat="0" applyFont="0" applyAlignment="0" applyProtection="0"/>
    <xf numFmtId="176" fontId="1" fillId="0" borderId="0" applyFont="0" applyFill="0" applyBorder="0" applyAlignment="0" applyProtection="0"/>
    <xf numFmtId="0" fontId="1" fillId="25"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7"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7"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7"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7"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7"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7"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1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176" fontId="1" fillId="0" borderId="0" applyFont="0" applyFill="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22" borderId="0" applyNumberFormat="0" applyBorder="0" applyAlignment="0" applyProtection="0"/>
    <xf numFmtId="176" fontId="1" fillId="0" borderId="0" applyFont="0" applyFill="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176" fontId="1" fillId="0" borderId="0" applyFont="0" applyFill="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9" borderId="0" applyNumberFormat="0" applyBorder="0" applyAlignment="0" applyProtection="0"/>
    <xf numFmtId="176" fontId="1" fillId="0" borderId="0" applyFont="0" applyFill="0" applyBorder="0" applyAlignment="0" applyProtection="0"/>
    <xf numFmtId="0" fontId="1" fillId="10" borderId="0" applyNumberFormat="0" applyBorder="0" applyAlignment="0" applyProtection="0"/>
    <xf numFmtId="0" fontId="1" fillId="9"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7" borderId="4" applyNumberFormat="0" applyFont="0" applyAlignment="0" applyProtection="0"/>
    <xf numFmtId="176" fontId="1" fillId="0" borderId="0" applyFont="0" applyFill="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7"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7"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176" fontId="1" fillId="0" borderId="0" applyFont="0" applyFill="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17" borderId="0" applyNumberFormat="0" applyBorder="0" applyAlignment="0" applyProtection="0"/>
    <xf numFmtId="176" fontId="1" fillId="0" borderId="0" applyFont="0" applyFill="0" applyBorder="0" applyAlignment="0" applyProtection="0"/>
    <xf numFmtId="0" fontId="1" fillId="7" borderId="4" applyNumberFormat="0" applyFont="0" applyAlignment="0" applyProtection="0"/>
    <xf numFmtId="0" fontId="1" fillId="18" borderId="0" applyNumberFormat="0" applyBorder="0" applyAlignment="0" applyProtection="0"/>
    <xf numFmtId="0" fontId="1" fillId="25" borderId="0" applyNumberFormat="0" applyBorder="0" applyAlignment="0" applyProtection="0"/>
    <xf numFmtId="176" fontId="1" fillId="0" borderId="0" applyFont="0" applyFill="0" applyBorder="0" applyAlignment="0" applyProtection="0"/>
    <xf numFmtId="0" fontId="1" fillId="10" borderId="0" applyNumberFormat="0" applyBorder="0" applyAlignment="0" applyProtection="0"/>
    <xf numFmtId="0" fontId="1" fillId="25" borderId="0" applyNumberFormat="0" applyBorder="0" applyAlignment="0" applyProtection="0"/>
    <xf numFmtId="176" fontId="1" fillId="0" borderId="0" applyFont="0" applyFill="0" applyBorder="0" applyAlignment="0" applyProtection="0"/>
    <xf numFmtId="0" fontId="1" fillId="29" borderId="0" applyNumberFormat="0" applyBorder="0" applyAlignment="0" applyProtection="0"/>
    <xf numFmtId="0" fontId="1" fillId="30"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25" borderId="0" applyNumberFormat="0" applyBorder="0" applyAlignment="0" applyProtection="0"/>
    <xf numFmtId="176" fontId="1" fillId="0" borderId="0" applyFont="0" applyFill="0" applyBorder="0" applyAlignment="0" applyProtection="0"/>
    <xf numFmtId="0" fontId="1" fillId="9" borderId="0" applyNumberFormat="0" applyBorder="0" applyAlignment="0" applyProtection="0"/>
    <xf numFmtId="176" fontId="1" fillId="0" borderId="0" applyFont="0" applyFill="0" applyBorder="0" applyAlignment="0" applyProtection="0"/>
    <xf numFmtId="0" fontId="1" fillId="14"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30" borderId="0" applyNumberFormat="0" applyBorder="0" applyAlignment="0" applyProtection="0"/>
    <xf numFmtId="0" fontId="1" fillId="21"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7"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7"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7"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7"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8" borderId="0" applyNumberFormat="0" applyBorder="0" applyAlignment="0" applyProtection="0"/>
    <xf numFmtId="0" fontId="1" fillId="9"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7" borderId="4" applyNumberFormat="0" applyFont="0" applyAlignment="0" applyProtection="0"/>
    <xf numFmtId="176" fontId="1" fillId="0" borderId="0" applyFont="0" applyFill="0" applyBorder="0" applyAlignment="0" applyProtection="0"/>
    <xf numFmtId="0" fontId="1" fillId="26" borderId="0" applyNumberFormat="0" applyBorder="0" applyAlignment="0" applyProtection="0"/>
    <xf numFmtId="0" fontId="1" fillId="25"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30" borderId="0" applyNumberFormat="0" applyBorder="0" applyAlignment="0" applyProtection="0"/>
    <xf numFmtId="176" fontId="1" fillId="0" borderId="0" applyFont="0" applyFill="0" applyBorder="0" applyAlignment="0" applyProtection="0"/>
    <xf numFmtId="0" fontId="1" fillId="17"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7"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7"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7" borderId="4" applyNumberFormat="0" applyFont="0" applyAlignment="0" applyProtection="0"/>
    <xf numFmtId="176" fontId="1" fillId="0" borderId="0" applyFont="0" applyFill="0" applyBorder="0" applyAlignment="0" applyProtection="0"/>
    <xf numFmtId="0" fontId="1" fillId="25"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7"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7"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7" borderId="4" applyNumberFormat="0" applyFont="0" applyAlignment="0" applyProtection="0"/>
    <xf numFmtId="176" fontId="1" fillId="0" borderId="0" applyFont="0" applyFill="0" applyBorder="0" applyAlignment="0" applyProtection="0"/>
    <xf numFmtId="0" fontId="1" fillId="25"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7"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7"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26"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176" fontId="1" fillId="0" borderId="0" applyFont="0" applyFill="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176" fontId="1" fillId="0" borderId="0" applyFont="0" applyFill="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176" fontId="1" fillId="0" borderId="0" applyFont="0" applyFill="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6"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6"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7" fontId="1" fillId="0" borderId="0" applyFont="0" applyFill="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76"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176" fontId="1" fillId="0" borderId="0" applyFont="0" applyFill="0" applyBorder="0" applyAlignment="0" applyProtection="0"/>
    <xf numFmtId="0" fontId="1" fillId="9" borderId="0" applyNumberFormat="0" applyBorder="0" applyAlignment="0" applyProtection="0"/>
    <xf numFmtId="0" fontId="1" fillId="7" borderId="4" applyNumberFormat="0" applyFont="0" applyAlignment="0" applyProtection="0"/>
    <xf numFmtId="177"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176" fontId="1" fillId="0" borderId="0" applyFont="0" applyFill="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25" borderId="0" applyNumberFormat="0" applyBorder="0" applyAlignment="0" applyProtection="0"/>
    <xf numFmtId="176" fontId="1" fillId="0" borderId="0" applyFont="0" applyFill="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176" fontId="1" fillId="0" borderId="0" applyFont="0" applyFill="0" applyBorder="0" applyAlignment="0" applyProtection="0"/>
    <xf numFmtId="0" fontId="1" fillId="21" borderId="0" applyNumberFormat="0" applyBorder="0" applyAlignment="0" applyProtection="0"/>
    <xf numFmtId="176" fontId="1" fillId="0" borderId="0" applyFont="0" applyFill="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176"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176" fontId="1" fillId="0" borderId="0" applyFont="0" applyFill="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176" fontId="1" fillId="0" borderId="0" applyFont="0" applyFill="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176" fontId="1" fillId="0" borderId="0" applyFont="0" applyFill="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176" fontId="1" fillId="0" borderId="0" applyFont="0" applyFill="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176"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1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7"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7"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7"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7"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1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176" fontId="1" fillId="0" borderId="0" applyFont="0" applyFill="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22" borderId="0" applyNumberFormat="0" applyBorder="0" applyAlignment="0" applyProtection="0"/>
    <xf numFmtId="176" fontId="1" fillId="0" borderId="0" applyFont="0" applyFill="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176" fontId="1" fillId="0" borderId="0" applyFont="0" applyFill="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9" borderId="0" applyNumberFormat="0" applyBorder="0" applyAlignment="0" applyProtection="0"/>
    <xf numFmtId="176" fontId="1" fillId="0" borderId="0" applyFont="0" applyFill="0" applyBorder="0" applyAlignment="0" applyProtection="0"/>
    <xf numFmtId="0" fontId="1" fillId="10" borderId="0" applyNumberFormat="0" applyBorder="0" applyAlignment="0" applyProtection="0"/>
    <xf numFmtId="0" fontId="1" fillId="9"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7" borderId="4" applyNumberFormat="0" applyFont="0" applyAlignment="0" applyProtection="0"/>
    <xf numFmtId="176" fontId="1" fillId="0" borderId="0" applyFont="0" applyFill="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7"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7"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176" fontId="1" fillId="0" borderId="0" applyFont="0" applyFill="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17" borderId="0" applyNumberFormat="0" applyBorder="0" applyAlignment="0" applyProtection="0"/>
    <xf numFmtId="176" fontId="1" fillId="0" borderId="0" applyFont="0" applyFill="0" applyBorder="0" applyAlignment="0" applyProtection="0"/>
    <xf numFmtId="0" fontId="1" fillId="7" borderId="4" applyNumberFormat="0" applyFont="0" applyAlignment="0" applyProtection="0"/>
    <xf numFmtId="0" fontId="1" fillId="18" borderId="0" applyNumberFormat="0" applyBorder="0" applyAlignment="0" applyProtection="0"/>
    <xf numFmtId="0" fontId="1" fillId="25" borderId="0" applyNumberFormat="0" applyBorder="0" applyAlignment="0" applyProtection="0"/>
    <xf numFmtId="176" fontId="1" fillId="0" borderId="0" applyFont="0" applyFill="0" applyBorder="0" applyAlignment="0" applyProtection="0"/>
    <xf numFmtId="0" fontId="1" fillId="10" borderId="0" applyNumberFormat="0" applyBorder="0" applyAlignment="0" applyProtection="0"/>
    <xf numFmtId="0" fontId="1" fillId="25" borderId="0" applyNumberFormat="0" applyBorder="0" applyAlignment="0" applyProtection="0"/>
    <xf numFmtId="176" fontId="1" fillId="0" borderId="0" applyFont="0" applyFill="0" applyBorder="0" applyAlignment="0" applyProtection="0"/>
    <xf numFmtId="0" fontId="1" fillId="29" borderId="0" applyNumberFormat="0" applyBorder="0" applyAlignment="0" applyProtection="0"/>
    <xf numFmtId="0" fontId="1" fillId="30"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25" borderId="0" applyNumberFormat="0" applyBorder="0" applyAlignment="0" applyProtection="0"/>
    <xf numFmtId="176" fontId="1" fillId="0" borderId="0" applyFont="0" applyFill="0" applyBorder="0" applyAlignment="0" applyProtection="0"/>
    <xf numFmtId="0" fontId="1" fillId="9" borderId="0" applyNumberFormat="0" applyBorder="0" applyAlignment="0" applyProtection="0"/>
    <xf numFmtId="176" fontId="1" fillId="0" borderId="0" applyFont="0" applyFill="0" applyBorder="0" applyAlignment="0" applyProtection="0"/>
    <xf numFmtId="0" fontId="1" fillId="14"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30" borderId="0" applyNumberFormat="0" applyBorder="0" applyAlignment="0" applyProtection="0"/>
    <xf numFmtId="0" fontId="1" fillId="21"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7"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7"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7"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7"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8" borderId="0" applyNumberFormat="0" applyBorder="0" applyAlignment="0" applyProtection="0"/>
    <xf numFmtId="0" fontId="1" fillId="9"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7" borderId="4" applyNumberFormat="0" applyFont="0" applyAlignment="0" applyProtection="0"/>
    <xf numFmtId="176" fontId="1" fillId="0" borderId="0" applyFont="0" applyFill="0" applyBorder="0" applyAlignment="0" applyProtection="0"/>
    <xf numFmtId="0" fontId="1" fillId="26" borderId="0" applyNumberFormat="0" applyBorder="0" applyAlignment="0" applyProtection="0"/>
    <xf numFmtId="0" fontId="1" fillId="25"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30" borderId="0" applyNumberFormat="0" applyBorder="0" applyAlignment="0" applyProtection="0"/>
    <xf numFmtId="176" fontId="1" fillId="0" borderId="0" applyFont="0" applyFill="0" applyBorder="0" applyAlignment="0" applyProtection="0"/>
    <xf numFmtId="0" fontId="1" fillId="17"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7"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7"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7" borderId="4" applyNumberFormat="0" applyFont="0" applyAlignment="0" applyProtection="0"/>
    <xf numFmtId="176" fontId="1" fillId="0" borderId="0" applyFont="0" applyFill="0" applyBorder="0" applyAlignment="0" applyProtection="0"/>
    <xf numFmtId="0" fontId="1" fillId="25"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7"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7"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7" borderId="4" applyNumberFormat="0" applyFont="0" applyAlignment="0" applyProtection="0"/>
    <xf numFmtId="176" fontId="1" fillId="0" borderId="0" applyFont="0" applyFill="0" applyBorder="0" applyAlignment="0" applyProtection="0"/>
    <xf numFmtId="0" fontId="1" fillId="25"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7"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7"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7"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7"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7"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7"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1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176" fontId="1" fillId="0" borderId="0" applyFont="0" applyFill="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22" borderId="0" applyNumberFormat="0" applyBorder="0" applyAlignment="0" applyProtection="0"/>
    <xf numFmtId="176" fontId="1" fillId="0" borderId="0" applyFont="0" applyFill="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176" fontId="1" fillId="0" borderId="0" applyFont="0" applyFill="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9" borderId="0" applyNumberFormat="0" applyBorder="0" applyAlignment="0" applyProtection="0"/>
    <xf numFmtId="176" fontId="1" fillId="0" borderId="0" applyFont="0" applyFill="0" applyBorder="0" applyAlignment="0" applyProtection="0"/>
    <xf numFmtId="0" fontId="1" fillId="10" borderId="0" applyNumberFormat="0" applyBorder="0" applyAlignment="0" applyProtection="0"/>
    <xf numFmtId="0" fontId="1" fillId="9"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7" borderId="4" applyNumberFormat="0" applyFont="0" applyAlignment="0" applyProtection="0"/>
    <xf numFmtId="176" fontId="1" fillId="0" borderId="0" applyFont="0" applyFill="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7"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7"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176" fontId="1" fillId="0" borderId="0" applyFont="0" applyFill="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17" borderId="0" applyNumberFormat="0" applyBorder="0" applyAlignment="0" applyProtection="0"/>
    <xf numFmtId="176" fontId="1" fillId="0" borderId="0" applyFont="0" applyFill="0" applyBorder="0" applyAlignment="0" applyProtection="0"/>
    <xf numFmtId="0" fontId="1" fillId="7" borderId="4" applyNumberFormat="0" applyFont="0" applyAlignment="0" applyProtection="0"/>
    <xf numFmtId="0" fontId="1" fillId="18" borderId="0" applyNumberFormat="0" applyBorder="0" applyAlignment="0" applyProtection="0"/>
    <xf numFmtId="0" fontId="1" fillId="25" borderId="0" applyNumberFormat="0" applyBorder="0" applyAlignment="0" applyProtection="0"/>
    <xf numFmtId="176" fontId="1" fillId="0" borderId="0" applyFont="0" applyFill="0" applyBorder="0" applyAlignment="0" applyProtection="0"/>
    <xf numFmtId="0" fontId="1" fillId="10" borderId="0" applyNumberFormat="0" applyBorder="0" applyAlignment="0" applyProtection="0"/>
    <xf numFmtId="0" fontId="1" fillId="25" borderId="0" applyNumberFormat="0" applyBorder="0" applyAlignment="0" applyProtection="0"/>
    <xf numFmtId="176" fontId="1" fillId="0" borderId="0" applyFont="0" applyFill="0" applyBorder="0" applyAlignment="0" applyProtection="0"/>
    <xf numFmtId="0" fontId="1" fillId="29" borderId="0" applyNumberFormat="0" applyBorder="0" applyAlignment="0" applyProtection="0"/>
    <xf numFmtId="0" fontId="1" fillId="30"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25" borderId="0" applyNumberFormat="0" applyBorder="0" applyAlignment="0" applyProtection="0"/>
    <xf numFmtId="176" fontId="1" fillId="0" borderId="0" applyFont="0" applyFill="0" applyBorder="0" applyAlignment="0" applyProtection="0"/>
    <xf numFmtId="0" fontId="1" fillId="9" borderId="0" applyNumberFormat="0" applyBorder="0" applyAlignment="0" applyProtection="0"/>
    <xf numFmtId="176" fontId="1" fillId="0" borderId="0" applyFont="0" applyFill="0" applyBorder="0" applyAlignment="0" applyProtection="0"/>
    <xf numFmtId="0" fontId="1" fillId="14"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30" borderId="0" applyNumberFormat="0" applyBorder="0" applyAlignment="0" applyProtection="0"/>
    <xf numFmtId="0" fontId="1" fillId="21"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7"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7"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7"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7"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8" borderId="0" applyNumberFormat="0" applyBorder="0" applyAlignment="0" applyProtection="0"/>
    <xf numFmtId="0" fontId="1" fillId="9"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7" borderId="4" applyNumberFormat="0" applyFont="0" applyAlignment="0" applyProtection="0"/>
    <xf numFmtId="176" fontId="1" fillId="0" borderId="0" applyFont="0" applyFill="0" applyBorder="0" applyAlignment="0" applyProtection="0"/>
    <xf numFmtId="0" fontId="1" fillId="26" borderId="0" applyNumberFormat="0" applyBorder="0" applyAlignment="0" applyProtection="0"/>
    <xf numFmtId="0" fontId="1" fillId="25"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30" borderId="0" applyNumberFormat="0" applyBorder="0" applyAlignment="0" applyProtection="0"/>
    <xf numFmtId="176" fontId="1" fillId="0" borderId="0" applyFont="0" applyFill="0" applyBorder="0" applyAlignment="0" applyProtection="0"/>
    <xf numFmtId="0" fontId="1" fillId="17"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7"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7"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7" borderId="4" applyNumberFormat="0" applyFont="0" applyAlignment="0" applyProtection="0"/>
    <xf numFmtId="176" fontId="1" fillId="0" borderId="0" applyFont="0" applyFill="0" applyBorder="0" applyAlignment="0" applyProtection="0"/>
    <xf numFmtId="0" fontId="1" fillId="25"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7"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7"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7" borderId="4" applyNumberFormat="0" applyFont="0" applyAlignment="0" applyProtection="0"/>
    <xf numFmtId="176" fontId="1" fillId="0" borderId="0" applyFont="0" applyFill="0" applyBorder="0" applyAlignment="0" applyProtection="0"/>
    <xf numFmtId="0" fontId="1" fillId="25"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7"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7"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7"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7"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7"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7"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1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176" fontId="1" fillId="0" borderId="0" applyFont="0" applyFill="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22" borderId="0" applyNumberFormat="0" applyBorder="0" applyAlignment="0" applyProtection="0"/>
    <xf numFmtId="176" fontId="1" fillId="0" borderId="0" applyFont="0" applyFill="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176" fontId="1" fillId="0" borderId="0" applyFont="0" applyFill="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9" borderId="0" applyNumberFormat="0" applyBorder="0" applyAlignment="0" applyProtection="0"/>
    <xf numFmtId="176" fontId="1" fillId="0" borderId="0" applyFont="0" applyFill="0" applyBorder="0" applyAlignment="0" applyProtection="0"/>
    <xf numFmtId="0" fontId="1" fillId="10" borderId="0" applyNumberFormat="0" applyBorder="0" applyAlignment="0" applyProtection="0"/>
    <xf numFmtId="0" fontId="1" fillId="9"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7" borderId="4" applyNumberFormat="0" applyFont="0" applyAlignment="0" applyProtection="0"/>
    <xf numFmtId="176" fontId="1" fillId="0" borderId="0" applyFont="0" applyFill="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7"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7"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176" fontId="1" fillId="0" borderId="0" applyFont="0" applyFill="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17" borderId="0" applyNumberFormat="0" applyBorder="0" applyAlignment="0" applyProtection="0"/>
    <xf numFmtId="176" fontId="1" fillId="0" borderId="0" applyFont="0" applyFill="0" applyBorder="0" applyAlignment="0" applyProtection="0"/>
    <xf numFmtId="0" fontId="1" fillId="7" borderId="4" applyNumberFormat="0" applyFont="0" applyAlignment="0" applyProtection="0"/>
    <xf numFmtId="0" fontId="1" fillId="18" borderId="0" applyNumberFormat="0" applyBorder="0" applyAlignment="0" applyProtection="0"/>
    <xf numFmtId="0" fontId="1" fillId="25" borderId="0" applyNumberFormat="0" applyBorder="0" applyAlignment="0" applyProtection="0"/>
    <xf numFmtId="176" fontId="1" fillId="0" borderId="0" applyFont="0" applyFill="0" applyBorder="0" applyAlignment="0" applyProtection="0"/>
    <xf numFmtId="0" fontId="1" fillId="10" borderId="0" applyNumberFormat="0" applyBorder="0" applyAlignment="0" applyProtection="0"/>
    <xf numFmtId="0" fontId="1" fillId="25" borderId="0" applyNumberFormat="0" applyBorder="0" applyAlignment="0" applyProtection="0"/>
    <xf numFmtId="176" fontId="1" fillId="0" borderId="0" applyFont="0" applyFill="0" applyBorder="0" applyAlignment="0" applyProtection="0"/>
    <xf numFmtId="0" fontId="1" fillId="29" borderId="0" applyNumberFormat="0" applyBorder="0" applyAlignment="0" applyProtection="0"/>
    <xf numFmtId="0" fontId="1" fillId="30"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25" borderId="0" applyNumberFormat="0" applyBorder="0" applyAlignment="0" applyProtection="0"/>
    <xf numFmtId="176" fontId="1" fillId="0" borderId="0" applyFont="0" applyFill="0" applyBorder="0" applyAlignment="0" applyProtection="0"/>
    <xf numFmtId="0" fontId="1" fillId="9" borderId="0" applyNumberFormat="0" applyBorder="0" applyAlignment="0" applyProtection="0"/>
    <xf numFmtId="176" fontId="1" fillId="0" borderId="0" applyFont="0" applyFill="0" applyBorder="0" applyAlignment="0" applyProtection="0"/>
    <xf numFmtId="0" fontId="1" fillId="14"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30" borderId="0" applyNumberFormat="0" applyBorder="0" applyAlignment="0" applyProtection="0"/>
    <xf numFmtId="0" fontId="1" fillId="21"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7"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7"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7"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7"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8" borderId="0" applyNumberFormat="0" applyBorder="0" applyAlignment="0" applyProtection="0"/>
    <xf numFmtId="0" fontId="1" fillId="9"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7" borderId="4" applyNumberFormat="0" applyFont="0" applyAlignment="0" applyProtection="0"/>
    <xf numFmtId="176" fontId="1" fillId="0" borderId="0" applyFont="0" applyFill="0" applyBorder="0" applyAlignment="0" applyProtection="0"/>
    <xf numFmtId="0" fontId="1" fillId="26" borderId="0" applyNumberFormat="0" applyBorder="0" applyAlignment="0" applyProtection="0"/>
    <xf numFmtId="0" fontId="1" fillId="25"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30" borderId="0" applyNumberFormat="0" applyBorder="0" applyAlignment="0" applyProtection="0"/>
    <xf numFmtId="176" fontId="1" fillId="0" borderId="0" applyFont="0" applyFill="0" applyBorder="0" applyAlignment="0" applyProtection="0"/>
    <xf numFmtId="0" fontId="1" fillId="17"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7"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7"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7" borderId="4" applyNumberFormat="0" applyFont="0" applyAlignment="0" applyProtection="0"/>
    <xf numFmtId="176" fontId="1" fillId="0" borderId="0" applyFont="0" applyFill="0" applyBorder="0" applyAlignment="0" applyProtection="0"/>
    <xf numFmtId="0" fontId="1" fillId="25"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7"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7"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7" borderId="4" applyNumberFormat="0" applyFont="0" applyAlignment="0" applyProtection="0"/>
    <xf numFmtId="176" fontId="1" fillId="0" borderId="0" applyFont="0" applyFill="0" applyBorder="0" applyAlignment="0" applyProtection="0"/>
    <xf numFmtId="0" fontId="1" fillId="25"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7"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7"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7"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7"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7"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7"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1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176" fontId="1" fillId="0" borderId="0" applyFont="0" applyFill="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22" borderId="0" applyNumberFormat="0" applyBorder="0" applyAlignment="0" applyProtection="0"/>
    <xf numFmtId="176" fontId="1" fillId="0" borderId="0" applyFont="0" applyFill="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176" fontId="1" fillId="0" borderId="0" applyFont="0" applyFill="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9" borderId="0" applyNumberFormat="0" applyBorder="0" applyAlignment="0" applyProtection="0"/>
    <xf numFmtId="176" fontId="1" fillId="0" borderId="0" applyFont="0" applyFill="0" applyBorder="0" applyAlignment="0" applyProtection="0"/>
    <xf numFmtId="0" fontId="1" fillId="10" borderId="0" applyNumberFormat="0" applyBorder="0" applyAlignment="0" applyProtection="0"/>
    <xf numFmtId="0" fontId="1" fillId="9"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7" borderId="4" applyNumberFormat="0" applyFont="0" applyAlignment="0" applyProtection="0"/>
    <xf numFmtId="176" fontId="1" fillId="0" borderId="0" applyFont="0" applyFill="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7"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7"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176" fontId="1" fillId="0" borderId="0" applyFont="0" applyFill="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17" borderId="0" applyNumberFormat="0" applyBorder="0" applyAlignment="0" applyProtection="0"/>
    <xf numFmtId="176" fontId="1" fillId="0" borderId="0" applyFont="0" applyFill="0" applyBorder="0" applyAlignment="0" applyProtection="0"/>
    <xf numFmtId="0" fontId="1" fillId="7" borderId="4" applyNumberFormat="0" applyFont="0" applyAlignment="0" applyProtection="0"/>
    <xf numFmtId="0" fontId="1" fillId="18" borderId="0" applyNumberFormat="0" applyBorder="0" applyAlignment="0" applyProtection="0"/>
    <xf numFmtId="0" fontId="1" fillId="25" borderId="0" applyNumberFormat="0" applyBorder="0" applyAlignment="0" applyProtection="0"/>
    <xf numFmtId="176" fontId="1" fillId="0" borderId="0" applyFont="0" applyFill="0" applyBorder="0" applyAlignment="0" applyProtection="0"/>
    <xf numFmtId="0" fontId="1" fillId="10" borderId="0" applyNumberFormat="0" applyBorder="0" applyAlignment="0" applyProtection="0"/>
    <xf numFmtId="0" fontId="1" fillId="25" borderId="0" applyNumberFormat="0" applyBorder="0" applyAlignment="0" applyProtection="0"/>
    <xf numFmtId="176" fontId="1" fillId="0" borderId="0" applyFont="0" applyFill="0" applyBorder="0" applyAlignment="0" applyProtection="0"/>
    <xf numFmtId="0" fontId="1" fillId="29" borderId="0" applyNumberFormat="0" applyBorder="0" applyAlignment="0" applyProtection="0"/>
    <xf numFmtId="0" fontId="1" fillId="30"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25" borderId="0" applyNumberFormat="0" applyBorder="0" applyAlignment="0" applyProtection="0"/>
    <xf numFmtId="176" fontId="1" fillId="0" borderId="0" applyFont="0" applyFill="0" applyBorder="0" applyAlignment="0" applyProtection="0"/>
    <xf numFmtId="0" fontId="1" fillId="9" borderId="0" applyNumberFormat="0" applyBorder="0" applyAlignment="0" applyProtection="0"/>
    <xf numFmtId="176" fontId="1" fillId="0" borderId="0" applyFont="0" applyFill="0" applyBorder="0" applyAlignment="0" applyProtection="0"/>
    <xf numFmtId="0" fontId="1" fillId="14"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30" borderId="0" applyNumberFormat="0" applyBorder="0" applyAlignment="0" applyProtection="0"/>
    <xf numFmtId="0" fontId="1" fillId="21"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7"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7"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7"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7"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8" borderId="0" applyNumberFormat="0" applyBorder="0" applyAlignment="0" applyProtection="0"/>
    <xf numFmtId="0" fontId="1" fillId="9"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7" borderId="4" applyNumberFormat="0" applyFont="0" applyAlignment="0" applyProtection="0"/>
    <xf numFmtId="176" fontId="1" fillId="0" borderId="0" applyFont="0" applyFill="0" applyBorder="0" applyAlignment="0" applyProtection="0"/>
    <xf numFmtId="0" fontId="1" fillId="26" borderId="0" applyNumberFormat="0" applyBorder="0" applyAlignment="0" applyProtection="0"/>
    <xf numFmtId="0" fontId="1" fillId="25"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30" borderId="0" applyNumberFormat="0" applyBorder="0" applyAlignment="0" applyProtection="0"/>
    <xf numFmtId="176" fontId="1" fillId="0" borderId="0" applyFont="0" applyFill="0" applyBorder="0" applyAlignment="0" applyProtection="0"/>
    <xf numFmtId="0" fontId="1" fillId="17"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7"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7"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7" borderId="4" applyNumberFormat="0" applyFont="0" applyAlignment="0" applyProtection="0"/>
    <xf numFmtId="176" fontId="1" fillId="0" borderId="0" applyFont="0" applyFill="0" applyBorder="0" applyAlignment="0" applyProtection="0"/>
    <xf numFmtId="0" fontId="1" fillId="25"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7"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7"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7" borderId="4" applyNumberFormat="0" applyFont="0" applyAlignment="0" applyProtection="0"/>
    <xf numFmtId="176" fontId="1" fillId="0" borderId="0" applyFont="0" applyFill="0" applyBorder="0" applyAlignment="0" applyProtection="0"/>
    <xf numFmtId="0" fontId="1" fillId="25"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7"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77"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81" fontId="26" fillId="0" borderId="0" applyFont="0" applyFill="0" applyBorder="0" applyAlignment="0" applyProtection="0"/>
    <xf numFmtId="49" fontId="16" fillId="0" borderId="0" applyFill="0" applyAlignment="0"/>
    <xf numFmtId="174" fontId="26" fillId="0" borderId="0" applyFont="0" applyFill="0" applyBorder="0" applyAlignment="0" applyProtection="0">
      <alignment wrapText="1"/>
    </xf>
    <xf numFmtId="182" fontId="15" fillId="32" borderId="0" applyFont="0" applyBorder="0"/>
    <xf numFmtId="165" fontId="1" fillId="36" borderId="23" applyNumberFormat="0" applyFont="0" applyFill="0" applyAlignment="0" applyProtection="0"/>
    <xf numFmtId="167" fontId="15" fillId="0" borderId="24" applyNumberFormat="0" applyFont="0" applyFill="0" applyAlignment="0" applyProtection="0"/>
    <xf numFmtId="183" fontId="26" fillId="0" borderId="0" applyFont="0" applyFill="0" applyBorder="0" applyAlignment="0" applyProtection="0">
      <alignment horizontal="left"/>
      <protection locked="0"/>
    </xf>
    <xf numFmtId="184" fontId="1" fillId="0" borderId="23" applyFont="0" applyFill="0" applyBorder="0" applyAlignment="0" applyProtection="0"/>
    <xf numFmtId="49" fontId="33" fillId="0" borderId="0" applyFill="0" applyAlignment="0"/>
  </cellStyleXfs>
  <cellXfs count="225">
    <xf numFmtId="0" fontId="0" fillId="0" borderId="0" xfId="0"/>
    <xf numFmtId="0" fontId="22" fillId="0" borderId="11" xfId="55" applyNumberFormat="1" applyFill="1"/>
    <xf numFmtId="0" fontId="21" fillId="0" borderId="16" xfId="50" applyFill="1" applyBorder="1" applyAlignment="1">
      <alignment horizontal="right" wrapText="1"/>
    </xf>
    <xf numFmtId="0" fontId="15" fillId="0" borderId="0" xfId="0" applyFont="1"/>
    <xf numFmtId="0" fontId="0" fillId="0" borderId="0" xfId="0"/>
    <xf numFmtId="0" fontId="12" fillId="32" borderId="6" xfId="0" applyFont="1" applyFill="1" applyBorder="1" applyAlignment="1">
      <alignment horizontal="centerContinuous"/>
    </xf>
    <xf numFmtId="0" fontId="12" fillId="32" borderId="0" xfId="0" applyFont="1" applyFill="1" applyBorder="1" applyAlignment="1">
      <alignment horizontal="centerContinuous"/>
    </xf>
    <xf numFmtId="0" fontId="12" fillId="32" borderId="6" xfId="0" applyFont="1" applyFill="1" applyBorder="1"/>
    <xf numFmtId="0" fontId="0" fillId="0" borderId="0" xfId="0" applyBorder="1"/>
    <xf numFmtId="0" fontId="12" fillId="32" borderId="7" xfId="0" applyFont="1" applyFill="1" applyBorder="1"/>
    <xf numFmtId="0" fontId="12" fillId="32" borderId="6" xfId="0" applyFont="1" applyFill="1" applyBorder="1" applyAlignment="1"/>
    <xf numFmtId="0" fontId="12" fillId="32" borderId="0" xfId="0" applyFont="1" applyFill="1" applyBorder="1"/>
    <xf numFmtId="0" fontId="0" fillId="0" borderId="8" xfId="0" applyFill="1" applyBorder="1"/>
    <xf numFmtId="0" fontId="0" fillId="0" borderId="9" xfId="0" applyFill="1" applyBorder="1"/>
    <xf numFmtId="0" fontId="0" fillId="0" borderId="10" xfId="0" applyFill="1" applyBorder="1"/>
    <xf numFmtId="0" fontId="24" fillId="35" borderId="12" xfId="0" applyFont="1" applyFill="1" applyBorder="1"/>
    <xf numFmtId="0" fontId="24" fillId="35" borderId="13" xfId="0" applyFont="1" applyFill="1" applyBorder="1"/>
    <xf numFmtId="0" fontId="25" fillId="0" borderId="7" xfId="0" applyFont="1" applyFill="1" applyBorder="1" applyAlignment="1">
      <alignment horizontal="centerContinuous"/>
    </xf>
    <xf numFmtId="49" fontId="0" fillId="34" borderId="14" xfId="0" applyNumberFormat="1" applyFill="1" applyBorder="1"/>
    <xf numFmtId="0" fontId="19" fillId="34" borderId="15" xfId="47" applyFill="1" applyBorder="1" applyAlignment="1" applyProtection="1"/>
    <xf numFmtId="49" fontId="0" fillId="36" borderId="14" xfId="0" applyNumberFormat="1" applyFill="1" applyBorder="1"/>
    <xf numFmtId="0" fontId="19" fillId="36" borderId="15" xfId="47" applyFill="1" applyBorder="1" applyAlignment="1" applyProtection="1"/>
    <xf numFmtId="49" fontId="16" fillId="0" borderId="0" xfId="6" applyFill="1" applyBorder="1" applyAlignment="1">
      <alignment horizontal="left" indent="1"/>
    </xf>
    <xf numFmtId="0" fontId="15" fillId="0" borderId="0" xfId="0" applyFont="1"/>
    <xf numFmtId="164" fontId="27" fillId="0" borderId="0" xfId="48" quotePrefix="1" applyFill="1" applyAlignment="1" applyProtection="1">
      <alignment horizontal="left" vertical="top" indent="1"/>
    </xf>
    <xf numFmtId="0" fontId="15" fillId="32" borderId="0" xfId="0" applyFont="1" applyFill="1"/>
    <xf numFmtId="0" fontId="15" fillId="32" borderId="0" xfId="0" applyFont="1" applyFill="1" applyBorder="1"/>
    <xf numFmtId="164" fontId="27" fillId="0" borderId="0" xfId="48" quotePrefix="1" applyFill="1" applyAlignment="1" applyProtection="1">
      <alignment horizontal="left" vertical="top"/>
    </xf>
    <xf numFmtId="0" fontId="21" fillId="0" borderId="11" xfId="50" applyFill="1">
      <alignment horizontal="centerContinuous" wrapText="1"/>
    </xf>
    <xf numFmtId="0" fontId="0" fillId="0" borderId="11" xfId="54" applyFont="1" applyFill="1"/>
    <xf numFmtId="164" fontId="0" fillId="0" borderId="11" xfId="54" applyNumberFormat="1" applyFont="1" applyFill="1" applyAlignment="1"/>
    <xf numFmtId="164" fontId="1" fillId="0" borderId="11" xfId="54" applyNumberFormat="1" applyFill="1" applyAlignment="1"/>
    <xf numFmtId="0" fontId="1" fillId="0" borderId="11" xfId="54" applyFill="1"/>
    <xf numFmtId="164" fontId="1" fillId="0" borderId="11" xfId="54" applyNumberFormat="1" applyFont="1" applyFill="1" applyAlignment="1"/>
    <xf numFmtId="0" fontId="0" fillId="0" borderId="11" xfId="54" applyFont="1" applyFill="1" applyAlignment="1">
      <alignment horizontal="right"/>
    </xf>
    <xf numFmtId="0" fontId="0" fillId="0" borderId="0" xfId="0" applyFill="1"/>
    <xf numFmtId="0" fontId="22" fillId="0" borderId="11" xfId="55" applyNumberFormat="1" applyFill="1" applyAlignment="1" applyProtection="1">
      <alignment horizontal="center"/>
      <protection locked="0"/>
    </xf>
    <xf numFmtId="49" fontId="23" fillId="0" borderId="0" xfId="5" applyFill="1" applyAlignment="1">
      <alignment vertical="center"/>
    </xf>
    <xf numFmtId="164" fontId="21" fillId="0" borderId="16" xfId="46" applyFont="1" applyFill="1" applyBorder="1" applyAlignment="1" applyProtection="1">
      <alignment horizontal="left" wrapText="1"/>
    </xf>
    <xf numFmtId="49" fontId="0" fillId="34" borderId="17" xfId="0" applyNumberFormat="1" applyFill="1" applyBorder="1"/>
    <xf numFmtId="0" fontId="19" fillId="34" borderId="18" xfId="47" applyFill="1" applyBorder="1" applyAlignment="1" applyProtection="1">
      <alignment horizontal="left" indent="1"/>
    </xf>
    <xf numFmtId="49" fontId="0" fillId="36" borderId="17" xfId="0" applyNumberFormat="1" applyFill="1" applyBorder="1"/>
    <xf numFmtId="0" fontId="19" fillId="36" borderId="18" xfId="47" applyFill="1" applyBorder="1" applyAlignment="1" applyProtection="1">
      <alignment horizontal="left" indent="1"/>
    </xf>
    <xf numFmtId="0" fontId="21" fillId="0" borderId="16" xfId="50" applyFill="1" applyBorder="1">
      <alignment horizontal="centerContinuous" wrapText="1"/>
    </xf>
    <xf numFmtId="0" fontId="21" fillId="0" borderId="16" xfId="50" applyFill="1" applyBorder="1" applyAlignment="1">
      <alignment horizontal="center" wrapText="1"/>
    </xf>
    <xf numFmtId="0" fontId="15" fillId="0" borderId="0" xfId="0" applyFont="1" applyBorder="1"/>
    <xf numFmtId="0" fontId="21" fillId="32" borderId="11" xfId="50" applyFill="1">
      <alignment horizontal="centerContinuous" wrapText="1"/>
    </xf>
    <xf numFmtId="0" fontId="20" fillId="32" borderId="11" xfId="53" applyFill="1">
      <protection locked="0"/>
    </xf>
    <xf numFmtId="49" fontId="17" fillId="32" borderId="0" xfId="49" applyFill="1"/>
    <xf numFmtId="0" fontId="1" fillId="32" borderId="11" xfId="54" applyFill="1"/>
    <xf numFmtId="49" fontId="18" fillId="32" borderId="11" xfId="8" applyFill="1" applyBorder="1">
      <alignment horizontal="left"/>
    </xf>
    <xf numFmtId="169" fontId="20" fillId="32" borderId="11" xfId="93" applyFont="1" applyFill="1" applyBorder="1" applyAlignment="1" applyProtection="1">
      <protection locked="0"/>
    </xf>
    <xf numFmtId="170" fontId="20" fillId="32" borderId="11" xfId="94" applyFont="1" applyFill="1" applyBorder="1">
      <protection locked="0"/>
    </xf>
    <xf numFmtId="49" fontId="18" fillId="32" borderId="0" xfId="8" applyFill="1">
      <alignment horizontal="left"/>
    </xf>
    <xf numFmtId="167" fontId="20" fillId="32" borderId="11" xfId="51" applyFont="1" applyFill="1" applyBorder="1" applyProtection="1">
      <protection locked="0"/>
    </xf>
    <xf numFmtId="167" fontId="20" fillId="0" borderId="11" xfId="51" applyFont="1" applyFill="1" applyBorder="1" applyProtection="1">
      <protection locked="0"/>
    </xf>
    <xf numFmtId="0" fontId="1" fillId="0" borderId="11" xfId="54" applyFill="1" applyAlignment="1">
      <alignment horizontal="center"/>
    </xf>
    <xf numFmtId="167" fontId="1" fillId="0" borderId="11" xfId="51" applyFont="1" applyFill="1" applyBorder="1"/>
    <xf numFmtId="169" fontId="1" fillId="32" borderId="11" xfId="93" applyFont="1" applyFill="1" applyBorder="1" applyAlignment="1" applyProtection="1"/>
    <xf numFmtId="0" fontId="21" fillId="32" borderId="11" xfId="50" applyFill="1" applyAlignment="1">
      <alignment horizontal="left" wrapText="1"/>
    </xf>
    <xf numFmtId="170" fontId="1" fillId="0" borderId="11" xfId="94" applyFont="1" applyFill="1" applyBorder="1" applyProtection="1"/>
    <xf numFmtId="49" fontId="17" fillId="0" borderId="0" xfId="49" applyFill="1" applyAlignment="1">
      <alignment horizontal="left"/>
    </xf>
    <xf numFmtId="49" fontId="18" fillId="0" borderId="11" xfId="8" applyFill="1" applyBorder="1">
      <alignment horizontal="left"/>
    </xf>
    <xf numFmtId="49" fontId="16" fillId="0" borderId="0" xfId="6"/>
    <xf numFmtId="167" fontId="1" fillId="0" borderId="11" xfId="54" applyNumberFormat="1" applyFill="1"/>
    <xf numFmtId="164" fontId="16" fillId="0" borderId="0" xfId="6" applyNumberFormat="1" applyFont="1" applyFill="1" applyBorder="1"/>
    <xf numFmtId="164" fontId="21" fillId="0" borderId="19" xfId="50" applyNumberFormat="1" applyFill="1" applyBorder="1">
      <alignment horizontal="centerContinuous" wrapText="1"/>
    </xf>
    <xf numFmtId="164" fontId="1" fillId="0" borderId="11" xfId="54" applyNumberFormat="1" applyFill="1" applyAlignment="1">
      <alignment horizontal="center"/>
    </xf>
    <xf numFmtId="167" fontId="0" fillId="0" borderId="21" xfId="51" applyNumberFormat="1" applyFont="1" applyFill="1" applyBorder="1"/>
    <xf numFmtId="167" fontId="0" fillId="0" borderId="20" xfId="51" applyNumberFormat="1" applyFont="1" applyFill="1" applyBorder="1"/>
    <xf numFmtId="172" fontId="1" fillId="0" borderId="11" xfId="54" applyNumberFormat="1" applyFill="1"/>
    <xf numFmtId="173" fontId="1" fillId="0" borderId="11" xfId="54" applyNumberFormat="1" applyFill="1"/>
    <xf numFmtId="164" fontId="1" fillId="0" borderId="16" xfId="54" applyNumberFormat="1" applyFill="1" applyBorder="1" applyAlignment="1"/>
    <xf numFmtId="170" fontId="0" fillId="0" borderId="21" xfId="93" applyNumberFormat="1" applyFont="1" applyFill="1" applyBorder="1" applyAlignment="1"/>
    <xf numFmtId="167" fontId="0" fillId="0" borderId="0" xfId="51" applyNumberFormat="1" applyFont="1" applyFill="1" applyBorder="1"/>
    <xf numFmtId="167" fontId="0" fillId="0" borderId="0" xfId="0" applyNumberFormat="1"/>
    <xf numFmtId="0" fontId="1" fillId="0" borderId="11" xfId="54" applyFill="1" applyAlignment="1">
      <alignment horizontal="centerContinuous" wrapText="1"/>
    </xf>
    <xf numFmtId="164" fontId="21" fillId="0" borderId="11" xfId="50" applyNumberFormat="1" applyFill="1">
      <alignment horizontal="centerContinuous" wrapText="1"/>
    </xf>
    <xf numFmtId="175" fontId="1" fillId="0" borderId="11" xfId="96" applyFill="1" applyBorder="1"/>
    <xf numFmtId="167" fontId="1" fillId="0" borderId="22" xfId="97" applyNumberFormat="1" applyFont="1" applyFill="1"/>
    <xf numFmtId="167" fontId="0" fillId="0" borderId="11" xfId="51" applyFont="1" applyFill="1" applyBorder="1"/>
    <xf numFmtId="0" fontId="2" fillId="0" borderId="11" xfId="54" applyFont="1" applyFill="1"/>
    <xf numFmtId="3" fontId="1" fillId="0" borderId="11" xfId="54" applyNumberFormat="1" applyFill="1"/>
    <xf numFmtId="167" fontId="22" fillId="0" borderId="11" xfId="51" applyFont="1" applyFill="1" applyBorder="1"/>
    <xf numFmtId="0" fontId="0" fillId="32" borderId="11" xfId="54" applyFont="1" applyFill="1"/>
    <xf numFmtId="171" fontId="22" fillId="32" borderId="11" xfId="55" applyNumberFormat="1" applyFill="1"/>
    <xf numFmtId="164" fontId="0" fillId="0" borderId="11" xfId="54" applyNumberFormat="1" applyFont="1" applyFill="1" applyAlignment="1">
      <alignment horizontal="left"/>
    </xf>
    <xf numFmtId="15" fontId="22" fillId="0" borderId="11" xfId="55" applyNumberFormat="1" applyFill="1"/>
    <xf numFmtId="174" fontId="1" fillId="0" borderId="11" xfId="54" applyNumberFormat="1" applyFill="1" applyAlignment="1"/>
    <xf numFmtId="178" fontId="20" fillId="32" borderId="11" xfId="93" applyNumberFormat="1" applyFont="1" applyFill="1" applyBorder="1" applyAlignment="1" applyProtection="1">
      <protection locked="0"/>
    </xf>
    <xf numFmtId="178" fontId="1" fillId="32" borderId="11" xfId="93" applyNumberFormat="1" applyFont="1" applyFill="1" applyBorder="1" applyAlignment="1" applyProtection="1"/>
    <xf numFmtId="167" fontId="21" fillId="0" borderId="11" xfId="50" applyNumberFormat="1" applyFill="1">
      <alignment horizontal="centerContinuous" wrapText="1"/>
    </xf>
    <xf numFmtId="170" fontId="15" fillId="0" borderId="0" xfId="0" applyNumberFormat="1" applyFont="1" applyFill="1"/>
    <xf numFmtId="167" fontId="22" fillId="0" borderId="11" xfId="55" applyNumberFormat="1" applyFill="1"/>
    <xf numFmtId="167" fontId="20" fillId="32" borderId="0" xfId="51" applyFont="1" applyFill="1" applyBorder="1" applyProtection="1">
      <protection locked="0"/>
    </xf>
    <xf numFmtId="167" fontId="20" fillId="0" borderId="11" xfId="53" applyNumberFormat="1" applyFill="1">
      <protection locked="0"/>
    </xf>
    <xf numFmtId="0" fontId="20" fillId="0" borderId="11" xfId="53" applyFill="1">
      <protection locked="0"/>
    </xf>
    <xf numFmtId="170" fontId="1" fillId="0" borderId="11" xfId="54" applyNumberFormat="1" applyFill="1"/>
    <xf numFmtId="179" fontId="1" fillId="0" borderId="11" xfId="54" applyNumberFormat="1" applyFill="1" applyAlignment="1">
      <alignment horizontal="left"/>
    </xf>
    <xf numFmtId="49" fontId="17" fillId="0" borderId="0" xfId="49"/>
    <xf numFmtId="171" fontId="22" fillId="0" borderId="11" xfId="55" applyNumberFormat="1" applyFill="1"/>
    <xf numFmtId="49" fontId="16" fillId="0" borderId="0" xfId="33605"/>
    <xf numFmtId="164" fontId="0" fillId="0" borderId="20" xfId="46" applyFont="1" applyFill="1" applyBorder="1" applyAlignment="1" applyProtection="1"/>
    <xf numFmtId="164" fontId="0" fillId="0" borderId="20" xfId="46" applyFont="1" applyFill="1" applyBorder="1" applyAlignment="1" applyProtection="1">
      <alignment horizontal="left" indent="1"/>
    </xf>
    <xf numFmtId="164" fontId="0" fillId="0" borderId="0" xfId="46" applyFont="1" applyFill="1" applyBorder="1" applyAlignment="1" applyProtection="1"/>
    <xf numFmtId="171" fontId="22" fillId="0" borderId="11" xfId="55" applyNumberFormat="1" applyFill="1" applyAlignment="1"/>
    <xf numFmtId="167" fontId="0" fillId="0" borderId="22" xfId="97" applyNumberFormat="1" applyFont="1" applyFill="1"/>
    <xf numFmtId="15" fontId="21" fillId="0" borderId="11" xfId="50" applyNumberFormat="1" applyFill="1">
      <alignment horizontal="centerContinuous" wrapText="1"/>
    </xf>
    <xf numFmtId="9" fontId="1" fillId="0" borderId="11" xfId="54" applyNumberFormat="1" applyFill="1"/>
    <xf numFmtId="0" fontId="1" fillId="0" borderId="11" xfId="54" applyFill="1" applyAlignment="1">
      <alignment vertical="top" wrapText="1"/>
    </xf>
    <xf numFmtId="174" fontId="21" fillId="0" borderId="11" xfId="33606" applyFont="1" applyFill="1" applyBorder="1" applyAlignment="1">
      <alignment horizontal="centerContinuous" wrapText="1"/>
    </xf>
    <xf numFmtId="164" fontId="22" fillId="0" borderId="11" xfId="46" applyFont="1" applyFill="1" applyBorder="1" applyAlignment="1" applyProtection="1">
      <alignment horizontal="center"/>
    </xf>
    <xf numFmtId="170" fontId="20" fillId="0" borderId="11" xfId="53" applyNumberFormat="1" applyFill="1">
      <protection locked="0"/>
    </xf>
    <xf numFmtId="49" fontId="27" fillId="0" borderId="0" xfId="95">
      <alignment horizontal="left" indent="1"/>
    </xf>
    <xf numFmtId="0" fontId="1" fillId="0" borderId="11" xfId="54" applyFill="1" applyAlignment="1">
      <alignment horizontal="right"/>
    </xf>
    <xf numFmtId="166" fontId="1" fillId="0" borderId="11" xfId="54" applyNumberFormat="1" applyFill="1"/>
    <xf numFmtId="49" fontId="21" fillId="0" borderId="11" xfId="50" applyNumberFormat="1" applyFill="1">
      <alignment horizontal="centerContinuous" wrapText="1"/>
    </xf>
    <xf numFmtId="167" fontId="1" fillId="32" borderId="11" xfId="54" applyNumberFormat="1" applyFill="1"/>
    <xf numFmtId="0" fontId="21" fillId="0" borderId="11" xfId="50" applyFill="1" applyAlignment="1">
      <alignment horizontal="left" wrapText="1"/>
    </xf>
    <xf numFmtId="0" fontId="1" fillId="0" borderId="11" xfId="54" applyFill="1"/>
    <xf numFmtId="169" fontId="22" fillId="32" borderId="11" xfId="55" applyNumberFormat="1" applyFill="1" applyAlignment="1"/>
    <xf numFmtId="0" fontId="1" fillId="0" borderId="11" xfId="54" applyFill="1"/>
    <xf numFmtId="167" fontId="20" fillId="32" borderId="11" xfId="53" applyNumberFormat="1" applyFill="1">
      <protection locked="0"/>
    </xf>
    <xf numFmtId="0" fontId="1" fillId="32" borderId="11" xfId="54" applyFill="1" applyAlignment="1">
      <alignment horizontal="centerContinuous" wrapText="1"/>
    </xf>
    <xf numFmtId="0" fontId="21" fillId="32" borderId="11" xfId="50" applyFill="1" applyAlignment="1">
      <alignment horizontal="center" wrapText="1"/>
    </xf>
    <xf numFmtId="0" fontId="21" fillId="0" borderId="11" xfId="50" applyFill="1" applyAlignment="1">
      <alignment horizontal="center" wrapText="1"/>
    </xf>
    <xf numFmtId="0" fontId="1" fillId="0" borderId="11" xfId="54" applyFill="1"/>
    <xf numFmtId="0" fontId="1" fillId="34" borderId="11" xfId="54" applyFill="1"/>
    <xf numFmtId="0" fontId="21" fillId="34" borderId="11" xfId="50" applyFill="1">
      <alignment horizontal="centerContinuous" wrapText="1"/>
    </xf>
    <xf numFmtId="0" fontId="20" fillId="34" borderId="11" xfId="53" applyFill="1">
      <protection locked="0"/>
    </xf>
    <xf numFmtId="170" fontId="22" fillId="32" borderId="11" xfId="94" applyFont="1" applyFill="1" applyBorder="1" applyAlignment="1" applyProtection="1"/>
    <xf numFmtId="167" fontId="1" fillId="32" borderId="11" xfId="51" applyFont="1" applyFill="1" applyBorder="1"/>
    <xf numFmtId="0" fontId="21" fillId="32" borderId="11" xfId="50" applyFill="1" applyAlignment="1">
      <alignment horizontal="centerContinuous" wrapText="1"/>
    </xf>
    <xf numFmtId="0" fontId="31" fillId="0" borderId="25" xfId="0" applyFont="1" applyBorder="1" applyAlignment="1">
      <alignment horizontal="right" wrapText="1"/>
    </xf>
    <xf numFmtId="0" fontId="12" fillId="0" borderId="0" xfId="0" applyFont="1"/>
    <xf numFmtId="0" fontId="0" fillId="0" borderId="11" xfId="54" applyFont="1" applyFill="1" applyAlignment="1">
      <alignment vertical="top" wrapText="1"/>
    </xf>
    <xf numFmtId="0" fontId="15" fillId="0" borderId="22" xfId="97" applyNumberFormat="1" applyFont="1" applyFill="1"/>
    <xf numFmtId="0" fontId="1" fillId="0" borderId="11" xfId="54" applyFill="1"/>
    <xf numFmtId="0" fontId="1" fillId="0" borderId="11" xfId="54" applyFill="1"/>
    <xf numFmtId="0" fontId="1" fillId="0" borderId="11" xfId="54" applyFill="1"/>
    <xf numFmtId="0" fontId="1" fillId="0" borderId="11" xfId="54" applyFill="1" applyAlignment="1">
      <alignment horizontal="left" indent="1"/>
    </xf>
    <xf numFmtId="0" fontId="0" fillId="0" borderId="0" xfId="0" applyAlignment="1">
      <alignment horizontal="left" indent="1"/>
    </xf>
    <xf numFmtId="0" fontId="0" fillId="32" borderId="11" xfId="54" applyFont="1" applyFill="1" applyAlignment="1">
      <alignment horizontal="left" indent="1"/>
    </xf>
    <xf numFmtId="0" fontId="1" fillId="32" borderId="11" xfId="54" applyFill="1" applyAlignment="1">
      <alignment horizontal="left" indent="1"/>
    </xf>
    <xf numFmtId="0" fontId="0" fillId="0" borderId="11" xfId="54" applyFont="1" applyFill="1" applyAlignment="1">
      <alignment horizontal="left" indent="1"/>
    </xf>
    <xf numFmtId="0" fontId="2" fillId="0" borderId="11" xfId="54" applyFont="1" applyFill="1" applyAlignment="1">
      <alignment horizontal="left" indent="1"/>
    </xf>
    <xf numFmtId="49" fontId="16" fillId="32" borderId="0" xfId="33605" applyFill="1"/>
    <xf numFmtId="164" fontId="27" fillId="32" borderId="11" xfId="48" applyFill="1" applyBorder="1">
      <alignment horizontal="left" indent="1"/>
    </xf>
    <xf numFmtId="0" fontId="1" fillId="32" borderId="11" xfId="54" applyFill="1" applyBorder="1"/>
    <xf numFmtId="164" fontId="21" fillId="32" borderId="11" xfId="50" applyNumberFormat="1" applyFill="1">
      <alignment horizontal="centerContinuous" wrapText="1"/>
    </xf>
    <xf numFmtId="0" fontId="1" fillId="0" borderId="11" xfId="54" applyFill="1"/>
    <xf numFmtId="0" fontId="1" fillId="0" borderId="11" xfId="54" applyFill="1"/>
    <xf numFmtId="0" fontId="1" fillId="0" borderId="11" xfId="54" applyFill="1"/>
    <xf numFmtId="0" fontId="1" fillId="0" borderId="11" xfId="54" applyFill="1"/>
    <xf numFmtId="49" fontId="27" fillId="0" borderId="11" xfId="95" applyBorder="1">
      <alignment horizontal="left" indent="1"/>
    </xf>
    <xf numFmtId="0" fontId="0" fillId="0" borderId="11" xfId="0" applyBorder="1"/>
    <xf numFmtId="49" fontId="27" fillId="0" borderId="11" xfId="95" quotePrefix="1" applyBorder="1">
      <alignment horizontal="left" indent="1"/>
    </xf>
    <xf numFmtId="0" fontId="1" fillId="0" borderId="11" xfId="54" applyFill="1"/>
    <xf numFmtId="49" fontId="27" fillId="32" borderId="0" xfId="95" applyFill="1">
      <alignment horizontal="left" indent="1"/>
    </xf>
    <xf numFmtId="183" fontId="0" fillId="0" borderId="11" xfId="33610" applyFont="1" applyFill="1" applyBorder="1" applyAlignment="1" applyProtection="1"/>
    <xf numFmtId="183" fontId="0" fillId="32" borderId="11" xfId="33610" applyFont="1" applyFill="1" applyBorder="1" applyAlignment="1" applyProtection="1"/>
    <xf numFmtId="183" fontId="1" fillId="32" borderId="11" xfId="33610" applyFont="1" applyFill="1" applyBorder="1" applyAlignment="1" applyProtection="1"/>
    <xf numFmtId="183" fontId="1" fillId="0" borderId="11" xfId="33610" applyFont="1" applyFill="1" applyBorder="1" applyAlignment="1" applyProtection="1">
      <alignment horizontal="center"/>
    </xf>
    <xf numFmtId="183" fontId="22" fillId="0" borderId="11" xfId="55" applyNumberFormat="1" applyFill="1" applyAlignment="1">
      <alignment horizontal="center"/>
    </xf>
    <xf numFmtId="180" fontId="12" fillId="0" borderId="0" xfId="52" applyNumberFormat="1" applyFont="1" applyProtection="1"/>
    <xf numFmtId="180" fontId="12" fillId="0" borderId="0" xfId="52" applyNumberFormat="1" applyFont="1" applyBorder="1" applyProtection="1"/>
    <xf numFmtId="0" fontId="1" fillId="0" borderId="11" xfId="54" applyFill="1"/>
    <xf numFmtId="167" fontId="0" fillId="0" borderId="26" xfId="97" applyNumberFormat="1" applyFont="1" applyFill="1" applyBorder="1"/>
    <xf numFmtId="0" fontId="1" fillId="0" borderId="11" xfId="54" applyFill="1"/>
    <xf numFmtId="49" fontId="16" fillId="0" borderId="0" xfId="33605" applyAlignment="1">
      <alignment horizontal="center"/>
    </xf>
    <xf numFmtId="0" fontId="1" fillId="0" borderId="11" xfId="54" applyFill="1"/>
    <xf numFmtId="0" fontId="1" fillId="0" borderId="11" xfId="54" applyFill="1"/>
    <xf numFmtId="0" fontId="1" fillId="0" borderId="11" xfId="54" applyFill="1"/>
    <xf numFmtId="0" fontId="1" fillId="0" borderId="11" xfId="54" applyFill="1"/>
    <xf numFmtId="164" fontId="1" fillId="0" borderId="11" xfId="46" applyFont="1" applyFill="1" applyBorder="1" applyAlignment="1" applyProtection="1"/>
    <xf numFmtId="170" fontId="1" fillId="0" borderId="23" xfId="33608" applyNumberFormat="1" applyFont="1" applyFill="1" applyProtection="1"/>
    <xf numFmtId="0" fontId="1" fillId="0" borderId="11" xfId="54" applyFill="1"/>
    <xf numFmtId="0" fontId="1" fillId="0" borderId="11" xfId="54" applyFill="1"/>
    <xf numFmtId="0" fontId="1" fillId="0" borderId="11" xfId="54" applyFill="1"/>
    <xf numFmtId="0" fontId="1" fillId="0" borderId="11" xfId="54" applyFill="1"/>
    <xf numFmtId="0" fontId="1" fillId="0" borderId="11" xfId="54" applyFill="1"/>
    <xf numFmtId="0" fontId="31" fillId="0" borderId="25" xfId="0" applyFont="1" applyBorder="1" applyAlignment="1">
      <alignment horizontal="right"/>
    </xf>
    <xf numFmtId="167" fontId="22" fillId="32" borderId="11" xfId="55" applyNumberFormat="1" applyFill="1" applyAlignment="1"/>
    <xf numFmtId="170" fontId="0" fillId="0" borderId="23" xfId="33608" applyNumberFormat="1" applyFont="1" applyFill="1" applyAlignment="1"/>
    <xf numFmtId="170" fontId="0" fillId="0" borderId="11" xfId="33608" applyNumberFormat="1" applyFont="1" applyFill="1" applyBorder="1" applyAlignment="1"/>
    <xf numFmtId="164" fontId="1" fillId="0" borderId="11" xfId="54" applyNumberFormat="1" applyFill="1" applyAlignment="1">
      <alignment horizontal="left" indent="1"/>
    </xf>
    <xf numFmtId="0" fontId="1" fillId="0" borderId="11" xfId="54" applyFill="1"/>
    <xf numFmtId="0" fontId="1" fillId="0" borderId="11" xfId="54" applyFill="1"/>
    <xf numFmtId="184" fontId="0" fillId="0" borderId="23" xfId="33604" applyNumberFormat="1" applyFont="1" applyFill="1" applyBorder="1" applyAlignment="1"/>
    <xf numFmtId="164" fontId="1" fillId="0" borderId="0" xfId="54" applyNumberFormat="1" applyFill="1" applyBorder="1" applyAlignment="1"/>
    <xf numFmtId="49" fontId="17" fillId="0" borderId="0" xfId="49" quotePrefix="1"/>
    <xf numFmtId="0" fontId="32" fillId="0" borderId="11" xfId="55" applyNumberFormat="1" applyFont="1" applyFill="1"/>
    <xf numFmtId="180" fontId="32" fillId="0" borderId="11" xfId="101" applyFont="1" applyFill="1" applyBorder="1" applyProtection="1"/>
    <xf numFmtId="170" fontId="32" fillId="0" borderId="11" xfId="94" applyFont="1" applyFill="1" applyBorder="1" applyProtection="1"/>
    <xf numFmtId="170" fontId="22" fillId="0" borderId="11" xfId="55" applyNumberFormat="1" applyFill="1"/>
    <xf numFmtId="170" fontId="22" fillId="32" borderId="11" xfId="55" applyNumberFormat="1" applyFill="1"/>
    <xf numFmtId="0" fontId="21" fillId="34" borderId="11" xfId="50" applyFill="1" applyBorder="1">
      <alignment horizontal="centerContinuous" wrapText="1"/>
    </xf>
    <xf numFmtId="0" fontId="20" fillId="34" borderId="11" xfId="53" applyFill="1" applyBorder="1">
      <protection locked="0"/>
    </xf>
    <xf numFmtId="0" fontId="1" fillId="0" borderId="11" xfId="54" applyFill="1"/>
    <xf numFmtId="49" fontId="18" fillId="0" borderId="0" xfId="8" applyFill="1">
      <alignment horizontal="left"/>
    </xf>
    <xf numFmtId="0" fontId="1" fillId="0" borderId="11" xfId="54" applyFill="1"/>
    <xf numFmtId="49" fontId="27" fillId="0" borderId="0" xfId="95" applyProtection="1">
      <alignment horizontal="left" indent="1"/>
    </xf>
    <xf numFmtId="0" fontId="1" fillId="0" borderId="11" xfId="54" applyFill="1"/>
    <xf numFmtId="0" fontId="1" fillId="0" borderId="11" xfId="54" applyFill="1"/>
    <xf numFmtId="0" fontId="21" fillId="0" borderId="11" xfId="50" applyFill="1" applyAlignment="1">
      <alignment horizontal="centerContinuous" wrapText="1"/>
    </xf>
    <xf numFmtId="0" fontId="1" fillId="0" borderId="11" xfId="54" applyFill="1" applyAlignment="1">
      <alignment horizontal="left"/>
    </xf>
    <xf numFmtId="0" fontId="22" fillId="0" borderId="11" xfId="55" applyNumberFormat="1" applyFill="1" applyAlignment="1">
      <alignment horizontal="left"/>
    </xf>
    <xf numFmtId="49" fontId="0" fillId="36" borderId="27" xfId="0" applyNumberFormat="1" applyFill="1" applyBorder="1"/>
    <xf numFmtId="0" fontId="19" fillId="36" borderId="28" xfId="47" applyFill="1" applyBorder="1" applyAlignment="1" applyProtection="1"/>
    <xf numFmtId="0" fontId="21" fillId="0" borderId="11" xfId="50" applyNumberFormat="1" applyFill="1">
      <alignment horizontal="centerContinuous" wrapText="1"/>
    </xf>
    <xf numFmtId="0" fontId="22" fillId="0" borderId="11" xfId="55" applyNumberFormat="1" applyFill="1" applyAlignment="1"/>
    <xf numFmtId="169" fontId="22" fillId="0" borderId="11" xfId="55" applyNumberFormat="1" applyFill="1" applyAlignment="1"/>
    <xf numFmtId="0" fontId="34" fillId="0" borderId="0" xfId="0" quotePrefix="1" applyFont="1"/>
    <xf numFmtId="183" fontId="1" fillId="0" borderId="11" xfId="33610" applyFont="1" applyFill="1" applyBorder="1" applyAlignment="1" applyProtection="1"/>
    <xf numFmtId="183" fontId="20" fillId="0" borderId="11" xfId="53" applyNumberFormat="1" applyFill="1" applyAlignment="1">
      <alignment vertical="top"/>
      <protection locked="0"/>
    </xf>
    <xf numFmtId="0" fontId="20" fillId="0" borderId="11" xfId="53" applyFill="1" applyAlignment="1">
      <alignment vertical="top" wrapText="1"/>
      <protection locked="0"/>
    </xf>
    <xf numFmtId="0" fontId="13" fillId="32" borderId="29" xfId="0" applyFont="1" applyFill="1" applyBorder="1" applyAlignment="1">
      <alignment horizontal="centerContinuous"/>
    </xf>
    <xf numFmtId="0" fontId="12" fillId="32" borderId="30" xfId="0" applyFont="1" applyFill="1" applyBorder="1" applyAlignment="1">
      <alignment horizontal="centerContinuous"/>
    </xf>
    <xf numFmtId="0" fontId="12" fillId="32" borderId="31" xfId="0" applyFont="1" applyFill="1" applyBorder="1" applyAlignment="1">
      <alignment horizontal="centerContinuous"/>
    </xf>
    <xf numFmtId="0" fontId="0" fillId="0" borderId="0" xfId="0" applyAlignment="1">
      <alignment wrapText="1"/>
    </xf>
    <xf numFmtId="0" fontId="0" fillId="0" borderId="0" xfId="0" applyAlignment="1"/>
    <xf numFmtId="164" fontId="20" fillId="0" borderId="11" xfId="53" applyNumberFormat="1" applyFill="1" applyAlignment="1">
      <alignment horizontal="left"/>
      <protection locked="0"/>
    </xf>
    <xf numFmtId="0" fontId="20" fillId="0" borderId="11" xfId="53" applyFill="1" applyAlignment="1">
      <alignment horizontal="left"/>
      <protection locked="0"/>
    </xf>
    <xf numFmtId="0" fontId="20" fillId="0" borderId="11" xfId="53" applyFill="1" applyAlignment="1">
      <protection locked="0"/>
    </xf>
    <xf numFmtId="0" fontId="31" fillId="0" borderId="25" xfId="0" applyFont="1" applyBorder="1" applyAlignment="1">
      <alignment horizontal="left" wrapText="1"/>
    </xf>
  </cellXfs>
  <cellStyles count="33613">
    <cellStyle name="20% - Accent1" xfId="23" builtinId="30" hidden="1"/>
    <cellStyle name="20% - Accent1" xfId="67" builtinId="30" hidden="1" customBuiltin="1"/>
    <cellStyle name="20% - Accent1 10" xfId="166" hidden="1"/>
    <cellStyle name="20% - Accent1 10" xfId="246" hidden="1"/>
    <cellStyle name="20% - Accent1 10" xfId="342" hidden="1"/>
    <cellStyle name="20% - Accent1 10" xfId="676" hidden="1"/>
    <cellStyle name="20% - Accent1 10" xfId="2410" hidden="1"/>
    <cellStyle name="20% - Accent1 10" xfId="2561" hidden="1"/>
    <cellStyle name="20% - Accent1 10" xfId="2749" hidden="1"/>
    <cellStyle name="20% - Accent1 10" xfId="2049" hidden="1"/>
    <cellStyle name="20% - Accent1 10" xfId="2069" hidden="1"/>
    <cellStyle name="20% - Accent1 10" xfId="1849" hidden="1"/>
    <cellStyle name="20% - Accent1 10" xfId="4344" hidden="1"/>
    <cellStyle name="20% - Accent1 10" xfId="4576" hidden="1"/>
    <cellStyle name="20% - Accent1 10" xfId="4738" hidden="1"/>
    <cellStyle name="20% - Accent1 10" xfId="3789" hidden="1"/>
    <cellStyle name="20% - Accent1 10" xfId="3119" hidden="1"/>
    <cellStyle name="20% - Accent1 10" xfId="1882" hidden="1"/>
    <cellStyle name="20% - Accent1 10" xfId="6353" hidden="1"/>
    <cellStyle name="20% - Accent1 10" xfId="6460" hidden="1"/>
    <cellStyle name="20% - Accent1 10" xfId="6657" hidden="1"/>
    <cellStyle name="20% - Accent1 10" xfId="7517" hidden="1"/>
    <cellStyle name="20% - Accent1 10" xfId="7667" hidden="1"/>
    <cellStyle name="20% - Accent1 10" xfId="7845" hidden="1"/>
    <cellStyle name="20% - Accent1 10" xfId="8760" hidden="1"/>
    <cellStyle name="20% - Accent1 10" xfId="8937" hidden="1"/>
    <cellStyle name="20% - Accent1 10" xfId="9857" hidden="1"/>
    <cellStyle name="20% - Accent1 10" xfId="9931" hidden="1"/>
    <cellStyle name="20% - Accent1 10" xfId="10007" hidden="1"/>
    <cellStyle name="20% - Accent1 10" xfId="10085" hidden="1"/>
    <cellStyle name="20% - Accent1 10" xfId="10670" hidden="1"/>
    <cellStyle name="20% - Accent1 10" xfId="10746" hidden="1"/>
    <cellStyle name="20% - Accent1 10" xfId="10825" hidden="1"/>
    <cellStyle name="20% - Accent1 10" xfId="10515" hidden="1"/>
    <cellStyle name="20% - Accent1 10" xfId="10531" hidden="1"/>
    <cellStyle name="20% - Accent1 10" xfId="10426" hidden="1"/>
    <cellStyle name="20% - Accent1 10" xfId="11265" hidden="1"/>
    <cellStyle name="20% - Accent1 10" xfId="11341" hidden="1"/>
    <cellStyle name="20% - Accent1 10" xfId="11419" hidden="1"/>
    <cellStyle name="20% - Accent1 10" xfId="11073" hidden="1"/>
    <cellStyle name="20% - Accent1 10" xfId="10931" hidden="1"/>
    <cellStyle name="20% - Accent1 10" xfId="10456" hidden="1"/>
    <cellStyle name="20% - Accent1 10" xfId="11797" hidden="1"/>
    <cellStyle name="20% - Accent1 10" xfId="11873" hidden="1"/>
    <cellStyle name="20% - Accent1 10" xfId="11951" hidden="1"/>
    <cellStyle name="20% - Accent1 10" xfId="12134" hidden="1"/>
    <cellStyle name="20% - Accent1 10" xfId="12210" hidden="1"/>
    <cellStyle name="20% - Accent1 10" xfId="12288" hidden="1"/>
    <cellStyle name="20% - Accent1 10" xfId="12471" hidden="1"/>
    <cellStyle name="20% - Accent1 10" xfId="12547" hidden="1"/>
    <cellStyle name="20% - Accent1 10" xfId="12649" hidden="1"/>
    <cellStyle name="20% - Accent1 10" xfId="12723" hidden="1"/>
    <cellStyle name="20% - Accent1 10" xfId="12799" hidden="1"/>
    <cellStyle name="20% - Accent1 10" xfId="12877" hidden="1"/>
    <cellStyle name="20% - Accent1 10" xfId="13462" hidden="1"/>
    <cellStyle name="20% - Accent1 10" xfId="13538" hidden="1"/>
    <cellStyle name="20% - Accent1 10" xfId="13617" hidden="1"/>
    <cellStyle name="20% - Accent1 10" xfId="13307" hidden="1"/>
    <cellStyle name="20% - Accent1 10" xfId="13323" hidden="1"/>
    <cellStyle name="20% - Accent1 10" xfId="13218" hidden="1"/>
    <cellStyle name="20% - Accent1 10" xfId="14057" hidden="1"/>
    <cellStyle name="20% - Accent1 10" xfId="14133" hidden="1"/>
    <cellStyle name="20% - Accent1 10" xfId="14211" hidden="1"/>
    <cellStyle name="20% - Accent1 10" xfId="13865" hidden="1"/>
    <cellStyle name="20% - Accent1 10" xfId="13723" hidden="1"/>
    <cellStyle name="20% - Accent1 10" xfId="13248" hidden="1"/>
    <cellStyle name="20% - Accent1 10" xfId="14589" hidden="1"/>
    <cellStyle name="20% - Accent1 10" xfId="14665" hidden="1"/>
    <cellStyle name="20% - Accent1 10" xfId="14743" hidden="1"/>
    <cellStyle name="20% - Accent1 10" xfId="14926" hidden="1"/>
    <cellStyle name="20% - Accent1 10" xfId="15002" hidden="1"/>
    <cellStyle name="20% - Accent1 10" xfId="15080" hidden="1"/>
    <cellStyle name="20% - Accent1 10" xfId="15263" hidden="1"/>
    <cellStyle name="20% - Accent1 10" xfId="15339" hidden="1"/>
    <cellStyle name="20% - Accent1 10" xfId="9598" hidden="1"/>
    <cellStyle name="20% - Accent1 10" xfId="9489" hidden="1"/>
    <cellStyle name="20% - Accent1 10" xfId="9370" hidden="1"/>
    <cellStyle name="20% - Accent1 10" xfId="9263" hidden="1"/>
    <cellStyle name="20% - Accent1 10" xfId="7001" hidden="1"/>
    <cellStyle name="20% - Accent1 10" xfId="6914" hidden="1"/>
    <cellStyle name="20% - Accent1 10" xfId="6820" hidden="1"/>
    <cellStyle name="20% - Accent1 10" xfId="7478" hidden="1"/>
    <cellStyle name="20% - Accent1 10" xfId="7432" hidden="1"/>
    <cellStyle name="20% - Accent1 10" xfId="7899" hidden="1"/>
    <cellStyle name="20% - Accent1 10" xfId="4863" hidden="1"/>
    <cellStyle name="20% - Accent1 10" xfId="4694" hidden="1"/>
    <cellStyle name="20% - Accent1 10" xfId="4474" hidden="1"/>
    <cellStyle name="20% - Accent1 10" xfId="5734" hidden="1"/>
    <cellStyle name="20% - Accent1 10" xfId="6351" hidden="1"/>
    <cellStyle name="20% - Accent1 10" xfId="7775" hidden="1"/>
    <cellStyle name="20% - Accent1 10" xfId="2746" hidden="1"/>
    <cellStyle name="20% - Accent1 10" xfId="2524" hidden="1"/>
    <cellStyle name="20% - Accent1 10" xfId="2351" hidden="1"/>
    <cellStyle name="20% - Accent1 10" xfId="1390" hidden="1"/>
    <cellStyle name="20% - Accent1 10" xfId="1202" hidden="1"/>
    <cellStyle name="20% - Accent1 10" xfId="1052" hidden="1"/>
    <cellStyle name="20% - Accent1 10" xfId="15400" hidden="1"/>
    <cellStyle name="20% - Accent1 10" xfId="15512" hidden="1"/>
    <cellStyle name="20% - Accent1 10" xfId="16198" hidden="1"/>
    <cellStyle name="20% - Accent1 10" xfId="16272" hidden="1"/>
    <cellStyle name="20% - Accent1 10" xfId="16348" hidden="1"/>
    <cellStyle name="20% - Accent1 10" xfId="16426" hidden="1"/>
    <cellStyle name="20% - Accent1 10" xfId="17011" hidden="1"/>
    <cellStyle name="20% - Accent1 10" xfId="17087" hidden="1"/>
    <cellStyle name="20% - Accent1 10" xfId="17166" hidden="1"/>
    <cellStyle name="20% - Accent1 10" xfId="16856" hidden="1"/>
    <cellStyle name="20% - Accent1 10" xfId="16872" hidden="1"/>
    <cellStyle name="20% - Accent1 10" xfId="16767" hidden="1"/>
    <cellStyle name="20% - Accent1 10" xfId="17606" hidden="1"/>
    <cellStyle name="20% - Accent1 10" xfId="17682" hidden="1"/>
    <cellStyle name="20% - Accent1 10" xfId="17760" hidden="1"/>
    <cellStyle name="20% - Accent1 10" xfId="17414" hidden="1"/>
    <cellStyle name="20% - Accent1 10" xfId="17272" hidden="1"/>
    <cellStyle name="20% - Accent1 10" xfId="16797" hidden="1"/>
    <cellStyle name="20% - Accent1 10" xfId="18138" hidden="1"/>
    <cellStyle name="20% - Accent1 10" xfId="18214" hidden="1"/>
    <cellStyle name="20% - Accent1 10" xfId="18292" hidden="1"/>
    <cellStyle name="20% - Accent1 10" xfId="18475" hidden="1"/>
    <cellStyle name="20% - Accent1 10" xfId="18551" hidden="1"/>
    <cellStyle name="20% - Accent1 10" xfId="18629" hidden="1"/>
    <cellStyle name="20% - Accent1 10" xfId="18812" hidden="1"/>
    <cellStyle name="20% - Accent1 10" xfId="18888" hidden="1"/>
    <cellStyle name="20% - Accent1 10" xfId="18990" hidden="1"/>
    <cellStyle name="20% - Accent1 10" xfId="19064" hidden="1"/>
    <cellStyle name="20% - Accent1 10" xfId="19140" hidden="1"/>
    <cellStyle name="20% - Accent1 10" xfId="19218" hidden="1"/>
    <cellStyle name="20% - Accent1 10" xfId="19803" hidden="1"/>
    <cellStyle name="20% - Accent1 10" xfId="19879" hidden="1"/>
    <cellStyle name="20% - Accent1 10" xfId="19958" hidden="1"/>
    <cellStyle name="20% - Accent1 10" xfId="19648" hidden="1"/>
    <cellStyle name="20% - Accent1 10" xfId="19664" hidden="1"/>
    <cellStyle name="20% - Accent1 10" xfId="19559" hidden="1"/>
    <cellStyle name="20% - Accent1 10" xfId="20398" hidden="1"/>
    <cellStyle name="20% - Accent1 10" xfId="20474" hidden="1"/>
    <cellStyle name="20% - Accent1 10" xfId="20552" hidden="1"/>
    <cellStyle name="20% - Accent1 10" xfId="20206" hidden="1"/>
    <cellStyle name="20% - Accent1 10" xfId="20064" hidden="1"/>
    <cellStyle name="20% - Accent1 10" xfId="19589" hidden="1"/>
    <cellStyle name="20% - Accent1 10" xfId="20930" hidden="1"/>
    <cellStyle name="20% - Accent1 10" xfId="21006" hidden="1"/>
    <cellStyle name="20% - Accent1 10" xfId="21084" hidden="1"/>
    <cellStyle name="20% - Accent1 10" xfId="21267" hidden="1"/>
    <cellStyle name="20% - Accent1 10" xfId="21343" hidden="1"/>
    <cellStyle name="20% - Accent1 10" xfId="21421" hidden="1"/>
    <cellStyle name="20% - Accent1 10" xfId="21604" hidden="1"/>
    <cellStyle name="20% - Accent1 10" xfId="21680" hidden="1"/>
    <cellStyle name="20% - Accent1 10" xfId="15993" hidden="1"/>
    <cellStyle name="20% - Accent1 10" xfId="15919" hidden="1"/>
    <cellStyle name="20% - Accent1 10" xfId="15839" hidden="1"/>
    <cellStyle name="20% - Accent1 10" xfId="15756" hidden="1"/>
    <cellStyle name="20% - Accent1 10" xfId="7981" hidden="1"/>
    <cellStyle name="20% - Accent1 10" xfId="7781" hidden="1"/>
    <cellStyle name="20% - Accent1 10" xfId="7514" hidden="1"/>
    <cellStyle name="20% - Accent1 10" xfId="8424" hidden="1"/>
    <cellStyle name="20% - Accent1 10" xfId="8379" hidden="1"/>
    <cellStyle name="20% - Accent1 10" xfId="8736" hidden="1"/>
    <cellStyle name="20% - Accent1 10" xfId="5303" hidden="1"/>
    <cellStyle name="20% - Accent1 10" xfId="5101" hidden="1"/>
    <cellStyle name="20% - Accent1 10" xfId="4997" hidden="1"/>
    <cellStyle name="20% - Accent1 10" xfId="6231" hidden="1"/>
    <cellStyle name="20% - Accent1 10" xfId="7042" hidden="1"/>
    <cellStyle name="20% - Accent1 10" xfId="8668" hidden="1"/>
    <cellStyle name="20% - Accent1 10" xfId="3054" hidden="1"/>
    <cellStyle name="20% - Accent1 10" xfId="2912" hidden="1"/>
    <cellStyle name="20% - Accent1 10" xfId="2717" hidden="1"/>
    <cellStyle name="20% - Accent1 10" xfId="1543" hidden="1"/>
    <cellStyle name="20% - Accent1 10" xfId="1376" hidden="1"/>
    <cellStyle name="20% - Accent1 10" xfId="1123" hidden="1"/>
    <cellStyle name="20% - Accent1 10" xfId="21740" hidden="1"/>
    <cellStyle name="20% - Accent1 10" xfId="21819" hidden="1"/>
    <cellStyle name="20% - Accent1 10" xfId="22349" hidden="1"/>
    <cellStyle name="20% - Accent1 10" xfId="22423" hidden="1"/>
    <cellStyle name="20% - Accent1 10" xfId="22499" hidden="1"/>
    <cellStyle name="20% - Accent1 10" xfId="22577" hidden="1"/>
    <cellStyle name="20% - Accent1 10" xfId="23162" hidden="1"/>
    <cellStyle name="20% - Accent1 10" xfId="23238" hidden="1"/>
    <cellStyle name="20% - Accent1 10" xfId="23317" hidden="1"/>
    <cellStyle name="20% - Accent1 10" xfId="23007" hidden="1"/>
    <cellStyle name="20% - Accent1 10" xfId="23023" hidden="1"/>
    <cellStyle name="20% - Accent1 10" xfId="22918" hidden="1"/>
    <cellStyle name="20% - Accent1 10" xfId="23757" hidden="1"/>
    <cellStyle name="20% - Accent1 10" xfId="23833" hidden="1"/>
    <cellStyle name="20% - Accent1 10" xfId="23911" hidden="1"/>
    <cellStyle name="20% - Accent1 10" xfId="23565" hidden="1"/>
    <cellStyle name="20% - Accent1 10" xfId="23423" hidden="1"/>
    <cellStyle name="20% - Accent1 10" xfId="22948" hidden="1"/>
    <cellStyle name="20% - Accent1 10" xfId="24289" hidden="1"/>
    <cellStyle name="20% - Accent1 10" xfId="24365" hidden="1"/>
    <cellStyle name="20% - Accent1 10" xfId="24443" hidden="1"/>
    <cellStyle name="20% - Accent1 10" xfId="24626" hidden="1"/>
    <cellStyle name="20% - Accent1 10" xfId="24702" hidden="1"/>
    <cellStyle name="20% - Accent1 10" xfId="24780" hidden="1"/>
    <cellStyle name="20% - Accent1 10" xfId="24963" hidden="1"/>
    <cellStyle name="20% - Accent1 10" xfId="25039" hidden="1"/>
    <cellStyle name="20% - Accent1 10" xfId="25141" hidden="1"/>
    <cellStyle name="20% - Accent1 10" xfId="25215" hidden="1"/>
    <cellStyle name="20% - Accent1 10" xfId="25291" hidden="1"/>
    <cellStyle name="20% - Accent1 10" xfId="25369" hidden="1"/>
    <cellStyle name="20% - Accent1 10" xfId="25954" hidden="1"/>
    <cellStyle name="20% - Accent1 10" xfId="26030" hidden="1"/>
    <cellStyle name="20% - Accent1 10" xfId="26109" hidden="1"/>
    <cellStyle name="20% - Accent1 10" xfId="25799" hidden="1"/>
    <cellStyle name="20% - Accent1 10" xfId="25815" hidden="1"/>
    <cellStyle name="20% - Accent1 10" xfId="25710" hidden="1"/>
    <cellStyle name="20% - Accent1 10" xfId="26549" hidden="1"/>
    <cellStyle name="20% - Accent1 10" xfId="26625" hidden="1"/>
    <cellStyle name="20% - Accent1 10" xfId="26703" hidden="1"/>
    <cellStyle name="20% - Accent1 10" xfId="26357" hidden="1"/>
    <cellStyle name="20% - Accent1 10" xfId="26215" hidden="1"/>
    <cellStyle name="20% - Accent1 10" xfId="25740" hidden="1"/>
    <cellStyle name="20% - Accent1 10" xfId="27081" hidden="1"/>
    <cellStyle name="20% - Accent1 10" xfId="27157" hidden="1"/>
    <cellStyle name="20% - Accent1 10" xfId="27235" hidden="1"/>
    <cellStyle name="20% - Accent1 10" xfId="27418" hidden="1"/>
    <cellStyle name="20% - Accent1 10" xfId="27494" hidden="1"/>
    <cellStyle name="20% - Accent1 10" xfId="27572" hidden="1"/>
    <cellStyle name="20% - Accent1 10" xfId="27755" hidden="1"/>
    <cellStyle name="20% - Accent1 10" xfId="27831" hidden="1"/>
    <cellStyle name="20% - Accent1 10" xfId="22246" hidden="1"/>
    <cellStyle name="20% - Accent1 10" xfId="22172" hidden="1"/>
    <cellStyle name="20% - Accent1 10" xfId="22092" hidden="1"/>
    <cellStyle name="20% - Accent1 10" xfId="22009" hidden="1"/>
    <cellStyle name="20% - Accent1 10" xfId="8886" hidden="1"/>
    <cellStyle name="20% - Accent1 10" xfId="8680" hidden="1"/>
    <cellStyle name="20% - Accent1 10" xfId="8447" hidden="1"/>
    <cellStyle name="20% - Accent1 10" xfId="9470" hidden="1"/>
    <cellStyle name="20% - Accent1 10" xfId="9410" hidden="1"/>
    <cellStyle name="20% - Accent1 10" xfId="9801" hidden="1"/>
    <cellStyle name="20% - Accent1 10" xfId="5858" hidden="1"/>
    <cellStyle name="20% - Accent1 10" xfId="5612" hidden="1"/>
    <cellStyle name="20% - Accent1 10" xfId="5513" hidden="1"/>
    <cellStyle name="20% - Accent1 10" xfId="6762" hidden="1"/>
    <cellStyle name="20% - Accent1 10" xfId="8046" hidden="1"/>
    <cellStyle name="20% - Accent1 10" xfId="9760" hidden="1"/>
    <cellStyle name="20% - Accent1 10" xfId="3375" hidden="1"/>
    <cellStyle name="20% - Accent1 10" xfId="3273" hidden="1"/>
    <cellStyle name="20% - Accent1 10" xfId="3047" hidden="1"/>
    <cellStyle name="20% - Accent1 10" xfId="1669" hidden="1"/>
    <cellStyle name="20% - Accent1 10" xfId="1544" hidden="1"/>
    <cellStyle name="20% - Accent1 10" xfId="1267" hidden="1"/>
    <cellStyle name="20% - Accent1 10" xfId="27890" hidden="1"/>
    <cellStyle name="20% - Accent1 10" xfId="27966" hidden="1"/>
    <cellStyle name="20% - Accent1 10" xfId="28068" hidden="1"/>
    <cellStyle name="20% - Accent1 10" xfId="28142" hidden="1"/>
    <cellStyle name="20% - Accent1 10" xfId="28218" hidden="1"/>
    <cellStyle name="20% - Accent1 10" xfId="28296" hidden="1"/>
    <cellStyle name="20% - Accent1 10" xfId="28881" hidden="1"/>
    <cellStyle name="20% - Accent1 10" xfId="28957" hidden="1"/>
    <cellStyle name="20% - Accent1 10" xfId="29036" hidden="1"/>
    <cellStyle name="20% - Accent1 10" xfId="28726" hidden="1"/>
    <cellStyle name="20% - Accent1 10" xfId="28742" hidden="1"/>
    <cellStyle name="20% - Accent1 10" xfId="28637" hidden="1"/>
    <cellStyle name="20% - Accent1 10" xfId="29476" hidden="1"/>
    <cellStyle name="20% - Accent1 10" xfId="29552" hidden="1"/>
    <cellStyle name="20% - Accent1 10" xfId="29630" hidden="1"/>
    <cellStyle name="20% - Accent1 10" xfId="29284" hidden="1"/>
    <cellStyle name="20% - Accent1 10" xfId="29142" hidden="1"/>
    <cellStyle name="20% - Accent1 10" xfId="28667" hidden="1"/>
    <cellStyle name="20% - Accent1 10" xfId="30008" hidden="1"/>
    <cellStyle name="20% - Accent1 10" xfId="30084" hidden="1"/>
    <cellStyle name="20% - Accent1 10" xfId="30162" hidden="1"/>
    <cellStyle name="20% - Accent1 10" xfId="30345" hidden="1"/>
    <cellStyle name="20% - Accent1 10" xfId="30421" hidden="1"/>
    <cellStyle name="20% - Accent1 10" xfId="30499" hidden="1"/>
    <cellStyle name="20% - Accent1 10" xfId="30682" hidden="1"/>
    <cellStyle name="20% - Accent1 10" xfId="30758" hidden="1"/>
    <cellStyle name="20% - Accent1 10" xfId="30860" hidden="1"/>
    <cellStyle name="20% - Accent1 10" xfId="30934" hidden="1"/>
    <cellStyle name="20% - Accent1 10" xfId="31010" hidden="1"/>
    <cellStyle name="20% - Accent1 10" xfId="31088" hidden="1"/>
    <cellStyle name="20% - Accent1 10" xfId="31673" hidden="1"/>
    <cellStyle name="20% - Accent1 10" xfId="31749" hidden="1"/>
    <cellStyle name="20% - Accent1 10" xfId="31828" hidden="1"/>
    <cellStyle name="20% - Accent1 10" xfId="31518" hidden="1"/>
    <cellStyle name="20% - Accent1 10" xfId="31534" hidden="1"/>
    <cellStyle name="20% - Accent1 10" xfId="31429" hidden="1"/>
    <cellStyle name="20% - Accent1 10" xfId="32268" hidden="1"/>
    <cellStyle name="20% - Accent1 10" xfId="32344" hidden="1"/>
    <cellStyle name="20% - Accent1 10" xfId="32422" hidden="1"/>
    <cellStyle name="20% - Accent1 10" xfId="32076" hidden="1"/>
    <cellStyle name="20% - Accent1 10" xfId="31934" hidden="1"/>
    <cellStyle name="20% - Accent1 10" xfId="31459" hidden="1"/>
    <cellStyle name="20% - Accent1 10" xfId="32800" hidden="1"/>
    <cellStyle name="20% - Accent1 10" xfId="32876" hidden="1"/>
    <cellStyle name="20% - Accent1 10" xfId="32954" hidden="1"/>
    <cellStyle name="20% - Accent1 10" xfId="33137" hidden="1"/>
    <cellStyle name="20% - Accent1 10" xfId="33213" hidden="1"/>
    <cellStyle name="20% - Accent1 10" xfId="33291" hidden="1"/>
    <cellStyle name="20% - Accent1 10" xfId="33474" hidden="1"/>
    <cellStyle name="20% - Accent1 10" xfId="33550" hidden="1"/>
    <cellStyle name="20% - Accent1 11" xfId="179" hidden="1"/>
    <cellStyle name="20% - Accent1 11" xfId="259" hidden="1"/>
    <cellStyle name="20% - Accent1 11" xfId="378" hidden="1"/>
    <cellStyle name="20% - Accent1 11" xfId="707" hidden="1"/>
    <cellStyle name="20% - Accent1 11" xfId="2425" hidden="1"/>
    <cellStyle name="20% - Accent1 11" xfId="2578" hidden="1"/>
    <cellStyle name="20% - Accent1 11" xfId="2777" hidden="1"/>
    <cellStyle name="20% - Accent1 11" xfId="3777" hidden="1"/>
    <cellStyle name="20% - Accent1 11" xfId="2063" hidden="1"/>
    <cellStyle name="20% - Accent1 11" xfId="2253" hidden="1"/>
    <cellStyle name="20% - Accent1 11" xfId="4380" hidden="1"/>
    <cellStyle name="20% - Accent1 11" xfId="4593" hidden="1"/>
    <cellStyle name="20% - Accent1 11" xfId="4757" hidden="1"/>
    <cellStyle name="20% - Accent1 11" xfId="5780" hidden="1"/>
    <cellStyle name="20% - Accent1 11" xfId="2283" hidden="1"/>
    <cellStyle name="20% - Accent1 11" xfId="1721" hidden="1"/>
    <cellStyle name="20% - Accent1 11" xfId="6368" hidden="1"/>
    <cellStyle name="20% - Accent1 11" xfId="6474" hidden="1"/>
    <cellStyle name="20% - Accent1 11" xfId="6671" hidden="1"/>
    <cellStyle name="20% - Accent1 11" xfId="7541" hidden="1"/>
    <cellStyle name="20% - Accent1 11" xfId="7686" hidden="1"/>
    <cellStyle name="20% - Accent1 11" xfId="7865" hidden="1"/>
    <cellStyle name="20% - Accent1 11" xfId="8780" hidden="1"/>
    <cellStyle name="20% - Accent1 11" xfId="8954" hidden="1"/>
    <cellStyle name="20% - Accent1 11" xfId="9870" hidden="1"/>
    <cellStyle name="20% - Accent1 11" xfId="9944" hidden="1"/>
    <cellStyle name="20% - Accent1 11" xfId="10020" hidden="1"/>
    <cellStyle name="20% - Accent1 11" xfId="10098" hidden="1"/>
    <cellStyle name="20% - Accent1 11" xfId="10683" hidden="1"/>
    <cellStyle name="20% - Accent1 11" xfId="10759" hidden="1"/>
    <cellStyle name="20% - Accent1 11" xfId="10838" hidden="1"/>
    <cellStyle name="20% - Accent1 11" xfId="11065" hidden="1"/>
    <cellStyle name="20% - Accent1 11" xfId="10526" hidden="1"/>
    <cellStyle name="20% - Accent1 11" xfId="10598" hidden="1"/>
    <cellStyle name="20% - Accent1 11" xfId="11278" hidden="1"/>
    <cellStyle name="20% - Accent1 11" xfId="11354" hidden="1"/>
    <cellStyle name="20% - Accent1 11" xfId="11432" hidden="1"/>
    <cellStyle name="20% - Accent1 11" xfId="11629" hidden="1"/>
    <cellStyle name="20% - Accent1 11" xfId="10621" hidden="1"/>
    <cellStyle name="20% - Accent1 11" xfId="10398" hidden="1"/>
    <cellStyle name="20% - Accent1 11" xfId="11810" hidden="1"/>
    <cellStyle name="20% - Accent1 11" xfId="11886" hidden="1"/>
    <cellStyle name="20% - Accent1 11" xfId="11964" hidden="1"/>
    <cellStyle name="20% - Accent1 11" xfId="12147" hidden="1"/>
    <cellStyle name="20% - Accent1 11" xfId="12223" hidden="1"/>
    <cellStyle name="20% - Accent1 11" xfId="12301" hidden="1"/>
    <cellStyle name="20% - Accent1 11" xfId="12484" hidden="1"/>
    <cellStyle name="20% - Accent1 11" xfId="12560" hidden="1"/>
    <cellStyle name="20% - Accent1 11" xfId="12662" hidden="1"/>
    <cellStyle name="20% - Accent1 11" xfId="12736" hidden="1"/>
    <cellStyle name="20% - Accent1 11" xfId="12812" hidden="1"/>
    <cellStyle name="20% - Accent1 11" xfId="12890" hidden="1"/>
    <cellStyle name="20% - Accent1 11" xfId="13475" hidden="1"/>
    <cellStyle name="20% - Accent1 11" xfId="13551" hidden="1"/>
    <cellStyle name="20% - Accent1 11" xfId="13630" hidden="1"/>
    <cellStyle name="20% - Accent1 11" xfId="13857" hidden="1"/>
    <cellStyle name="20% - Accent1 11" xfId="13318" hidden="1"/>
    <cellStyle name="20% - Accent1 11" xfId="13390" hidden="1"/>
    <cellStyle name="20% - Accent1 11" xfId="14070" hidden="1"/>
    <cellStyle name="20% - Accent1 11" xfId="14146" hidden="1"/>
    <cellStyle name="20% - Accent1 11" xfId="14224" hidden="1"/>
    <cellStyle name="20% - Accent1 11" xfId="14421" hidden="1"/>
    <cellStyle name="20% - Accent1 11" xfId="13413" hidden="1"/>
    <cellStyle name="20% - Accent1 11" xfId="13190" hidden="1"/>
    <cellStyle name="20% - Accent1 11" xfId="14602" hidden="1"/>
    <cellStyle name="20% - Accent1 11" xfId="14678" hidden="1"/>
    <cellStyle name="20% - Accent1 11" xfId="14756" hidden="1"/>
    <cellStyle name="20% - Accent1 11" xfId="14939" hidden="1"/>
    <cellStyle name="20% - Accent1 11" xfId="15015" hidden="1"/>
    <cellStyle name="20% - Accent1 11" xfId="15093" hidden="1"/>
    <cellStyle name="20% - Accent1 11" xfId="15276" hidden="1"/>
    <cellStyle name="20% - Accent1 11" xfId="15352" hidden="1"/>
    <cellStyle name="20% - Accent1 11" xfId="9582" hidden="1"/>
    <cellStyle name="20% - Accent1 11" xfId="9467" hidden="1"/>
    <cellStyle name="20% - Accent1 11" xfId="9357" hidden="1"/>
    <cellStyle name="20% - Accent1 11" xfId="9242" hidden="1"/>
    <cellStyle name="20% - Accent1 11" xfId="6987" hidden="1"/>
    <cellStyle name="20% - Accent1 11" xfId="6900" hidden="1"/>
    <cellStyle name="20% - Accent1 11" xfId="6807" hidden="1"/>
    <cellStyle name="20% - Accent1 11" xfId="5782" hidden="1"/>
    <cellStyle name="20% - Accent1 11" xfId="7445" hidden="1"/>
    <cellStyle name="20% - Accent1 11" xfId="7243" hidden="1"/>
    <cellStyle name="20% - Accent1 11" xfId="4842" hidden="1"/>
    <cellStyle name="20% - Accent1 11" xfId="4675" hidden="1"/>
    <cellStyle name="20% - Accent1 11" xfId="4425" hidden="1"/>
    <cellStyle name="20% - Accent1 11" xfId="3655" hidden="1"/>
    <cellStyle name="20% - Accent1 11" xfId="7183" hidden="1"/>
    <cellStyle name="20% - Accent1 11" xfId="8002" hidden="1"/>
    <cellStyle name="20% - Accent1 11" xfId="2710" hidden="1"/>
    <cellStyle name="20% - Accent1 11" xfId="2507" hidden="1"/>
    <cellStyle name="20% - Accent1 11" xfId="2331" hidden="1"/>
    <cellStyle name="20% - Accent1 11" xfId="1367" hidden="1"/>
    <cellStyle name="20% - Accent1 11" xfId="1183" hidden="1"/>
    <cellStyle name="20% - Accent1 11" xfId="939" hidden="1"/>
    <cellStyle name="20% - Accent1 11" xfId="15418" hidden="1"/>
    <cellStyle name="20% - Accent1 11" xfId="15526" hidden="1"/>
    <cellStyle name="20% - Accent1 11" xfId="16211" hidden="1"/>
    <cellStyle name="20% - Accent1 11" xfId="16285" hidden="1"/>
    <cellStyle name="20% - Accent1 11" xfId="16361" hidden="1"/>
    <cellStyle name="20% - Accent1 11" xfId="16439" hidden="1"/>
    <cellStyle name="20% - Accent1 11" xfId="17024" hidden="1"/>
    <cellStyle name="20% - Accent1 11" xfId="17100" hidden="1"/>
    <cellStyle name="20% - Accent1 11" xfId="17179" hidden="1"/>
    <cellStyle name="20% - Accent1 11" xfId="17406" hidden="1"/>
    <cellStyle name="20% - Accent1 11" xfId="16867" hidden="1"/>
    <cellStyle name="20% - Accent1 11" xfId="16939" hidden="1"/>
    <cellStyle name="20% - Accent1 11" xfId="17619" hidden="1"/>
    <cellStyle name="20% - Accent1 11" xfId="17695" hidden="1"/>
    <cellStyle name="20% - Accent1 11" xfId="17773" hidden="1"/>
    <cellStyle name="20% - Accent1 11" xfId="17970" hidden="1"/>
    <cellStyle name="20% - Accent1 11" xfId="16962" hidden="1"/>
    <cellStyle name="20% - Accent1 11" xfId="16739" hidden="1"/>
    <cellStyle name="20% - Accent1 11" xfId="18151" hidden="1"/>
    <cellStyle name="20% - Accent1 11" xfId="18227" hidden="1"/>
    <cellStyle name="20% - Accent1 11" xfId="18305" hidden="1"/>
    <cellStyle name="20% - Accent1 11" xfId="18488" hidden="1"/>
    <cellStyle name="20% - Accent1 11" xfId="18564" hidden="1"/>
    <cellStyle name="20% - Accent1 11" xfId="18642" hidden="1"/>
    <cellStyle name="20% - Accent1 11" xfId="18825" hidden="1"/>
    <cellStyle name="20% - Accent1 11" xfId="18901" hidden="1"/>
    <cellStyle name="20% - Accent1 11" xfId="19003" hidden="1"/>
    <cellStyle name="20% - Accent1 11" xfId="19077" hidden="1"/>
    <cellStyle name="20% - Accent1 11" xfId="19153" hidden="1"/>
    <cellStyle name="20% - Accent1 11" xfId="19231" hidden="1"/>
    <cellStyle name="20% - Accent1 11" xfId="19816" hidden="1"/>
    <cellStyle name="20% - Accent1 11" xfId="19892" hidden="1"/>
    <cellStyle name="20% - Accent1 11" xfId="19971" hidden="1"/>
    <cellStyle name="20% - Accent1 11" xfId="20198" hidden="1"/>
    <cellStyle name="20% - Accent1 11" xfId="19659" hidden="1"/>
    <cellStyle name="20% - Accent1 11" xfId="19731" hidden="1"/>
    <cellStyle name="20% - Accent1 11" xfId="20411" hidden="1"/>
    <cellStyle name="20% - Accent1 11" xfId="20487" hidden="1"/>
    <cellStyle name="20% - Accent1 11" xfId="20565" hidden="1"/>
    <cellStyle name="20% - Accent1 11" xfId="20762" hidden="1"/>
    <cellStyle name="20% - Accent1 11" xfId="19754" hidden="1"/>
    <cellStyle name="20% - Accent1 11" xfId="19531" hidden="1"/>
    <cellStyle name="20% - Accent1 11" xfId="20943" hidden="1"/>
    <cellStyle name="20% - Accent1 11" xfId="21019" hidden="1"/>
    <cellStyle name="20% - Accent1 11" xfId="21097" hidden="1"/>
    <cellStyle name="20% - Accent1 11" xfId="21280" hidden="1"/>
    <cellStyle name="20% - Accent1 11" xfId="21356" hidden="1"/>
    <cellStyle name="20% - Accent1 11" xfId="21434" hidden="1"/>
    <cellStyle name="20% - Accent1 11" xfId="21617" hidden="1"/>
    <cellStyle name="20% - Accent1 11" xfId="21693" hidden="1"/>
    <cellStyle name="20% - Accent1 11" xfId="15980" hidden="1"/>
    <cellStyle name="20% - Accent1 11" xfId="15906" hidden="1"/>
    <cellStyle name="20% - Accent1 11" xfId="15826" hidden="1"/>
    <cellStyle name="20% - Accent1 11" xfId="15741" hidden="1"/>
    <cellStyle name="20% - Accent1 11" xfId="7961" hidden="1"/>
    <cellStyle name="20% - Accent1 11" xfId="7758" hidden="1"/>
    <cellStyle name="20% - Accent1 11" xfId="7474" hidden="1"/>
    <cellStyle name="20% - Accent1 11" xfId="6286" hidden="1"/>
    <cellStyle name="20% - Accent1 11" xfId="8388" hidden="1"/>
    <cellStyle name="20% - Accent1 11" xfId="8164" hidden="1"/>
    <cellStyle name="20% - Accent1 11" xfId="5288" hidden="1"/>
    <cellStyle name="20% - Accent1 11" xfId="5087" hidden="1"/>
    <cellStyle name="20% - Accent1 11" xfId="4981" hidden="1"/>
    <cellStyle name="20% - Accent1 11" xfId="3849" hidden="1"/>
    <cellStyle name="20% - Accent1 11" xfId="8112" hidden="1"/>
    <cellStyle name="20% - Accent1 11" xfId="8902" hidden="1"/>
    <cellStyle name="20% - Accent1 11" xfId="3026" hidden="1"/>
    <cellStyle name="20% - Accent1 11" xfId="2895" hidden="1"/>
    <cellStyle name="20% - Accent1 11" xfId="2672" hidden="1"/>
    <cellStyle name="20% - Accent1 11" xfId="1519" hidden="1"/>
    <cellStyle name="20% - Accent1 11" xfId="1344" hidden="1"/>
    <cellStyle name="20% - Accent1 11" xfId="1107" hidden="1"/>
    <cellStyle name="20% - Accent1 11" xfId="21753" hidden="1"/>
    <cellStyle name="20% - Accent1 11" xfId="21833" hidden="1"/>
    <cellStyle name="20% - Accent1 11" xfId="22362" hidden="1"/>
    <cellStyle name="20% - Accent1 11" xfId="22436" hidden="1"/>
    <cellStyle name="20% - Accent1 11" xfId="22512" hidden="1"/>
    <cellStyle name="20% - Accent1 11" xfId="22590" hidden="1"/>
    <cellStyle name="20% - Accent1 11" xfId="23175" hidden="1"/>
    <cellStyle name="20% - Accent1 11" xfId="23251" hidden="1"/>
    <cellStyle name="20% - Accent1 11" xfId="23330" hidden="1"/>
    <cellStyle name="20% - Accent1 11" xfId="23557" hidden="1"/>
    <cellStyle name="20% - Accent1 11" xfId="23018" hidden="1"/>
    <cellStyle name="20% - Accent1 11" xfId="23090" hidden="1"/>
    <cellStyle name="20% - Accent1 11" xfId="23770" hidden="1"/>
    <cellStyle name="20% - Accent1 11" xfId="23846" hidden="1"/>
    <cellStyle name="20% - Accent1 11" xfId="23924" hidden="1"/>
    <cellStyle name="20% - Accent1 11" xfId="24121" hidden="1"/>
    <cellStyle name="20% - Accent1 11" xfId="23113" hidden="1"/>
    <cellStyle name="20% - Accent1 11" xfId="22890" hidden="1"/>
    <cellStyle name="20% - Accent1 11" xfId="24302" hidden="1"/>
    <cellStyle name="20% - Accent1 11" xfId="24378" hidden="1"/>
    <cellStyle name="20% - Accent1 11" xfId="24456" hidden="1"/>
    <cellStyle name="20% - Accent1 11" xfId="24639" hidden="1"/>
    <cellStyle name="20% - Accent1 11" xfId="24715" hidden="1"/>
    <cellStyle name="20% - Accent1 11" xfId="24793" hidden="1"/>
    <cellStyle name="20% - Accent1 11" xfId="24976" hidden="1"/>
    <cellStyle name="20% - Accent1 11" xfId="25052" hidden="1"/>
    <cellStyle name="20% - Accent1 11" xfId="25154" hidden="1"/>
    <cellStyle name="20% - Accent1 11" xfId="25228" hidden="1"/>
    <cellStyle name="20% - Accent1 11" xfId="25304" hidden="1"/>
    <cellStyle name="20% - Accent1 11" xfId="25382" hidden="1"/>
    <cellStyle name="20% - Accent1 11" xfId="25967" hidden="1"/>
    <cellStyle name="20% - Accent1 11" xfId="26043" hidden="1"/>
    <cellStyle name="20% - Accent1 11" xfId="26122" hidden="1"/>
    <cellStyle name="20% - Accent1 11" xfId="26349" hidden="1"/>
    <cellStyle name="20% - Accent1 11" xfId="25810" hidden="1"/>
    <cellStyle name="20% - Accent1 11" xfId="25882" hidden="1"/>
    <cellStyle name="20% - Accent1 11" xfId="26562" hidden="1"/>
    <cellStyle name="20% - Accent1 11" xfId="26638" hidden="1"/>
    <cellStyle name="20% - Accent1 11" xfId="26716" hidden="1"/>
    <cellStyle name="20% - Accent1 11" xfId="26913" hidden="1"/>
    <cellStyle name="20% - Accent1 11" xfId="25905" hidden="1"/>
    <cellStyle name="20% - Accent1 11" xfId="25682" hidden="1"/>
    <cellStyle name="20% - Accent1 11" xfId="27094" hidden="1"/>
    <cellStyle name="20% - Accent1 11" xfId="27170" hidden="1"/>
    <cellStyle name="20% - Accent1 11" xfId="27248" hidden="1"/>
    <cellStyle name="20% - Accent1 11" xfId="27431" hidden="1"/>
    <cellStyle name="20% - Accent1 11" xfId="27507" hidden="1"/>
    <cellStyle name="20% - Accent1 11" xfId="27585" hidden="1"/>
    <cellStyle name="20% - Accent1 11" xfId="27768" hidden="1"/>
    <cellStyle name="20% - Accent1 11" xfId="27844" hidden="1"/>
    <cellStyle name="20% - Accent1 11" xfId="22233" hidden="1"/>
    <cellStyle name="20% - Accent1 11" xfId="22159" hidden="1"/>
    <cellStyle name="20% - Accent1 11" xfId="22079" hidden="1"/>
    <cellStyle name="20% - Accent1 11" xfId="21996" hidden="1"/>
    <cellStyle name="20% - Accent1 11" xfId="8866" hidden="1"/>
    <cellStyle name="20% - Accent1 11" xfId="8651" hidden="1"/>
    <cellStyle name="20% - Accent1 11" xfId="8422" hidden="1"/>
    <cellStyle name="20% - Accent1 11" xfId="6776" hidden="1"/>
    <cellStyle name="20% - Accent1 11" xfId="9424" hidden="1"/>
    <cellStyle name="20% - Accent1 11" xfId="9089" hidden="1"/>
    <cellStyle name="20% - Accent1 11" xfId="5840" hidden="1"/>
    <cellStyle name="20% - Accent1 11" xfId="5594" hidden="1"/>
    <cellStyle name="20% - Accent1 11" xfId="5499" hidden="1"/>
    <cellStyle name="20% - Accent1 11" xfId="4023" hidden="1"/>
    <cellStyle name="20% - Accent1 11" xfId="9045" hidden="1"/>
    <cellStyle name="20% - Accent1 11" xfId="15486" hidden="1"/>
    <cellStyle name="20% - Accent1 11" xfId="3357" hidden="1"/>
    <cellStyle name="20% - Accent1 11" xfId="3166" hidden="1"/>
    <cellStyle name="20% - Accent1 11" xfId="3008" hidden="1"/>
    <cellStyle name="20% - Accent1 11" xfId="1653" hidden="1"/>
    <cellStyle name="20% - Accent1 11" xfId="1505" hidden="1"/>
    <cellStyle name="20% - Accent1 11" xfId="1243" hidden="1"/>
    <cellStyle name="20% - Accent1 11" xfId="27903" hidden="1"/>
    <cellStyle name="20% - Accent1 11" xfId="27979" hidden="1"/>
    <cellStyle name="20% - Accent1 11" xfId="28081" hidden="1"/>
    <cellStyle name="20% - Accent1 11" xfId="28155" hidden="1"/>
    <cellStyle name="20% - Accent1 11" xfId="28231" hidden="1"/>
    <cellStyle name="20% - Accent1 11" xfId="28309" hidden="1"/>
    <cellStyle name="20% - Accent1 11" xfId="28894" hidden="1"/>
    <cellStyle name="20% - Accent1 11" xfId="28970" hidden="1"/>
    <cellStyle name="20% - Accent1 11" xfId="29049" hidden="1"/>
    <cellStyle name="20% - Accent1 11" xfId="29276" hidden="1"/>
    <cellStyle name="20% - Accent1 11" xfId="28737" hidden="1"/>
    <cellStyle name="20% - Accent1 11" xfId="28809" hidden="1"/>
    <cellStyle name="20% - Accent1 11" xfId="29489" hidden="1"/>
    <cellStyle name="20% - Accent1 11" xfId="29565" hidden="1"/>
    <cellStyle name="20% - Accent1 11" xfId="29643" hidden="1"/>
    <cellStyle name="20% - Accent1 11" xfId="29840" hidden="1"/>
    <cellStyle name="20% - Accent1 11" xfId="28832" hidden="1"/>
    <cellStyle name="20% - Accent1 11" xfId="28609" hidden="1"/>
    <cellStyle name="20% - Accent1 11" xfId="30021" hidden="1"/>
    <cellStyle name="20% - Accent1 11" xfId="30097" hidden="1"/>
    <cellStyle name="20% - Accent1 11" xfId="30175" hidden="1"/>
    <cellStyle name="20% - Accent1 11" xfId="30358" hidden="1"/>
    <cellStyle name="20% - Accent1 11" xfId="30434" hidden="1"/>
    <cellStyle name="20% - Accent1 11" xfId="30512" hidden="1"/>
    <cellStyle name="20% - Accent1 11" xfId="30695" hidden="1"/>
    <cellStyle name="20% - Accent1 11" xfId="30771" hidden="1"/>
    <cellStyle name="20% - Accent1 11" xfId="30873" hidden="1"/>
    <cellStyle name="20% - Accent1 11" xfId="30947" hidden="1"/>
    <cellStyle name="20% - Accent1 11" xfId="31023" hidden="1"/>
    <cellStyle name="20% - Accent1 11" xfId="31101" hidden="1"/>
    <cellStyle name="20% - Accent1 11" xfId="31686" hidden="1"/>
    <cellStyle name="20% - Accent1 11" xfId="31762" hidden="1"/>
    <cellStyle name="20% - Accent1 11" xfId="31841" hidden="1"/>
    <cellStyle name="20% - Accent1 11" xfId="32068" hidden="1"/>
    <cellStyle name="20% - Accent1 11" xfId="31529" hidden="1"/>
    <cellStyle name="20% - Accent1 11" xfId="31601" hidden="1"/>
    <cellStyle name="20% - Accent1 11" xfId="32281" hidden="1"/>
    <cellStyle name="20% - Accent1 11" xfId="32357" hidden="1"/>
    <cellStyle name="20% - Accent1 11" xfId="32435" hidden="1"/>
    <cellStyle name="20% - Accent1 11" xfId="32632" hidden="1"/>
    <cellStyle name="20% - Accent1 11" xfId="31624" hidden="1"/>
    <cellStyle name="20% - Accent1 11" xfId="31401" hidden="1"/>
    <cellStyle name="20% - Accent1 11" xfId="32813" hidden="1"/>
    <cellStyle name="20% - Accent1 11" xfId="32889" hidden="1"/>
    <cellStyle name="20% - Accent1 11" xfId="32967" hidden="1"/>
    <cellStyle name="20% - Accent1 11" xfId="33150" hidden="1"/>
    <cellStyle name="20% - Accent1 11" xfId="33226" hidden="1"/>
    <cellStyle name="20% - Accent1 11" xfId="33304" hidden="1"/>
    <cellStyle name="20% - Accent1 11" xfId="33487" hidden="1"/>
    <cellStyle name="20% - Accent1 11" xfId="33563" hidden="1"/>
    <cellStyle name="20% - Accent1 12" xfId="195" hidden="1"/>
    <cellStyle name="20% - Accent1 12" xfId="273" hidden="1"/>
    <cellStyle name="20% - Accent1 12" xfId="412" hidden="1"/>
    <cellStyle name="20% - Accent1 12" xfId="729" hidden="1"/>
    <cellStyle name="20% - Accent1 12" xfId="2442" hidden="1"/>
    <cellStyle name="20% - Accent1 12" xfId="2594" hidden="1"/>
    <cellStyle name="20% - Accent1 12" xfId="2800" hidden="1"/>
    <cellStyle name="20% - Accent1 12" xfId="2048" hidden="1"/>
    <cellStyle name="20% - Accent1 12" xfId="1892" hidden="1"/>
    <cellStyle name="20% - Accent1 12" xfId="1857" hidden="1"/>
    <cellStyle name="20% - Accent1 12" xfId="4415" hidden="1"/>
    <cellStyle name="20% - Accent1 12" xfId="4610" hidden="1"/>
    <cellStyle name="20% - Accent1 12" xfId="4773" hidden="1"/>
    <cellStyle name="20% - Accent1 12" xfId="3085" hidden="1"/>
    <cellStyle name="20% - Accent1 12" xfId="2266" hidden="1"/>
    <cellStyle name="20% - Accent1 12" xfId="3510" hidden="1"/>
    <cellStyle name="20% - Accent1 12" xfId="6385" hidden="1"/>
    <cellStyle name="20% - Accent1 12" xfId="6489" hidden="1"/>
    <cellStyle name="20% - Accent1 12" xfId="6687" hidden="1"/>
    <cellStyle name="20% - Accent1 12" xfId="7563" hidden="1"/>
    <cellStyle name="20% - Accent1 12" xfId="7705" hidden="1"/>
    <cellStyle name="20% - Accent1 12" xfId="7881" hidden="1"/>
    <cellStyle name="20% - Accent1 12" xfId="8802" hidden="1"/>
    <cellStyle name="20% - Accent1 12" xfId="8971" hidden="1"/>
    <cellStyle name="20% - Accent1 12" xfId="9883" hidden="1"/>
    <cellStyle name="20% - Accent1 12" xfId="9958" hidden="1"/>
    <cellStyle name="20% - Accent1 12" xfId="10033" hidden="1"/>
    <cellStyle name="20% - Accent1 12" xfId="10111" hidden="1"/>
    <cellStyle name="20% - Accent1 12" xfId="10697" hidden="1"/>
    <cellStyle name="20% - Accent1 12" xfId="10772" hidden="1"/>
    <cellStyle name="20% - Accent1 12" xfId="10851" hidden="1"/>
    <cellStyle name="20% - Accent1 12" xfId="10514" hidden="1"/>
    <cellStyle name="20% - Accent1 12" xfId="10464" hidden="1"/>
    <cellStyle name="20% - Accent1 12" xfId="10433" hidden="1"/>
    <cellStyle name="20% - Accent1 12" xfId="11292" hidden="1"/>
    <cellStyle name="20% - Accent1 12" xfId="11367" hidden="1"/>
    <cellStyle name="20% - Accent1 12" xfId="11445" hidden="1"/>
    <cellStyle name="20% - Accent1 12" xfId="10916" hidden="1"/>
    <cellStyle name="20% - Accent1 12" xfId="10606" hidden="1"/>
    <cellStyle name="20% - Accent1 12" xfId="10960" hidden="1"/>
    <cellStyle name="20% - Accent1 12" xfId="11824" hidden="1"/>
    <cellStyle name="20% - Accent1 12" xfId="11899" hidden="1"/>
    <cellStyle name="20% - Accent1 12" xfId="11977" hidden="1"/>
    <cellStyle name="20% - Accent1 12" xfId="12161" hidden="1"/>
    <cellStyle name="20% - Accent1 12" xfId="12236" hidden="1"/>
    <cellStyle name="20% - Accent1 12" xfId="12314" hidden="1"/>
    <cellStyle name="20% - Accent1 12" xfId="12498" hidden="1"/>
    <cellStyle name="20% - Accent1 12" xfId="12573" hidden="1"/>
    <cellStyle name="20% - Accent1 12" xfId="12675" hidden="1"/>
    <cellStyle name="20% - Accent1 12" xfId="12750" hidden="1"/>
    <cellStyle name="20% - Accent1 12" xfId="12825" hidden="1"/>
    <cellStyle name="20% - Accent1 12" xfId="12903" hidden="1"/>
    <cellStyle name="20% - Accent1 12" xfId="13489" hidden="1"/>
    <cellStyle name="20% - Accent1 12" xfId="13564" hidden="1"/>
    <cellStyle name="20% - Accent1 12" xfId="13643" hidden="1"/>
    <cellStyle name="20% - Accent1 12" xfId="13306" hidden="1"/>
    <cellStyle name="20% - Accent1 12" xfId="13256" hidden="1"/>
    <cellStyle name="20% - Accent1 12" xfId="13225" hidden="1"/>
    <cellStyle name="20% - Accent1 12" xfId="14084" hidden="1"/>
    <cellStyle name="20% - Accent1 12" xfId="14159" hidden="1"/>
    <cellStyle name="20% - Accent1 12" xfId="14237" hidden="1"/>
    <cellStyle name="20% - Accent1 12" xfId="13708" hidden="1"/>
    <cellStyle name="20% - Accent1 12" xfId="13398" hidden="1"/>
    <cellStyle name="20% - Accent1 12" xfId="13752" hidden="1"/>
    <cellStyle name="20% - Accent1 12" xfId="14616" hidden="1"/>
    <cellStyle name="20% - Accent1 12" xfId="14691" hidden="1"/>
    <cellStyle name="20% - Accent1 12" xfId="14769" hidden="1"/>
    <cellStyle name="20% - Accent1 12" xfId="14953" hidden="1"/>
    <cellStyle name="20% - Accent1 12" xfId="15028" hidden="1"/>
    <cellStyle name="20% - Accent1 12" xfId="15106" hidden="1"/>
    <cellStyle name="20% - Accent1 12" xfId="15290" hidden="1"/>
    <cellStyle name="20% - Accent1 12" xfId="15365" hidden="1"/>
    <cellStyle name="20% - Accent1 12" xfId="9566" hidden="1"/>
    <cellStyle name="20% - Accent1 12" xfId="9453" hidden="1"/>
    <cellStyle name="20% - Accent1 12" xfId="9341" hidden="1"/>
    <cellStyle name="20% - Accent1 12" xfId="9224" hidden="1"/>
    <cellStyle name="20% - Accent1 12" xfId="6971" hidden="1"/>
    <cellStyle name="20% - Accent1 12" xfId="6886" hidden="1"/>
    <cellStyle name="20% - Accent1 12" xfId="6792" hidden="1"/>
    <cellStyle name="20% - Accent1 12" xfId="7480" hidden="1"/>
    <cellStyle name="20% - Accent1 12" xfId="7732" hidden="1"/>
    <cellStyle name="20% - Accent1 12" xfId="7862" hidden="1"/>
    <cellStyle name="20% - Accent1 12" xfId="4823" hidden="1"/>
    <cellStyle name="20% - Accent1 12" xfId="4659" hidden="1"/>
    <cellStyle name="20% - Accent1 12" xfId="4370" hidden="1"/>
    <cellStyle name="20% - Accent1 12" xfId="6429" hidden="1"/>
    <cellStyle name="20% - Accent1 12" xfId="7207" hidden="1"/>
    <cellStyle name="20% - Accent1 12" xfId="6035" hidden="1"/>
    <cellStyle name="20% - Accent1 12" xfId="2685" hidden="1"/>
    <cellStyle name="20% - Accent1 12" xfId="2490" hidden="1"/>
    <cellStyle name="20% - Accent1 12" xfId="2314" hidden="1"/>
    <cellStyle name="20% - Accent1 12" xfId="1346" hidden="1"/>
    <cellStyle name="20% - Accent1 12" xfId="1167" hidden="1"/>
    <cellStyle name="20% - Accent1 12" xfId="925" hidden="1"/>
    <cellStyle name="20% - Accent1 12" xfId="15435" hidden="1"/>
    <cellStyle name="20% - Accent1 12" xfId="15542" hidden="1"/>
    <cellStyle name="20% - Accent1 12" xfId="16224" hidden="1"/>
    <cellStyle name="20% - Accent1 12" xfId="16299" hidden="1"/>
    <cellStyle name="20% - Accent1 12" xfId="16374" hidden="1"/>
    <cellStyle name="20% - Accent1 12" xfId="16452" hidden="1"/>
    <cellStyle name="20% - Accent1 12" xfId="17038" hidden="1"/>
    <cellStyle name="20% - Accent1 12" xfId="17113" hidden="1"/>
    <cellStyle name="20% - Accent1 12" xfId="17192" hidden="1"/>
    <cellStyle name="20% - Accent1 12" xfId="16855" hidden="1"/>
    <cellStyle name="20% - Accent1 12" xfId="16805" hidden="1"/>
    <cellStyle name="20% - Accent1 12" xfId="16774" hidden="1"/>
    <cellStyle name="20% - Accent1 12" xfId="17633" hidden="1"/>
    <cellStyle name="20% - Accent1 12" xfId="17708" hidden="1"/>
    <cellStyle name="20% - Accent1 12" xfId="17786" hidden="1"/>
    <cellStyle name="20% - Accent1 12" xfId="17257" hidden="1"/>
    <cellStyle name="20% - Accent1 12" xfId="16947" hidden="1"/>
    <cellStyle name="20% - Accent1 12" xfId="17301" hidden="1"/>
    <cellStyle name="20% - Accent1 12" xfId="18165" hidden="1"/>
    <cellStyle name="20% - Accent1 12" xfId="18240" hidden="1"/>
    <cellStyle name="20% - Accent1 12" xfId="18318" hidden="1"/>
    <cellStyle name="20% - Accent1 12" xfId="18502" hidden="1"/>
    <cellStyle name="20% - Accent1 12" xfId="18577" hidden="1"/>
    <cellStyle name="20% - Accent1 12" xfId="18655" hidden="1"/>
    <cellStyle name="20% - Accent1 12" xfId="18839" hidden="1"/>
    <cellStyle name="20% - Accent1 12" xfId="18914" hidden="1"/>
    <cellStyle name="20% - Accent1 12" xfId="19016" hidden="1"/>
    <cellStyle name="20% - Accent1 12" xfId="19091" hidden="1"/>
    <cellStyle name="20% - Accent1 12" xfId="19166" hidden="1"/>
    <cellStyle name="20% - Accent1 12" xfId="19244" hidden="1"/>
    <cellStyle name="20% - Accent1 12" xfId="19830" hidden="1"/>
    <cellStyle name="20% - Accent1 12" xfId="19905" hidden="1"/>
    <cellStyle name="20% - Accent1 12" xfId="19984" hidden="1"/>
    <cellStyle name="20% - Accent1 12" xfId="19647" hidden="1"/>
    <cellStyle name="20% - Accent1 12" xfId="19597" hidden="1"/>
    <cellStyle name="20% - Accent1 12" xfId="19566" hidden="1"/>
    <cellStyle name="20% - Accent1 12" xfId="20425" hidden="1"/>
    <cellStyle name="20% - Accent1 12" xfId="20500" hidden="1"/>
    <cellStyle name="20% - Accent1 12" xfId="20578" hidden="1"/>
    <cellStyle name="20% - Accent1 12" xfId="20049" hidden="1"/>
    <cellStyle name="20% - Accent1 12" xfId="19739" hidden="1"/>
    <cellStyle name="20% - Accent1 12" xfId="20093" hidden="1"/>
    <cellStyle name="20% - Accent1 12" xfId="20957" hidden="1"/>
    <cellStyle name="20% - Accent1 12" xfId="21032" hidden="1"/>
    <cellStyle name="20% - Accent1 12" xfId="21110" hidden="1"/>
    <cellStyle name="20% - Accent1 12" xfId="21294" hidden="1"/>
    <cellStyle name="20% - Accent1 12" xfId="21369" hidden="1"/>
    <cellStyle name="20% - Accent1 12" xfId="21447" hidden="1"/>
    <cellStyle name="20% - Accent1 12" xfId="21631" hidden="1"/>
    <cellStyle name="20% - Accent1 12" xfId="21706" hidden="1"/>
    <cellStyle name="20% - Accent1 12" xfId="15967" hidden="1"/>
    <cellStyle name="20% - Accent1 12" xfId="15892" hidden="1"/>
    <cellStyle name="20% - Accent1 12" xfId="15812" hidden="1"/>
    <cellStyle name="20% - Accent1 12" xfId="15726" hidden="1"/>
    <cellStyle name="20% - Accent1 12" xfId="7940" hidden="1"/>
    <cellStyle name="20% - Accent1 12" xfId="7730" hidden="1"/>
    <cellStyle name="20% - Accent1 12" xfId="7457" hidden="1"/>
    <cellStyle name="20% - Accent1 12" xfId="8426" hidden="1"/>
    <cellStyle name="20% - Accent1 12" xfId="8537" hidden="1"/>
    <cellStyle name="20% - Accent1 12" xfId="8724" hidden="1"/>
    <cellStyle name="20% - Accent1 12" xfId="5274" hidden="1"/>
    <cellStyle name="20% - Accent1 12" xfId="5074" hidden="1"/>
    <cellStyle name="20% - Accent1 12" xfId="4966" hidden="1"/>
    <cellStyle name="20% - Accent1 12" xfId="7166" hidden="1"/>
    <cellStyle name="20% - Accent1 12" xfId="8150" hidden="1"/>
    <cellStyle name="20% - Accent1 12" xfId="6632" hidden="1"/>
    <cellStyle name="20% - Accent1 12" xfId="3004" hidden="1"/>
    <cellStyle name="20% - Accent1 12" xfId="2876" hidden="1"/>
    <cellStyle name="20% - Accent1 12" xfId="2645" hidden="1"/>
    <cellStyle name="20% - Accent1 12" xfId="1498" hidden="1"/>
    <cellStyle name="20% - Accent1 12" xfId="1313" hidden="1"/>
    <cellStyle name="20% - Accent1 12" xfId="1091" hidden="1"/>
    <cellStyle name="20% - Accent1 12" xfId="21767" hidden="1"/>
    <cellStyle name="20% - Accent1 12" xfId="21846" hidden="1"/>
    <cellStyle name="20% - Accent1 12" xfId="22375" hidden="1"/>
    <cellStyle name="20% - Accent1 12" xfId="22450" hidden="1"/>
    <cellStyle name="20% - Accent1 12" xfId="22525" hidden="1"/>
    <cellStyle name="20% - Accent1 12" xfId="22603" hidden="1"/>
    <cellStyle name="20% - Accent1 12" xfId="23189" hidden="1"/>
    <cellStyle name="20% - Accent1 12" xfId="23264" hidden="1"/>
    <cellStyle name="20% - Accent1 12" xfId="23343" hidden="1"/>
    <cellStyle name="20% - Accent1 12" xfId="23006" hidden="1"/>
    <cellStyle name="20% - Accent1 12" xfId="22956" hidden="1"/>
    <cellStyle name="20% - Accent1 12" xfId="22925" hidden="1"/>
    <cellStyle name="20% - Accent1 12" xfId="23784" hidden="1"/>
    <cellStyle name="20% - Accent1 12" xfId="23859" hidden="1"/>
    <cellStyle name="20% - Accent1 12" xfId="23937" hidden="1"/>
    <cellStyle name="20% - Accent1 12" xfId="23408" hidden="1"/>
    <cellStyle name="20% - Accent1 12" xfId="23098" hidden="1"/>
    <cellStyle name="20% - Accent1 12" xfId="23452" hidden="1"/>
    <cellStyle name="20% - Accent1 12" xfId="24316" hidden="1"/>
    <cellStyle name="20% - Accent1 12" xfId="24391" hidden="1"/>
    <cellStyle name="20% - Accent1 12" xfId="24469" hidden="1"/>
    <cellStyle name="20% - Accent1 12" xfId="24653" hidden="1"/>
    <cellStyle name="20% - Accent1 12" xfId="24728" hidden="1"/>
    <cellStyle name="20% - Accent1 12" xfId="24806" hidden="1"/>
    <cellStyle name="20% - Accent1 12" xfId="24990" hidden="1"/>
    <cellStyle name="20% - Accent1 12" xfId="25065" hidden="1"/>
    <cellStyle name="20% - Accent1 12" xfId="25167" hidden="1"/>
    <cellStyle name="20% - Accent1 12" xfId="25242" hidden="1"/>
    <cellStyle name="20% - Accent1 12" xfId="25317" hidden="1"/>
    <cellStyle name="20% - Accent1 12" xfId="25395" hidden="1"/>
    <cellStyle name="20% - Accent1 12" xfId="25981" hidden="1"/>
    <cellStyle name="20% - Accent1 12" xfId="26056" hidden="1"/>
    <cellStyle name="20% - Accent1 12" xfId="26135" hidden="1"/>
    <cellStyle name="20% - Accent1 12" xfId="25798" hidden="1"/>
    <cellStyle name="20% - Accent1 12" xfId="25748" hidden="1"/>
    <cellStyle name="20% - Accent1 12" xfId="25717" hidden="1"/>
    <cellStyle name="20% - Accent1 12" xfId="26576" hidden="1"/>
    <cellStyle name="20% - Accent1 12" xfId="26651" hidden="1"/>
    <cellStyle name="20% - Accent1 12" xfId="26729" hidden="1"/>
    <cellStyle name="20% - Accent1 12" xfId="26200" hidden="1"/>
    <cellStyle name="20% - Accent1 12" xfId="25890" hidden="1"/>
    <cellStyle name="20% - Accent1 12" xfId="26244" hidden="1"/>
    <cellStyle name="20% - Accent1 12" xfId="27108" hidden="1"/>
    <cellStyle name="20% - Accent1 12" xfId="27183" hidden="1"/>
    <cellStyle name="20% - Accent1 12" xfId="27261" hidden="1"/>
    <cellStyle name="20% - Accent1 12" xfId="27445" hidden="1"/>
    <cellStyle name="20% - Accent1 12" xfId="27520" hidden="1"/>
    <cellStyle name="20% - Accent1 12" xfId="27598" hidden="1"/>
    <cellStyle name="20% - Accent1 12" xfId="27782" hidden="1"/>
    <cellStyle name="20% - Accent1 12" xfId="27857" hidden="1"/>
    <cellStyle name="20% - Accent1 12" xfId="22220" hidden="1"/>
    <cellStyle name="20% - Accent1 12" xfId="22145" hidden="1"/>
    <cellStyle name="20% - Accent1 12" xfId="22065" hidden="1"/>
    <cellStyle name="20% - Accent1 12" xfId="21982" hidden="1"/>
    <cellStyle name="20% - Accent1 12" xfId="8838" hidden="1"/>
    <cellStyle name="20% - Accent1 12" xfId="8546" hidden="1"/>
    <cellStyle name="20% - Accent1 12" xfId="8408" hidden="1"/>
    <cellStyle name="20% - Accent1 12" xfId="9471" hidden="1"/>
    <cellStyle name="20% - Accent1 12" xfId="9652" hidden="1"/>
    <cellStyle name="20% - Accent1 12" xfId="9789" hidden="1"/>
    <cellStyle name="20% - Accent1 12" xfId="5817" hidden="1"/>
    <cellStyle name="20% - Accent1 12" xfId="5579" hidden="1"/>
    <cellStyle name="20% - Accent1 12" xfId="5485" hidden="1"/>
    <cellStyle name="20% - Accent1 12" xfId="8091" hidden="1"/>
    <cellStyle name="20% - Accent1 12" xfId="9078" hidden="1"/>
    <cellStyle name="20% - Accent1 12" xfId="7338" hidden="1"/>
    <cellStyle name="20% - Accent1 12" xfId="3340" hidden="1"/>
    <cellStyle name="20% - Accent1 12" xfId="3151" hidden="1"/>
    <cellStyle name="20% - Accent1 12" xfId="2972" hidden="1"/>
    <cellStyle name="20% - Accent1 12" xfId="1636" hidden="1"/>
    <cellStyle name="20% - Accent1 12" xfId="1471" hidden="1"/>
    <cellStyle name="20% - Accent1 12" xfId="1216" hidden="1"/>
    <cellStyle name="20% - Accent1 12" xfId="27917" hidden="1"/>
    <cellStyle name="20% - Accent1 12" xfId="27992" hidden="1"/>
    <cellStyle name="20% - Accent1 12" xfId="28094" hidden="1"/>
    <cellStyle name="20% - Accent1 12" xfId="28169" hidden="1"/>
    <cellStyle name="20% - Accent1 12" xfId="28244" hidden="1"/>
    <cellStyle name="20% - Accent1 12" xfId="28322" hidden="1"/>
    <cellStyle name="20% - Accent1 12" xfId="28908" hidden="1"/>
    <cellStyle name="20% - Accent1 12" xfId="28983" hidden="1"/>
    <cellStyle name="20% - Accent1 12" xfId="29062" hidden="1"/>
    <cellStyle name="20% - Accent1 12" xfId="28725" hidden="1"/>
    <cellStyle name="20% - Accent1 12" xfId="28675" hidden="1"/>
    <cellStyle name="20% - Accent1 12" xfId="28644" hidden="1"/>
    <cellStyle name="20% - Accent1 12" xfId="29503" hidden="1"/>
    <cellStyle name="20% - Accent1 12" xfId="29578" hidden="1"/>
    <cellStyle name="20% - Accent1 12" xfId="29656" hidden="1"/>
    <cellStyle name="20% - Accent1 12" xfId="29127" hidden="1"/>
    <cellStyle name="20% - Accent1 12" xfId="28817" hidden="1"/>
    <cellStyle name="20% - Accent1 12" xfId="29171" hidden="1"/>
    <cellStyle name="20% - Accent1 12" xfId="30035" hidden="1"/>
    <cellStyle name="20% - Accent1 12" xfId="30110" hidden="1"/>
    <cellStyle name="20% - Accent1 12" xfId="30188" hidden="1"/>
    <cellStyle name="20% - Accent1 12" xfId="30372" hidden="1"/>
    <cellStyle name="20% - Accent1 12" xfId="30447" hidden="1"/>
    <cellStyle name="20% - Accent1 12" xfId="30525" hidden="1"/>
    <cellStyle name="20% - Accent1 12" xfId="30709" hidden="1"/>
    <cellStyle name="20% - Accent1 12" xfId="30784" hidden="1"/>
    <cellStyle name="20% - Accent1 12" xfId="30886" hidden="1"/>
    <cellStyle name="20% - Accent1 12" xfId="30961" hidden="1"/>
    <cellStyle name="20% - Accent1 12" xfId="31036" hidden="1"/>
    <cellStyle name="20% - Accent1 12" xfId="31114" hidden="1"/>
    <cellStyle name="20% - Accent1 12" xfId="31700" hidden="1"/>
    <cellStyle name="20% - Accent1 12" xfId="31775" hidden="1"/>
    <cellStyle name="20% - Accent1 12" xfId="31854" hidden="1"/>
    <cellStyle name="20% - Accent1 12" xfId="31517" hidden="1"/>
    <cellStyle name="20% - Accent1 12" xfId="31467" hidden="1"/>
    <cellStyle name="20% - Accent1 12" xfId="31436" hidden="1"/>
    <cellStyle name="20% - Accent1 12" xfId="32295" hidden="1"/>
    <cellStyle name="20% - Accent1 12" xfId="32370" hidden="1"/>
    <cellStyle name="20% - Accent1 12" xfId="32448" hidden="1"/>
    <cellStyle name="20% - Accent1 12" xfId="31919" hidden="1"/>
    <cellStyle name="20% - Accent1 12" xfId="31609" hidden="1"/>
    <cellStyle name="20% - Accent1 12" xfId="31963" hidden="1"/>
    <cellStyle name="20% - Accent1 12" xfId="32827" hidden="1"/>
    <cellStyle name="20% - Accent1 12" xfId="32902" hidden="1"/>
    <cellStyle name="20% - Accent1 12" xfId="32980" hidden="1"/>
    <cellStyle name="20% - Accent1 12" xfId="33164" hidden="1"/>
    <cellStyle name="20% - Accent1 12" xfId="33239" hidden="1"/>
    <cellStyle name="20% - Accent1 12" xfId="33317" hidden="1"/>
    <cellStyle name="20% - Accent1 12" xfId="33501" hidden="1"/>
    <cellStyle name="20% - Accent1 12" xfId="33576" hidden="1"/>
    <cellStyle name="20% - Accent1 13" xfId="742" hidden="1"/>
    <cellStyle name="20% - Accent1 13" xfId="944" hidden="1"/>
    <cellStyle name="20% - Accent1 13" xfId="3515" hidden="1"/>
    <cellStyle name="20% - Accent1 13" xfId="4030" hidden="1"/>
    <cellStyle name="20% - Accent1 13" xfId="5349" hidden="1"/>
    <cellStyle name="20% - Accent1 13" xfId="6046" hidden="1"/>
    <cellStyle name="20% - Accent1 13" xfId="7061" hidden="1"/>
    <cellStyle name="20% - Accent1 13" xfId="8264" hidden="1"/>
    <cellStyle name="20% - Accent1 13" xfId="10124" hidden="1"/>
    <cellStyle name="20% - Accent1 13" xfId="10239" hidden="1"/>
    <cellStyle name="20% - Accent1 13" xfId="10962" hidden="1"/>
    <cellStyle name="20% - Accent1 13" xfId="11135" hidden="1"/>
    <cellStyle name="20% - Accent1 13" xfId="11528" hidden="1"/>
    <cellStyle name="20% - Accent1 13" xfId="11676" hidden="1"/>
    <cellStyle name="20% - Accent1 13" xfId="12014" hidden="1"/>
    <cellStyle name="20% - Accent1 13" xfId="12351" hidden="1"/>
    <cellStyle name="20% - Accent1 13" xfId="12916" hidden="1"/>
    <cellStyle name="20% - Accent1 13" xfId="13031" hidden="1"/>
    <cellStyle name="20% - Accent1 13" xfId="13754" hidden="1"/>
    <cellStyle name="20% - Accent1 13" xfId="13927" hidden="1"/>
    <cellStyle name="20% - Accent1 13" xfId="14320" hidden="1"/>
    <cellStyle name="20% - Accent1 13" xfId="14468" hidden="1"/>
    <cellStyle name="20% - Accent1 13" xfId="14806" hidden="1"/>
    <cellStyle name="20% - Accent1 13" xfId="15143" hidden="1"/>
    <cellStyle name="20% - Accent1 13" xfId="9205" hidden="1"/>
    <cellStyle name="20% - Accent1 13" xfId="8663" hidden="1"/>
    <cellStyle name="20% - Accent1 13" xfId="6033" hidden="1"/>
    <cellStyle name="20% - Accent1 13" xfId="5241" hidden="1"/>
    <cellStyle name="20% - Accent1 13" xfId="3959" hidden="1"/>
    <cellStyle name="20% - Accent1 13" xfId="3282" hidden="1"/>
    <cellStyle name="20% - Accent1 13" xfId="1846" hidden="1"/>
    <cellStyle name="20% - Accent1 13" xfId="484" hidden="1"/>
    <cellStyle name="20% - Accent1 13" xfId="16465" hidden="1"/>
    <cellStyle name="20% - Accent1 13" xfId="16580" hidden="1"/>
    <cellStyle name="20% - Accent1 13" xfId="17303" hidden="1"/>
    <cellStyle name="20% - Accent1 13" xfId="17476" hidden="1"/>
    <cellStyle name="20% - Accent1 13" xfId="17869" hidden="1"/>
    <cellStyle name="20% - Accent1 13" xfId="18017" hidden="1"/>
    <cellStyle name="20% - Accent1 13" xfId="18355" hidden="1"/>
    <cellStyle name="20% - Accent1 13" xfId="18692" hidden="1"/>
    <cellStyle name="20% - Accent1 13" xfId="19257" hidden="1"/>
    <cellStyle name="20% - Accent1 13" xfId="19372" hidden="1"/>
    <cellStyle name="20% - Accent1 13" xfId="20095" hidden="1"/>
    <cellStyle name="20% - Accent1 13" xfId="20268" hidden="1"/>
    <cellStyle name="20% - Accent1 13" xfId="20661" hidden="1"/>
    <cellStyle name="20% - Accent1 13" xfId="20809" hidden="1"/>
    <cellStyle name="20% - Accent1 13" xfId="21147" hidden="1"/>
    <cellStyle name="20% - Accent1 13" xfId="21484" hidden="1"/>
    <cellStyle name="20% - Accent1 13" xfId="15713" hidden="1"/>
    <cellStyle name="20% - Accent1 13" xfId="9757" hidden="1"/>
    <cellStyle name="20% - Accent1 13" xfId="6619" hidden="1"/>
    <cellStyle name="20% - Accent1 13" xfId="5774" hidden="1"/>
    <cellStyle name="20% - Accent1 13" xfId="4227" hidden="1"/>
    <cellStyle name="20% - Accent1 13" xfId="3509" hidden="1"/>
    <cellStyle name="20% - Accent1 13" xfId="2021" hidden="1"/>
    <cellStyle name="20% - Accent1 13" xfId="584" hidden="1"/>
    <cellStyle name="20% - Accent1 13" xfId="22616" hidden="1"/>
    <cellStyle name="20% - Accent1 13" xfId="22731" hidden="1"/>
    <cellStyle name="20% - Accent1 13" xfId="23454" hidden="1"/>
    <cellStyle name="20% - Accent1 13" xfId="23627" hidden="1"/>
    <cellStyle name="20% - Accent1 13" xfId="24020" hidden="1"/>
    <cellStyle name="20% - Accent1 13" xfId="24168" hidden="1"/>
    <cellStyle name="20% - Accent1 13" xfId="24506" hidden="1"/>
    <cellStyle name="20% - Accent1 13" xfId="24843" hidden="1"/>
    <cellStyle name="20% - Accent1 13" xfId="25408" hidden="1"/>
    <cellStyle name="20% - Accent1 13" xfId="25523" hidden="1"/>
    <cellStyle name="20% - Accent1 13" xfId="26246" hidden="1"/>
    <cellStyle name="20% - Accent1 13" xfId="26419" hidden="1"/>
    <cellStyle name="20% - Accent1 13" xfId="26812" hidden="1"/>
    <cellStyle name="20% - Accent1 13" xfId="26960" hidden="1"/>
    <cellStyle name="20% - Accent1 13" xfId="27298" hidden="1"/>
    <cellStyle name="20% - Accent1 13" xfId="27635" hidden="1"/>
    <cellStyle name="20% - Accent1 13" xfId="21969" hidden="1"/>
    <cellStyle name="20% - Accent1 13" xfId="16137" hidden="1"/>
    <cellStyle name="20% - Accent1 13" xfId="7321" hidden="1"/>
    <cellStyle name="20% - Accent1 13" xfId="6283" hidden="1"/>
    <cellStyle name="20% - Accent1 13" xfId="4539" hidden="1"/>
    <cellStyle name="20% - Accent1 13" xfId="3764" hidden="1"/>
    <cellStyle name="20% - Accent1 13" xfId="2200" hidden="1"/>
    <cellStyle name="20% - Accent1 13" xfId="726" hidden="1"/>
    <cellStyle name="20% - Accent1 13" xfId="28335" hidden="1"/>
    <cellStyle name="20% - Accent1 13" xfId="28450" hidden="1"/>
    <cellStyle name="20% - Accent1 13" xfId="29173" hidden="1"/>
    <cellStyle name="20% - Accent1 13" xfId="29346" hidden="1"/>
    <cellStyle name="20% - Accent1 13" xfId="29739" hidden="1"/>
    <cellStyle name="20% - Accent1 13" xfId="29887" hidden="1"/>
    <cellStyle name="20% - Accent1 13" xfId="30225" hidden="1"/>
    <cellStyle name="20% - Accent1 13" xfId="30562" hidden="1"/>
    <cellStyle name="20% - Accent1 13" xfId="31127" hidden="1"/>
    <cellStyle name="20% - Accent1 13" xfId="31242" hidden="1"/>
    <cellStyle name="20% - Accent1 13" xfId="31965" hidden="1"/>
    <cellStyle name="20% - Accent1 13" xfId="32138" hidden="1"/>
    <cellStyle name="20% - Accent1 13" xfId="32531" hidden="1"/>
    <cellStyle name="20% - Accent1 13" xfId="32679" hidden="1"/>
    <cellStyle name="20% - Accent1 13" xfId="33017" hidden="1"/>
    <cellStyle name="20% - Accent1 13" xfId="33354" hidden="1"/>
    <cellStyle name="20% - Accent1 3 2 3 2" xfId="819" hidden="1"/>
    <cellStyle name="20% - Accent1 3 2 3 2" xfId="1027" hidden="1"/>
    <cellStyle name="20% - Accent1 3 2 3 2" xfId="3591" hidden="1"/>
    <cellStyle name="20% - Accent1 3 2 3 2" xfId="4106" hidden="1"/>
    <cellStyle name="20% - Accent1 3 2 3 2" xfId="5425" hidden="1"/>
    <cellStyle name="20% - Accent1 3 2 3 2" xfId="6122" hidden="1"/>
    <cellStyle name="20% - Accent1 3 2 3 2" xfId="7139" hidden="1"/>
    <cellStyle name="20% - Accent1 3 2 3 2" xfId="8343" hidden="1"/>
    <cellStyle name="20% - Accent1 3 2 3 2" xfId="10200" hidden="1"/>
    <cellStyle name="20% - Accent1 3 2 3 2" xfId="10315" hidden="1"/>
    <cellStyle name="20% - Accent1 3 2 3 2" xfId="11038" hidden="1"/>
    <cellStyle name="20% - Accent1 3 2 3 2" xfId="11211" hidden="1"/>
    <cellStyle name="20% - Accent1 3 2 3 2" xfId="11604" hidden="1"/>
    <cellStyle name="20% - Accent1 3 2 3 2" xfId="11752" hidden="1"/>
    <cellStyle name="20% - Accent1 3 2 3 2" xfId="12090" hidden="1"/>
    <cellStyle name="20% - Accent1 3 2 3 2" xfId="12427" hidden="1"/>
    <cellStyle name="20% - Accent1 3 2 3 2" xfId="12992" hidden="1"/>
    <cellStyle name="20% - Accent1 3 2 3 2" xfId="13107" hidden="1"/>
    <cellStyle name="20% - Accent1 3 2 3 2" xfId="13830" hidden="1"/>
    <cellStyle name="20% - Accent1 3 2 3 2" xfId="14003" hidden="1"/>
    <cellStyle name="20% - Accent1 3 2 3 2" xfId="14396" hidden="1"/>
    <cellStyle name="20% - Accent1 3 2 3 2" xfId="14544" hidden="1"/>
    <cellStyle name="20% - Accent1 3 2 3 2" xfId="14882" hidden="1"/>
    <cellStyle name="20% - Accent1 3 2 3 2" xfId="15219" hidden="1"/>
    <cellStyle name="20% - Accent1 3 2 3 2" xfId="9127" hidden="1"/>
    <cellStyle name="20% - Accent1 3 2 3 2" xfId="8583" hidden="1"/>
    <cellStyle name="20% - Accent1 3 2 3 2" xfId="5955" hidden="1"/>
    <cellStyle name="20% - Accent1 3 2 3 2" xfId="5164" hidden="1"/>
    <cellStyle name="20% - Accent1 3 2 3 2" xfId="3879" hidden="1"/>
    <cellStyle name="20% - Accent1 3 2 3 2" xfId="3201" hidden="1"/>
    <cellStyle name="20% - Accent1 3 2 3 2" xfId="1758" hidden="1"/>
    <cellStyle name="20% - Accent1 3 2 3 2" xfId="357" hidden="1"/>
    <cellStyle name="20% - Accent1 3 2 3 2" xfId="16541" hidden="1"/>
    <cellStyle name="20% - Accent1 3 2 3 2" xfId="16656" hidden="1"/>
    <cellStyle name="20% - Accent1 3 2 3 2" xfId="17379" hidden="1"/>
    <cellStyle name="20% - Accent1 3 2 3 2" xfId="17552" hidden="1"/>
    <cellStyle name="20% - Accent1 3 2 3 2" xfId="17945" hidden="1"/>
    <cellStyle name="20% - Accent1 3 2 3 2" xfId="18093" hidden="1"/>
    <cellStyle name="20% - Accent1 3 2 3 2" xfId="18431" hidden="1"/>
    <cellStyle name="20% - Accent1 3 2 3 2" xfId="18768" hidden="1"/>
    <cellStyle name="20% - Accent1 3 2 3 2" xfId="19333" hidden="1"/>
    <cellStyle name="20% - Accent1 3 2 3 2" xfId="19448" hidden="1"/>
    <cellStyle name="20% - Accent1 3 2 3 2" xfId="20171" hidden="1"/>
    <cellStyle name="20% - Accent1 3 2 3 2" xfId="20344" hidden="1"/>
    <cellStyle name="20% - Accent1 3 2 3 2" xfId="20737" hidden="1"/>
    <cellStyle name="20% - Accent1 3 2 3 2" xfId="20885" hidden="1"/>
    <cellStyle name="20% - Accent1 3 2 3 2" xfId="21223" hidden="1"/>
    <cellStyle name="20% - Accent1 3 2 3 2" xfId="21560" hidden="1"/>
    <cellStyle name="20% - Accent1 3 2 3 2" xfId="15635" hidden="1"/>
    <cellStyle name="20% - Accent1 3 2 3 2" xfId="9680" hidden="1"/>
    <cellStyle name="20% - Accent1 3 2 3 2" xfId="6527" hidden="1"/>
    <cellStyle name="20% - Accent1 3 2 3 2" xfId="5679" hidden="1"/>
    <cellStyle name="20% - Accent1 3 2 3 2" xfId="4149" hidden="1"/>
    <cellStyle name="20% - Accent1 3 2 3 2" xfId="3428" hidden="1"/>
    <cellStyle name="20% - Accent1 3 2 3 2" xfId="1931" hidden="1"/>
    <cellStyle name="20% - Accent1 3 2 3 2" xfId="493" hidden="1"/>
    <cellStyle name="20% - Accent1 3 2 3 2" xfId="22692" hidden="1"/>
    <cellStyle name="20% - Accent1 3 2 3 2" xfId="22807" hidden="1"/>
    <cellStyle name="20% - Accent1 3 2 3 2" xfId="23530" hidden="1"/>
    <cellStyle name="20% - Accent1 3 2 3 2" xfId="23703" hidden="1"/>
    <cellStyle name="20% - Accent1 3 2 3 2" xfId="24096" hidden="1"/>
    <cellStyle name="20% - Accent1 3 2 3 2" xfId="24244" hidden="1"/>
    <cellStyle name="20% - Accent1 3 2 3 2" xfId="24582" hidden="1"/>
    <cellStyle name="20% - Accent1 3 2 3 2" xfId="24919" hidden="1"/>
    <cellStyle name="20% - Accent1 3 2 3 2" xfId="25484" hidden="1"/>
    <cellStyle name="20% - Accent1 3 2 3 2" xfId="25599" hidden="1"/>
    <cellStyle name="20% - Accent1 3 2 3 2" xfId="26322" hidden="1"/>
    <cellStyle name="20% - Accent1 3 2 3 2" xfId="26495" hidden="1"/>
    <cellStyle name="20% - Accent1 3 2 3 2" xfId="26888" hidden="1"/>
    <cellStyle name="20% - Accent1 3 2 3 2" xfId="27036" hidden="1"/>
    <cellStyle name="20% - Accent1 3 2 3 2" xfId="27374" hidden="1"/>
    <cellStyle name="20% - Accent1 3 2 3 2" xfId="27711" hidden="1"/>
    <cellStyle name="20% - Accent1 3 2 3 2" xfId="21891" hidden="1"/>
    <cellStyle name="20% - Accent1 3 2 3 2" xfId="16061" hidden="1"/>
    <cellStyle name="20% - Accent1 3 2 3 2" xfId="7231" hidden="1"/>
    <cellStyle name="20% - Accent1 3 2 3 2" xfId="6187" hidden="1"/>
    <cellStyle name="20% - Accent1 3 2 3 2" xfId="4379" hidden="1"/>
    <cellStyle name="20% - Accent1 3 2 3 2" xfId="3684" hidden="1"/>
    <cellStyle name="20% - Accent1 3 2 3 2" xfId="2117" hidden="1"/>
    <cellStyle name="20% - Accent1 3 2 3 2" xfId="606" hidden="1"/>
    <cellStyle name="20% - Accent1 3 2 3 2" xfId="28411" hidden="1"/>
    <cellStyle name="20% - Accent1 3 2 3 2" xfId="28526" hidden="1"/>
    <cellStyle name="20% - Accent1 3 2 3 2" xfId="29249" hidden="1"/>
    <cellStyle name="20% - Accent1 3 2 3 2" xfId="29422" hidden="1"/>
    <cellStyle name="20% - Accent1 3 2 3 2" xfId="29815" hidden="1"/>
    <cellStyle name="20% - Accent1 3 2 3 2" xfId="29963" hidden="1"/>
    <cellStyle name="20% - Accent1 3 2 3 2" xfId="30301" hidden="1"/>
    <cellStyle name="20% - Accent1 3 2 3 2" xfId="30638" hidden="1"/>
    <cellStyle name="20% - Accent1 3 2 3 2" xfId="31203" hidden="1"/>
    <cellStyle name="20% - Accent1 3 2 3 2" xfId="31318" hidden="1"/>
    <cellStyle name="20% - Accent1 3 2 3 2" xfId="32041" hidden="1"/>
    <cellStyle name="20% - Accent1 3 2 3 2" xfId="32214" hidden="1"/>
    <cellStyle name="20% - Accent1 3 2 3 2" xfId="32607" hidden="1"/>
    <cellStyle name="20% - Accent1 3 2 3 2" xfId="32755" hidden="1"/>
    <cellStyle name="20% - Accent1 3 2 3 2" xfId="33093" hidden="1"/>
    <cellStyle name="20% - Accent1 3 2 3 2" xfId="33430" hidden="1"/>
    <cellStyle name="20% - Accent1 3 2 4 2" xfId="770" hidden="1"/>
    <cellStyle name="20% - Accent1 3 2 4 2" xfId="978" hidden="1"/>
    <cellStyle name="20% - Accent1 3 2 4 2" xfId="3542" hidden="1"/>
    <cellStyle name="20% - Accent1 3 2 4 2" xfId="4057" hidden="1"/>
    <cellStyle name="20% - Accent1 3 2 4 2" xfId="5376" hidden="1"/>
    <cellStyle name="20% - Accent1 3 2 4 2" xfId="6073" hidden="1"/>
    <cellStyle name="20% - Accent1 3 2 4 2" xfId="7090" hidden="1"/>
    <cellStyle name="20% - Accent1 3 2 4 2" xfId="8294" hidden="1"/>
    <cellStyle name="20% - Accent1 3 2 4 2" xfId="10151" hidden="1"/>
    <cellStyle name="20% - Accent1 3 2 4 2" xfId="10266" hidden="1"/>
    <cellStyle name="20% - Accent1 3 2 4 2" xfId="10989" hidden="1"/>
    <cellStyle name="20% - Accent1 3 2 4 2" xfId="11162" hidden="1"/>
    <cellStyle name="20% - Accent1 3 2 4 2" xfId="11555" hidden="1"/>
    <cellStyle name="20% - Accent1 3 2 4 2" xfId="11703" hidden="1"/>
    <cellStyle name="20% - Accent1 3 2 4 2" xfId="12041" hidden="1"/>
    <cellStyle name="20% - Accent1 3 2 4 2" xfId="12378" hidden="1"/>
    <cellStyle name="20% - Accent1 3 2 4 2" xfId="12943" hidden="1"/>
    <cellStyle name="20% - Accent1 3 2 4 2" xfId="13058" hidden="1"/>
    <cellStyle name="20% - Accent1 3 2 4 2" xfId="13781" hidden="1"/>
    <cellStyle name="20% - Accent1 3 2 4 2" xfId="13954" hidden="1"/>
    <cellStyle name="20% - Accent1 3 2 4 2" xfId="14347" hidden="1"/>
    <cellStyle name="20% - Accent1 3 2 4 2" xfId="14495" hidden="1"/>
    <cellStyle name="20% - Accent1 3 2 4 2" xfId="14833" hidden="1"/>
    <cellStyle name="20% - Accent1 3 2 4 2" xfId="15170" hidden="1"/>
    <cellStyle name="20% - Accent1 3 2 4 2" xfId="9177" hidden="1"/>
    <cellStyle name="20% - Accent1 3 2 4 2" xfId="8632" hidden="1"/>
    <cellStyle name="20% - Accent1 3 2 4 2" xfId="6004" hidden="1"/>
    <cellStyle name="20% - Accent1 3 2 4 2" xfId="5213" hidden="1"/>
    <cellStyle name="20% - Accent1 3 2 4 2" xfId="3930" hidden="1"/>
    <cellStyle name="20% - Accent1 3 2 4 2" xfId="3250" hidden="1"/>
    <cellStyle name="20% - Accent1 3 2 4 2" xfId="1813" hidden="1"/>
    <cellStyle name="20% - Accent1 3 2 4 2" xfId="438" hidden="1"/>
    <cellStyle name="20% - Accent1 3 2 4 2" xfId="16492" hidden="1"/>
    <cellStyle name="20% - Accent1 3 2 4 2" xfId="16607" hidden="1"/>
    <cellStyle name="20% - Accent1 3 2 4 2" xfId="17330" hidden="1"/>
    <cellStyle name="20% - Accent1 3 2 4 2" xfId="17503" hidden="1"/>
    <cellStyle name="20% - Accent1 3 2 4 2" xfId="17896" hidden="1"/>
    <cellStyle name="20% - Accent1 3 2 4 2" xfId="18044" hidden="1"/>
    <cellStyle name="20% - Accent1 3 2 4 2" xfId="18382" hidden="1"/>
    <cellStyle name="20% - Accent1 3 2 4 2" xfId="18719" hidden="1"/>
    <cellStyle name="20% - Accent1 3 2 4 2" xfId="19284" hidden="1"/>
    <cellStyle name="20% - Accent1 3 2 4 2" xfId="19399" hidden="1"/>
    <cellStyle name="20% - Accent1 3 2 4 2" xfId="20122" hidden="1"/>
    <cellStyle name="20% - Accent1 3 2 4 2" xfId="20295" hidden="1"/>
    <cellStyle name="20% - Accent1 3 2 4 2" xfId="20688" hidden="1"/>
    <cellStyle name="20% - Accent1 3 2 4 2" xfId="20836" hidden="1"/>
    <cellStyle name="20% - Accent1 3 2 4 2" xfId="21174" hidden="1"/>
    <cellStyle name="20% - Accent1 3 2 4 2" xfId="21511" hidden="1"/>
    <cellStyle name="20% - Accent1 3 2 4 2" xfId="15685" hidden="1"/>
    <cellStyle name="20% - Accent1 3 2 4 2" xfId="9729" hidden="1"/>
    <cellStyle name="20% - Accent1 3 2 4 2" xfId="6588" hidden="1"/>
    <cellStyle name="20% - Accent1 3 2 4 2" xfId="5742" hidden="1"/>
    <cellStyle name="20% - Accent1 3 2 4 2" xfId="4199" hidden="1"/>
    <cellStyle name="20% - Accent1 3 2 4 2" xfId="3480" hidden="1"/>
    <cellStyle name="20% - Accent1 3 2 4 2" xfId="1989" hidden="1"/>
    <cellStyle name="20% - Accent1 3 2 4 2" xfId="551" hidden="1"/>
    <cellStyle name="20% - Accent1 3 2 4 2" xfId="22643" hidden="1"/>
    <cellStyle name="20% - Accent1 3 2 4 2" xfId="22758" hidden="1"/>
    <cellStyle name="20% - Accent1 3 2 4 2" xfId="23481" hidden="1"/>
    <cellStyle name="20% - Accent1 3 2 4 2" xfId="23654" hidden="1"/>
    <cellStyle name="20% - Accent1 3 2 4 2" xfId="24047" hidden="1"/>
    <cellStyle name="20% - Accent1 3 2 4 2" xfId="24195" hidden="1"/>
    <cellStyle name="20% - Accent1 3 2 4 2" xfId="24533" hidden="1"/>
    <cellStyle name="20% - Accent1 3 2 4 2" xfId="24870" hidden="1"/>
    <cellStyle name="20% - Accent1 3 2 4 2" xfId="25435" hidden="1"/>
    <cellStyle name="20% - Accent1 3 2 4 2" xfId="25550" hidden="1"/>
    <cellStyle name="20% - Accent1 3 2 4 2" xfId="26273" hidden="1"/>
    <cellStyle name="20% - Accent1 3 2 4 2" xfId="26446" hidden="1"/>
    <cellStyle name="20% - Accent1 3 2 4 2" xfId="26839" hidden="1"/>
    <cellStyle name="20% - Accent1 3 2 4 2" xfId="26987" hidden="1"/>
    <cellStyle name="20% - Accent1 3 2 4 2" xfId="27325" hidden="1"/>
    <cellStyle name="20% - Accent1 3 2 4 2" xfId="27662" hidden="1"/>
    <cellStyle name="20% - Accent1 3 2 4 2" xfId="21941" hidden="1"/>
    <cellStyle name="20% - Accent1 3 2 4 2" xfId="16110" hidden="1"/>
    <cellStyle name="20% - Accent1 3 2 4 2" xfId="7291" hidden="1"/>
    <cellStyle name="20% - Accent1 3 2 4 2" xfId="6251" hidden="1"/>
    <cellStyle name="20% - Accent1 3 2 4 2" xfId="4490" hidden="1"/>
    <cellStyle name="20% - Accent1 3 2 4 2" xfId="3736" hidden="1"/>
    <cellStyle name="20% - Accent1 3 2 4 2" xfId="2171" hidden="1"/>
    <cellStyle name="20% - Accent1 3 2 4 2" xfId="674" hidden="1"/>
    <cellStyle name="20% - Accent1 3 2 4 2" xfId="28362" hidden="1"/>
    <cellStyle name="20% - Accent1 3 2 4 2" xfId="28477" hidden="1"/>
    <cellStyle name="20% - Accent1 3 2 4 2" xfId="29200" hidden="1"/>
    <cellStyle name="20% - Accent1 3 2 4 2" xfId="29373" hidden="1"/>
    <cellStyle name="20% - Accent1 3 2 4 2" xfId="29766" hidden="1"/>
    <cellStyle name="20% - Accent1 3 2 4 2" xfId="29914" hidden="1"/>
    <cellStyle name="20% - Accent1 3 2 4 2" xfId="30252" hidden="1"/>
    <cellStyle name="20% - Accent1 3 2 4 2" xfId="30589" hidden="1"/>
    <cellStyle name="20% - Accent1 3 2 4 2" xfId="31154" hidden="1"/>
    <cellStyle name="20% - Accent1 3 2 4 2" xfId="31269" hidden="1"/>
    <cellStyle name="20% - Accent1 3 2 4 2" xfId="31992" hidden="1"/>
    <cellStyle name="20% - Accent1 3 2 4 2" xfId="32165" hidden="1"/>
    <cellStyle name="20% - Accent1 3 2 4 2" xfId="32558" hidden="1"/>
    <cellStyle name="20% - Accent1 3 2 4 2" xfId="32706" hidden="1"/>
    <cellStyle name="20% - Accent1 3 2 4 2" xfId="33044" hidden="1"/>
    <cellStyle name="20% - Accent1 3 2 4 2" xfId="33381" hidden="1"/>
    <cellStyle name="20% - Accent1 3 3 3 2" xfId="769" hidden="1"/>
    <cellStyle name="20% - Accent1 3 3 3 2" xfId="977" hidden="1"/>
    <cellStyle name="20% - Accent1 3 3 3 2" xfId="3541" hidden="1"/>
    <cellStyle name="20% - Accent1 3 3 3 2" xfId="4056" hidden="1"/>
    <cellStyle name="20% - Accent1 3 3 3 2" xfId="5375" hidden="1"/>
    <cellStyle name="20% - Accent1 3 3 3 2" xfId="6072" hidden="1"/>
    <cellStyle name="20% - Accent1 3 3 3 2" xfId="7089" hidden="1"/>
    <cellStyle name="20% - Accent1 3 3 3 2" xfId="8293" hidden="1"/>
    <cellStyle name="20% - Accent1 3 3 3 2" xfId="10150" hidden="1"/>
    <cellStyle name="20% - Accent1 3 3 3 2" xfId="10265" hidden="1"/>
    <cellStyle name="20% - Accent1 3 3 3 2" xfId="10988" hidden="1"/>
    <cellStyle name="20% - Accent1 3 3 3 2" xfId="11161" hidden="1"/>
    <cellStyle name="20% - Accent1 3 3 3 2" xfId="11554" hidden="1"/>
    <cellStyle name="20% - Accent1 3 3 3 2" xfId="11702" hidden="1"/>
    <cellStyle name="20% - Accent1 3 3 3 2" xfId="12040" hidden="1"/>
    <cellStyle name="20% - Accent1 3 3 3 2" xfId="12377" hidden="1"/>
    <cellStyle name="20% - Accent1 3 3 3 2" xfId="12942" hidden="1"/>
    <cellStyle name="20% - Accent1 3 3 3 2" xfId="13057" hidden="1"/>
    <cellStyle name="20% - Accent1 3 3 3 2" xfId="13780" hidden="1"/>
    <cellStyle name="20% - Accent1 3 3 3 2" xfId="13953" hidden="1"/>
    <cellStyle name="20% - Accent1 3 3 3 2" xfId="14346" hidden="1"/>
    <cellStyle name="20% - Accent1 3 3 3 2" xfId="14494" hidden="1"/>
    <cellStyle name="20% - Accent1 3 3 3 2" xfId="14832" hidden="1"/>
    <cellStyle name="20% - Accent1 3 3 3 2" xfId="15169" hidden="1"/>
    <cellStyle name="20% - Accent1 3 3 3 2" xfId="9178" hidden="1"/>
    <cellStyle name="20% - Accent1 3 3 3 2" xfId="8633" hidden="1"/>
    <cellStyle name="20% - Accent1 3 3 3 2" xfId="6005" hidden="1"/>
    <cellStyle name="20% - Accent1 3 3 3 2" xfId="5214" hidden="1"/>
    <cellStyle name="20% - Accent1 3 3 3 2" xfId="3931" hidden="1"/>
    <cellStyle name="20% - Accent1 3 3 3 2" xfId="3251" hidden="1"/>
    <cellStyle name="20% - Accent1 3 3 3 2" xfId="1815" hidden="1"/>
    <cellStyle name="20% - Accent1 3 3 3 2" xfId="440" hidden="1"/>
    <cellStyle name="20% - Accent1 3 3 3 2" xfId="16491" hidden="1"/>
    <cellStyle name="20% - Accent1 3 3 3 2" xfId="16606" hidden="1"/>
    <cellStyle name="20% - Accent1 3 3 3 2" xfId="17329" hidden="1"/>
    <cellStyle name="20% - Accent1 3 3 3 2" xfId="17502" hidden="1"/>
    <cellStyle name="20% - Accent1 3 3 3 2" xfId="17895" hidden="1"/>
    <cellStyle name="20% - Accent1 3 3 3 2" xfId="18043" hidden="1"/>
    <cellStyle name="20% - Accent1 3 3 3 2" xfId="18381" hidden="1"/>
    <cellStyle name="20% - Accent1 3 3 3 2" xfId="18718" hidden="1"/>
    <cellStyle name="20% - Accent1 3 3 3 2" xfId="19283" hidden="1"/>
    <cellStyle name="20% - Accent1 3 3 3 2" xfId="19398" hidden="1"/>
    <cellStyle name="20% - Accent1 3 3 3 2" xfId="20121" hidden="1"/>
    <cellStyle name="20% - Accent1 3 3 3 2" xfId="20294" hidden="1"/>
    <cellStyle name="20% - Accent1 3 3 3 2" xfId="20687" hidden="1"/>
    <cellStyle name="20% - Accent1 3 3 3 2" xfId="20835" hidden="1"/>
    <cellStyle name="20% - Accent1 3 3 3 2" xfId="21173" hidden="1"/>
    <cellStyle name="20% - Accent1 3 3 3 2" xfId="21510" hidden="1"/>
    <cellStyle name="20% - Accent1 3 3 3 2" xfId="15686" hidden="1"/>
    <cellStyle name="20% - Accent1 3 3 3 2" xfId="9730" hidden="1"/>
    <cellStyle name="20% - Accent1 3 3 3 2" xfId="6589" hidden="1"/>
    <cellStyle name="20% - Accent1 3 3 3 2" xfId="5743" hidden="1"/>
    <cellStyle name="20% - Accent1 3 3 3 2" xfId="4200" hidden="1"/>
    <cellStyle name="20% - Accent1 3 3 3 2" xfId="3481" hidden="1"/>
    <cellStyle name="20% - Accent1 3 3 3 2" xfId="1990" hidden="1"/>
    <cellStyle name="20% - Accent1 3 3 3 2" xfId="552" hidden="1"/>
    <cellStyle name="20% - Accent1 3 3 3 2" xfId="22642" hidden="1"/>
    <cellStyle name="20% - Accent1 3 3 3 2" xfId="22757" hidden="1"/>
    <cellStyle name="20% - Accent1 3 3 3 2" xfId="23480" hidden="1"/>
    <cellStyle name="20% - Accent1 3 3 3 2" xfId="23653" hidden="1"/>
    <cellStyle name="20% - Accent1 3 3 3 2" xfId="24046" hidden="1"/>
    <cellStyle name="20% - Accent1 3 3 3 2" xfId="24194" hidden="1"/>
    <cellStyle name="20% - Accent1 3 3 3 2" xfId="24532" hidden="1"/>
    <cellStyle name="20% - Accent1 3 3 3 2" xfId="24869" hidden="1"/>
    <cellStyle name="20% - Accent1 3 3 3 2" xfId="25434" hidden="1"/>
    <cellStyle name="20% - Accent1 3 3 3 2" xfId="25549" hidden="1"/>
    <cellStyle name="20% - Accent1 3 3 3 2" xfId="26272" hidden="1"/>
    <cellStyle name="20% - Accent1 3 3 3 2" xfId="26445" hidden="1"/>
    <cellStyle name="20% - Accent1 3 3 3 2" xfId="26838" hidden="1"/>
    <cellStyle name="20% - Accent1 3 3 3 2" xfId="26986" hidden="1"/>
    <cellStyle name="20% - Accent1 3 3 3 2" xfId="27324" hidden="1"/>
    <cellStyle name="20% - Accent1 3 3 3 2" xfId="27661" hidden="1"/>
    <cellStyle name="20% - Accent1 3 3 3 2" xfId="21942" hidden="1"/>
    <cellStyle name="20% - Accent1 3 3 3 2" xfId="16111" hidden="1"/>
    <cellStyle name="20% - Accent1 3 3 3 2" xfId="7292" hidden="1"/>
    <cellStyle name="20% - Accent1 3 3 3 2" xfId="6252" hidden="1"/>
    <cellStyle name="20% - Accent1 3 3 3 2" xfId="4494" hidden="1"/>
    <cellStyle name="20% - Accent1 3 3 3 2" xfId="3737" hidden="1"/>
    <cellStyle name="20% - Accent1 3 3 3 2" xfId="2172" hidden="1"/>
    <cellStyle name="20% - Accent1 3 3 3 2" xfId="675" hidden="1"/>
    <cellStyle name="20% - Accent1 3 3 3 2" xfId="28361" hidden="1"/>
    <cellStyle name="20% - Accent1 3 3 3 2" xfId="28476" hidden="1"/>
    <cellStyle name="20% - Accent1 3 3 3 2" xfId="29199" hidden="1"/>
    <cellStyle name="20% - Accent1 3 3 3 2" xfId="29372" hidden="1"/>
    <cellStyle name="20% - Accent1 3 3 3 2" xfId="29765" hidden="1"/>
    <cellStyle name="20% - Accent1 3 3 3 2" xfId="29913" hidden="1"/>
    <cellStyle name="20% - Accent1 3 3 3 2" xfId="30251" hidden="1"/>
    <cellStyle name="20% - Accent1 3 3 3 2" xfId="30588" hidden="1"/>
    <cellStyle name="20% - Accent1 3 3 3 2" xfId="31153" hidden="1"/>
    <cellStyle name="20% - Accent1 3 3 3 2" xfId="31268" hidden="1"/>
    <cellStyle name="20% - Accent1 3 3 3 2" xfId="31991" hidden="1"/>
    <cellStyle name="20% - Accent1 3 3 3 2" xfId="32164" hidden="1"/>
    <cellStyle name="20% - Accent1 3 3 3 2" xfId="32557" hidden="1"/>
    <cellStyle name="20% - Accent1 3 3 3 2" xfId="32705" hidden="1"/>
    <cellStyle name="20% - Accent1 3 3 3 2" xfId="33043" hidden="1"/>
    <cellStyle name="20% - Accent1 3 3 3 2" xfId="33380" hidden="1"/>
    <cellStyle name="20% - Accent1 4 2 3 2" xfId="820" hidden="1"/>
    <cellStyle name="20% - Accent1 4 2 3 2" xfId="1028" hidden="1"/>
    <cellStyle name="20% - Accent1 4 2 3 2" xfId="3592" hidden="1"/>
    <cellStyle name="20% - Accent1 4 2 3 2" xfId="4107" hidden="1"/>
    <cellStyle name="20% - Accent1 4 2 3 2" xfId="5426" hidden="1"/>
    <cellStyle name="20% - Accent1 4 2 3 2" xfId="6123" hidden="1"/>
    <cellStyle name="20% - Accent1 4 2 3 2" xfId="7140" hidden="1"/>
    <cellStyle name="20% - Accent1 4 2 3 2" xfId="8344" hidden="1"/>
    <cellStyle name="20% - Accent1 4 2 3 2" xfId="10201" hidden="1"/>
    <cellStyle name="20% - Accent1 4 2 3 2" xfId="10316" hidden="1"/>
    <cellStyle name="20% - Accent1 4 2 3 2" xfId="11039" hidden="1"/>
    <cellStyle name="20% - Accent1 4 2 3 2" xfId="11212" hidden="1"/>
    <cellStyle name="20% - Accent1 4 2 3 2" xfId="11605" hidden="1"/>
    <cellStyle name="20% - Accent1 4 2 3 2" xfId="11753" hidden="1"/>
    <cellStyle name="20% - Accent1 4 2 3 2" xfId="12091" hidden="1"/>
    <cellStyle name="20% - Accent1 4 2 3 2" xfId="12428" hidden="1"/>
    <cellStyle name="20% - Accent1 4 2 3 2" xfId="12993" hidden="1"/>
    <cellStyle name="20% - Accent1 4 2 3 2" xfId="13108" hidden="1"/>
    <cellStyle name="20% - Accent1 4 2 3 2" xfId="13831" hidden="1"/>
    <cellStyle name="20% - Accent1 4 2 3 2" xfId="14004" hidden="1"/>
    <cellStyle name="20% - Accent1 4 2 3 2" xfId="14397" hidden="1"/>
    <cellStyle name="20% - Accent1 4 2 3 2" xfId="14545" hidden="1"/>
    <cellStyle name="20% - Accent1 4 2 3 2" xfId="14883" hidden="1"/>
    <cellStyle name="20% - Accent1 4 2 3 2" xfId="15220" hidden="1"/>
    <cellStyle name="20% - Accent1 4 2 3 2" xfId="9126" hidden="1"/>
    <cellStyle name="20% - Accent1 4 2 3 2" xfId="8582" hidden="1"/>
    <cellStyle name="20% - Accent1 4 2 3 2" xfId="5954" hidden="1"/>
    <cellStyle name="20% - Accent1 4 2 3 2" xfId="5163" hidden="1"/>
    <cellStyle name="20% - Accent1 4 2 3 2" xfId="3878" hidden="1"/>
    <cellStyle name="20% - Accent1 4 2 3 2" xfId="3200" hidden="1"/>
    <cellStyle name="20% - Accent1 4 2 3 2" xfId="1757" hidden="1"/>
    <cellStyle name="20% - Accent1 4 2 3 2" xfId="356" hidden="1"/>
    <cellStyle name="20% - Accent1 4 2 3 2" xfId="16542" hidden="1"/>
    <cellStyle name="20% - Accent1 4 2 3 2" xfId="16657" hidden="1"/>
    <cellStyle name="20% - Accent1 4 2 3 2" xfId="17380" hidden="1"/>
    <cellStyle name="20% - Accent1 4 2 3 2" xfId="17553" hidden="1"/>
    <cellStyle name="20% - Accent1 4 2 3 2" xfId="17946" hidden="1"/>
    <cellStyle name="20% - Accent1 4 2 3 2" xfId="18094" hidden="1"/>
    <cellStyle name="20% - Accent1 4 2 3 2" xfId="18432" hidden="1"/>
    <cellStyle name="20% - Accent1 4 2 3 2" xfId="18769" hidden="1"/>
    <cellStyle name="20% - Accent1 4 2 3 2" xfId="19334" hidden="1"/>
    <cellStyle name="20% - Accent1 4 2 3 2" xfId="19449" hidden="1"/>
    <cellStyle name="20% - Accent1 4 2 3 2" xfId="20172" hidden="1"/>
    <cellStyle name="20% - Accent1 4 2 3 2" xfId="20345" hidden="1"/>
    <cellStyle name="20% - Accent1 4 2 3 2" xfId="20738" hidden="1"/>
    <cellStyle name="20% - Accent1 4 2 3 2" xfId="20886" hidden="1"/>
    <cellStyle name="20% - Accent1 4 2 3 2" xfId="21224" hidden="1"/>
    <cellStyle name="20% - Accent1 4 2 3 2" xfId="21561" hidden="1"/>
    <cellStyle name="20% - Accent1 4 2 3 2" xfId="15634" hidden="1"/>
    <cellStyle name="20% - Accent1 4 2 3 2" xfId="9679" hidden="1"/>
    <cellStyle name="20% - Accent1 4 2 3 2" xfId="6526" hidden="1"/>
    <cellStyle name="20% - Accent1 4 2 3 2" xfId="5678" hidden="1"/>
    <cellStyle name="20% - Accent1 4 2 3 2" xfId="4148" hidden="1"/>
    <cellStyle name="20% - Accent1 4 2 3 2" xfId="3427" hidden="1"/>
    <cellStyle name="20% - Accent1 4 2 3 2" xfId="1930" hidden="1"/>
    <cellStyle name="20% - Accent1 4 2 3 2" xfId="492" hidden="1"/>
    <cellStyle name="20% - Accent1 4 2 3 2" xfId="22693" hidden="1"/>
    <cellStyle name="20% - Accent1 4 2 3 2" xfId="22808" hidden="1"/>
    <cellStyle name="20% - Accent1 4 2 3 2" xfId="23531" hidden="1"/>
    <cellStyle name="20% - Accent1 4 2 3 2" xfId="23704" hidden="1"/>
    <cellStyle name="20% - Accent1 4 2 3 2" xfId="24097" hidden="1"/>
    <cellStyle name="20% - Accent1 4 2 3 2" xfId="24245" hidden="1"/>
    <cellStyle name="20% - Accent1 4 2 3 2" xfId="24583" hidden="1"/>
    <cellStyle name="20% - Accent1 4 2 3 2" xfId="24920" hidden="1"/>
    <cellStyle name="20% - Accent1 4 2 3 2" xfId="25485" hidden="1"/>
    <cellStyle name="20% - Accent1 4 2 3 2" xfId="25600" hidden="1"/>
    <cellStyle name="20% - Accent1 4 2 3 2" xfId="26323" hidden="1"/>
    <cellStyle name="20% - Accent1 4 2 3 2" xfId="26496" hidden="1"/>
    <cellStyle name="20% - Accent1 4 2 3 2" xfId="26889" hidden="1"/>
    <cellStyle name="20% - Accent1 4 2 3 2" xfId="27037" hidden="1"/>
    <cellStyle name="20% - Accent1 4 2 3 2" xfId="27375" hidden="1"/>
    <cellStyle name="20% - Accent1 4 2 3 2" xfId="27712" hidden="1"/>
    <cellStyle name="20% - Accent1 4 2 3 2" xfId="21890" hidden="1"/>
    <cellStyle name="20% - Accent1 4 2 3 2" xfId="16060" hidden="1"/>
    <cellStyle name="20% - Accent1 4 2 3 2" xfId="7230" hidden="1"/>
    <cellStyle name="20% - Accent1 4 2 3 2" xfId="6186" hidden="1"/>
    <cellStyle name="20% - Accent1 4 2 3 2" xfId="4378" hidden="1"/>
    <cellStyle name="20% - Accent1 4 2 3 2" xfId="3683" hidden="1"/>
    <cellStyle name="20% - Accent1 4 2 3 2" xfId="2116" hidden="1"/>
    <cellStyle name="20% - Accent1 4 2 3 2" xfId="605" hidden="1"/>
    <cellStyle name="20% - Accent1 4 2 3 2" xfId="28412" hidden="1"/>
    <cellStyle name="20% - Accent1 4 2 3 2" xfId="28527" hidden="1"/>
    <cellStyle name="20% - Accent1 4 2 3 2" xfId="29250" hidden="1"/>
    <cellStyle name="20% - Accent1 4 2 3 2" xfId="29423" hidden="1"/>
    <cellStyle name="20% - Accent1 4 2 3 2" xfId="29816" hidden="1"/>
    <cellStyle name="20% - Accent1 4 2 3 2" xfId="29964" hidden="1"/>
    <cellStyle name="20% - Accent1 4 2 3 2" xfId="30302" hidden="1"/>
    <cellStyle name="20% - Accent1 4 2 3 2" xfId="30639" hidden="1"/>
    <cellStyle name="20% - Accent1 4 2 3 2" xfId="31204" hidden="1"/>
    <cellStyle name="20% - Accent1 4 2 3 2" xfId="31319" hidden="1"/>
    <cellStyle name="20% - Accent1 4 2 3 2" xfId="32042" hidden="1"/>
    <cellStyle name="20% - Accent1 4 2 3 2" xfId="32215" hidden="1"/>
    <cellStyle name="20% - Accent1 4 2 3 2" xfId="32608" hidden="1"/>
    <cellStyle name="20% - Accent1 4 2 3 2" xfId="32756" hidden="1"/>
    <cellStyle name="20% - Accent1 4 2 3 2" xfId="33094" hidden="1"/>
    <cellStyle name="20% - Accent1 4 2 3 2" xfId="33431" hidden="1"/>
    <cellStyle name="20% - Accent1 4 2 4 2" xfId="772" hidden="1"/>
    <cellStyle name="20% - Accent1 4 2 4 2" xfId="980" hidden="1"/>
    <cellStyle name="20% - Accent1 4 2 4 2" xfId="3544" hidden="1"/>
    <cellStyle name="20% - Accent1 4 2 4 2" xfId="4059" hidden="1"/>
    <cellStyle name="20% - Accent1 4 2 4 2" xfId="5378" hidden="1"/>
    <cellStyle name="20% - Accent1 4 2 4 2" xfId="6075" hidden="1"/>
    <cellStyle name="20% - Accent1 4 2 4 2" xfId="7092" hidden="1"/>
    <cellStyle name="20% - Accent1 4 2 4 2" xfId="8296" hidden="1"/>
    <cellStyle name="20% - Accent1 4 2 4 2" xfId="10153" hidden="1"/>
    <cellStyle name="20% - Accent1 4 2 4 2" xfId="10268" hidden="1"/>
    <cellStyle name="20% - Accent1 4 2 4 2" xfId="10991" hidden="1"/>
    <cellStyle name="20% - Accent1 4 2 4 2" xfId="11164" hidden="1"/>
    <cellStyle name="20% - Accent1 4 2 4 2" xfId="11557" hidden="1"/>
    <cellStyle name="20% - Accent1 4 2 4 2" xfId="11705" hidden="1"/>
    <cellStyle name="20% - Accent1 4 2 4 2" xfId="12043" hidden="1"/>
    <cellStyle name="20% - Accent1 4 2 4 2" xfId="12380" hidden="1"/>
    <cellStyle name="20% - Accent1 4 2 4 2" xfId="12945" hidden="1"/>
    <cellStyle name="20% - Accent1 4 2 4 2" xfId="13060" hidden="1"/>
    <cellStyle name="20% - Accent1 4 2 4 2" xfId="13783" hidden="1"/>
    <cellStyle name="20% - Accent1 4 2 4 2" xfId="13956" hidden="1"/>
    <cellStyle name="20% - Accent1 4 2 4 2" xfId="14349" hidden="1"/>
    <cellStyle name="20% - Accent1 4 2 4 2" xfId="14497" hidden="1"/>
    <cellStyle name="20% - Accent1 4 2 4 2" xfId="14835" hidden="1"/>
    <cellStyle name="20% - Accent1 4 2 4 2" xfId="15172" hidden="1"/>
    <cellStyle name="20% - Accent1 4 2 4 2" xfId="9175" hidden="1"/>
    <cellStyle name="20% - Accent1 4 2 4 2" xfId="8630" hidden="1"/>
    <cellStyle name="20% - Accent1 4 2 4 2" xfId="6002" hidden="1"/>
    <cellStyle name="20% - Accent1 4 2 4 2" xfId="5211" hidden="1"/>
    <cellStyle name="20% - Accent1 4 2 4 2" xfId="3928" hidden="1"/>
    <cellStyle name="20% - Accent1 4 2 4 2" xfId="3248" hidden="1"/>
    <cellStyle name="20% - Accent1 4 2 4 2" xfId="1811" hidden="1"/>
    <cellStyle name="20% - Accent1 4 2 4 2" xfId="434" hidden="1"/>
    <cellStyle name="20% - Accent1 4 2 4 2" xfId="16494" hidden="1"/>
    <cellStyle name="20% - Accent1 4 2 4 2" xfId="16609" hidden="1"/>
    <cellStyle name="20% - Accent1 4 2 4 2" xfId="17332" hidden="1"/>
    <cellStyle name="20% - Accent1 4 2 4 2" xfId="17505" hidden="1"/>
    <cellStyle name="20% - Accent1 4 2 4 2" xfId="17898" hidden="1"/>
    <cellStyle name="20% - Accent1 4 2 4 2" xfId="18046" hidden="1"/>
    <cellStyle name="20% - Accent1 4 2 4 2" xfId="18384" hidden="1"/>
    <cellStyle name="20% - Accent1 4 2 4 2" xfId="18721" hidden="1"/>
    <cellStyle name="20% - Accent1 4 2 4 2" xfId="19286" hidden="1"/>
    <cellStyle name="20% - Accent1 4 2 4 2" xfId="19401" hidden="1"/>
    <cellStyle name="20% - Accent1 4 2 4 2" xfId="20124" hidden="1"/>
    <cellStyle name="20% - Accent1 4 2 4 2" xfId="20297" hidden="1"/>
    <cellStyle name="20% - Accent1 4 2 4 2" xfId="20690" hidden="1"/>
    <cellStyle name="20% - Accent1 4 2 4 2" xfId="20838" hidden="1"/>
    <cellStyle name="20% - Accent1 4 2 4 2" xfId="21176" hidden="1"/>
    <cellStyle name="20% - Accent1 4 2 4 2" xfId="21513" hidden="1"/>
    <cellStyle name="20% - Accent1 4 2 4 2" xfId="15683" hidden="1"/>
    <cellStyle name="20% - Accent1 4 2 4 2" xfId="9727" hidden="1"/>
    <cellStyle name="20% - Accent1 4 2 4 2" xfId="6585" hidden="1"/>
    <cellStyle name="20% - Accent1 4 2 4 2" xfId="5739" hidden="1"/>
    <cellStyle name="20% - Accent1 4 2 4 2" xfId="4197" hidden="1"/>
    <cellStyle name="20% - Accent1 4 2 4 2" xfId="3478" hidden="1"/>
    <cellStyle name="20% - Accent1 4 2 4 2" xfId="1987" hidden="1"/>
    <cellStyle name="20% - Accent1 4 2 4 2" xfId="547" hidden="1"/>
    <cellStyle name="20% - Accent1 4 2 4 2" xfId="22645" hidden="1"/>
    <cellStyle name="20% - Accent1 4 2 4 2" xfId="22760" hidden="1"/>
    <cellStyle name="20% - Accent1 4 2 4 2" xfId="23483" hidden="1"/>
    <cellStyle name="20% - Accent1 4 2 4 2" xfId="23656" hidden="1"/>
    <cellStyle name="20% - Accent1 4 2 4 2" xfId="24049" hidden="1"/>
    <cellStyle name="20% - Accent1 4 2 4 2" xfId="24197" hidden="1"/>
    <cellStyle name="20% - Accent1 4 2 4 2" xfId="24535" hidden="1"/>
    <cellStyle name="20% - Accent1 4 2 4 2" xfId="24872" hidden="1"/>
    <cellStyle name="20% - Accent1 4 2 4 2" xfId="25437" hidden="1"/>
    <cellStyle name="20% - Accent1 4 2 4 2" xfId="25552" hidden="1"/>
    <cellStyle name="20% - Accent1 4 2 4 2" xfId="26275" hidden="1"/>
    <cellStyle name="20% - Accent1 4 2 4 2" xfId="26448" hidden="1"/>
    <cellStyle name="20% - Accent1 4 2 4 2" xfId="26841" hidden="1"/>
    <cellStyle name="20% - Accent1 4 2 4 2" xfId="26989" hidden="1"/>
    <cellStyle name="20% - Accent1 4 2 4 2" xfId="27327" hidden="1"/>
    <cellStyle name="20% - Accent1 4 2 4 2" xfId="27664" hidden="1"/>
    <cellStyle name="20% - Accent1 4 2 4 2" xfId="21939" hidden="1"/>
    <cellStyle name="20% - Accent1 4 2 4 2" xfId="16108" hidden="1"/>
    <cellStyle name="20% - Accent1 4 2 4 2" xfId="7288" hidden="1"/>
    <cellStyle name="20% - Accent1 4 2 4 2" xfId="6248" hidden="1"/>
    <cellStyle name="20% - Accent1 4 2 4 2" xfId="4488" hidden="1"/>
    <cellStyle name="20% - Accent1 4 2 4 2" xfId="3734" hidden="1"/>
    <cellStyle name="20% - Accent1 4 2 4 2" xfId="2168" hidden="1"/>
    <cellStyle name="20% - Accent1 4 2 4 2" xfId="671" hidden="1"/>
    <cellStyle name="20% - Accent1 4 2 4 2" xfId="28364" hidden="1"/>
    <cellStyle name="20% - Accent1 4 2 4 2" xfId="28479" hidden="1"/>
    <cellStyle name="20% - Accent1 4 2 4 2" xfId="29202" hidden="1"/>
    <cellStyle name="20% - Accent1 4 2 4 2" xfId="29375" hidden="1"/>
    <cellStyle name="20% - Accent1 4 2 4 2" xfId="29768" hidden="1"/>
    <cellStyle name="20% - Accent1 4 2 4 2" xfId="29916" hidden="1"/>
    <cellStyle name="20% - Accent1 4 2 4 2" xfId="30254" hidden="1"/>
    <cellStyle name="20% - Accent1 4 2 4 2" xfId="30591" hidden="1"/>
    <cellStyle name="20% - Accent1 4 2 4 2" xfId="31156" hidden="1"/>
    <cellStyle name="20% - Accent1 4 2 4 2" xfId="31271" hidden="1"/>
    <cellStyle name="20% - Accent1 4 2 4 2" xfId="31994" hidden="1"/>
    <cellStyle name="20% - Accent1 4 2 4 2" xfId="32167" hidden="1"/>
    <cellStyle name="20% - Accent1 4 2 4 2" xfId="32560" hidden="1"/>
    <cellStyle name="20% - Accent1 4 2 4 2" xfId="32708" hidden="1"/>
    <cellStyle name="20% - Accent1 4 2 4 2" xfId="33046" hidden="1"/>
    <cellStyle name="20% - Accent1 4 2 4 2" xfId="33383" hidden="1"/>
    <cellStyle name="20% - Accent1 4 3 3 2" xfId="771" hidden="1"/>
    <cellStyle name="20% - Accent1 4 3 3 2" xfId="979" hidden="1"/>
    <cellStyle name="20% - Accent1 4 3 3 2" xfId="3543" hidden="1"/>
    <cellStyle name="20% - Accent1 4 3 3 2" xfId="4058" hidden="1"/>
    <cellStyle name="20% - Accent1 4 3 3 2" xfId="5377" hidden="1"/>
    <cellStyle name="20% - Accent1 4 3 3 2" xfId="6074" hidden="1"/>
    <cellStyle name="20% - Accent1 4 3 3 2" xfId="7091" hidden="1"/>
    <cellStyle name="20% - Accent1 4 3 3 2" xfId="8295" hidden="1"/>
    <cellStyle name="20% - Accent1 4 3 3 2" xfId="10152" hidden="1"/>
    <cellStyle name="20% - Accent1 4 3 3 2" xfId="10267" hidden="1"/>
    <cellStyle name="20% - Accent1 4 3 3 2" xfId="10990" hidden="1"/>
    <cellStyle name="20% - Accent1 4 3 3 2" xfId="11163" hidden="1"/>
    <cellStyle name="20% - Accent1 4 3 3 2" xfId="11556" hidden="1"/>
    <cellStyle name="20% - Accent1 4 3 3 2" xfId="11704" hidden="1"/>
    <cellStyle name="20% - Accent1 4 3 3 2" xfId="12042" hidden="1"/>
    <cellStyle name="20% - Accent1 4 3 3 2" xfId="12379" hidden="1"/>
    <cellStyle name="20% - Accent1 4 3 3 2" xfId="12944" hidden="1"/>
    <cellStyle name="20% - Accent1 4 3 3 2" xfId="13059" hidden="1"/>
    <cellStyle name="20% - Accent1 4 3 3 2" xfId="13782" hidden="1"/>
    <cellStyle name="20% - Accent1 4 3 3 2" xfId="13955" hidden="1"/>
    <cellStyle name="20% - Accent1 4 3 3 2" xfId="14348" hidden="1"/>
    <cellStyle name="20% - Accent1 4 3 3 2" xfId="14496" hidden="1"/>
    <cellStyle name="20% - Accent1 4 3 3 2" xfId="14834" hidden="1"/>
    <cellStyle name="20% - Accent1 4 3 3 2" xfId="15171" hidden="1"/>
    <cellStyle name="20% - Accent1 4 3 3 2" xfId="9176" hidden="1"/>
    <cellStyle name="20% - Accent1 4 3 3 2" xfId="8631" hidden="1"/>
    <cellStyle name="20% - Accent1 4 3 3 2" xfId="6003" hidden="1"/>
    <cellStyle name="20% - Accent1 4 3 3 2" xfId="5212" hidden="1"/>
    <cellStyle name="20% - Accent1 4 3 3 2" xfId="3929" hidden="1"/>
    <cellStyle name="20% - Accent1 4 3 3 2" xfId="3249" hidden="1"/>
    <cellStyle name="20% - Accent1 4 3 3 2" xfId="1812" hidden="1"/>
    <cellStyle name="20% - Accent1 4 3 3 2" xfId="435" hidden="1"/>
    <cellStyle name="20% - Accent1 4 3 3 2" xfId="16493" hidden="1"/>
    <cellStyle name="20% - Accent1 4 3 3 2" xfId="16608" hidden="1"/>
    <cellStyle name="20% - Accent1 4 3 3 2" xfId="17331" hidden="1"/>
    <cellStyle name="20% - Accent1 4 3 3 2" xfId="17504" hidden="1"/>
    <cellStyle name="20% - Accent1 4 3 3 2" xfId="17897" hidden="1"/>
    <cellStyle name="20% - Accent1 4 3 3 2" xfId="18045" hidden="1"/>
    <cellStyle name="20% - Accent1 4 3 3 2" xfId="18383" hidden="1"/>
    <cellStyle name="20% - Accent1 4 3 3 2" xfId="18720" hidden="1"/>
    <cellStyle name="20% - Accent1 4 3 3 2" xfId="19285" hidden="1"/>
    <cellStyle name="20% - Accent1 4 3 3 2" xfId="19400" hidden="1"/>
    <cellStyle name="20% - Accent1 4 3 3 2" xfId="20123" hidden="1"/>
    <cellStyle name="20% - Accent1 4 3 3 2" xfId="20296" hidden="1"/>
    <cellStyle name="20% - Accent1 4 3 3 2" xfId="20689" hidden="1"/>
    <cellStyle name="20% - Accent1 4 3 3 2" xfId="20837" hidden="1"/>
    <cellStyle name="20% - Accent1 4 3 3 2" xfId="21175" hidden="1"/>
    <cellStyle name="20% - Accent1 4 3 3 2" xfId="21512" hidden="1"/>
    <cellStyle name="20% - Accent1 4 3 3 2" xfId="15684" hidden="1"/>
    <cellStyle name="20% - Accent1 4 3 3 2" xfId="9728" hidden="1"/>
    <cellStyle name="20% - Accent1 4 3 3 2" xfId="6586" hidden="1"/>
    <cellStyle name="20% - Accent1 4 3 3 2" xfId="5740" hidden="1"/>
    <cellStyle name="20% - Accent1 4 3 3 2" xfId="4198" hidden="1"/>
    <cellStyle name="20% - Accent1 4 3 3 2" xfId="3479" hidden="1"/>
    <cellStyle name="20% - Accent1 4 3 3 2" xfId="1988" hidden="1"/>
    <cellStyle name="20% - Accent1 4 3 3 2" xfId="549" hidden="1"/>
    <cellStyle name="20% - Accent1 4 3 3 2" xfId="22644" hidden="1"/>
    <cellStyle name="20% - Accent1 4 3 3 2" xfId="22759" hidden="1"/>
    <cellStyle name="20% - Accent1 4 3 3 2" xfId="23482" hidden="1"/>
    <cellStyle name="20% - Accent1 4 3 3 2" xfId="23655" hidden="1"/>
    <cellStyle name="20% - Accent1 4 3 3 2" xfId="24048" hidden="1"/>
    <cellStyle name="20% - Accent1 4 3 3 2" xfId="24196" hidden="1"/>
    <cellStyle name="20% - Accent1 4 3 3 2" xfId="24534" hidden="1"/>
    <cellStyle name="20% - Accent1 4 3 3 2" xfId="24871" hidden="1"/>
    <cellStyle name="20% - Accent1 4 3 3 2" xfId="25436" hidden="1"/>
    <cellStyle name="20% - Accent1 4 3 3 2" xfId="25551" hidden="1"/>
    <cellStyle name="20% - Accent1 4 3 3 2" xfId="26274" hidden="1"/>
    <cellStyle name="20% - Accent1 4 3 3 2" xfId="26447" hidden="1"/>
    <cellStyle name="20% - Accent1 4 3 3 2" xfId="26840" hidden="1"/>
    <cellStyle name="20% - Accent1 4 3 3 2" xfId="26988" hidden="1"/>
    <cellStyle name="20% - Accent1 4 3 3 2" xfId="27326" hidden="1"/>
    <cellStyle name="20% - Accent1 4 3 3 2" xfId="27663" hidden="1"/>
    <cellStyle name="20% - Accent1 4 3 3 2" xfId="21940" hidden="1"/>
    <cellStyle name="20% - Accent1 4 3 3 2" xfId="16109" hidden="1"/>
    <cellStyle name="20% - Accent1 4 3 3 2" xfId="7290" hidden="1"/>
    <cellStyle name="20% - Accent1 4 3 3 2" xfId="6249" hidden="1"/>
    <cellStyle name="20% - Accent1 4 3 3 2" xfId="4489" hidden="1"/>
    <cellStyle name="20% - Accent1 4 3 3 2" xfId="3735" hidden="1"/>
    <cellStyle name="20% - Accent1 4 3 3 2" xfId="2170" hidden="1"/>
    <cellStyle name="20% - Accent1 4 3 3 2" xfId="672" hidden="1"/>
    <cellStyle name="20% - Accent1 4 3 3 2" xfId="28363" hidden="1"/>
    <cellStyle name="20% - Accent1 4 3 3 2" xfId="28478" hidden="1"/>
    <cellStyle name="20% - Accent1 4 3 3 2" xfId="29201" hidden="1"/>
    <cellStyle name="20% - Accent1 4 3 3 2" xfId="29374" hidden="1"/>
    <cellStyle name="20% - Accent1 4 3 3 2" xfId="29767" hidden="1"/>
    <cellStyle name="20% - Accent1 4 3 3 2" xfId="29915" hidden="1"/>
    <cellStyle name="20% - Accent1 4 3 3 2" xfId="30253" hidden="1"/>
    <cellStyle name="20% - Accent1 4 3 3 2" xfId="30590" hidden="1"/>
    <cellStyle name="20% - Accent1 4 3 3 2" xfId="31155" hidden="1"/>
    <cellStyle name="20% - Accent1 4 3 3 2" xfId="31270" hidden="1"/>
    <cellStyle name="20% - Accent1 4 3 3 2" xfId="31993" hidden="1"/>
    <cellStyle name="20% - Accent1 4 3 3 2" xfId="32166" hidden="1"/>
    <cellStyle name="20% - Accent1 4 3 3 2" xfId="32559" hidden="1"/>
    <cellStyle name="20% - Accent1 4 3 3 2" xfId="32707" hidden="1"/>
    <cellStyle name="20% - Accent1 4 3 3 2" xfId="33045" hidden="1"/>
    <cellStyle name="20% - Accent1 4 3 3 2" xfId="33382" hidden="1"/>
    <cellStyle name="20% - Accent1 5 2" xfId="757" hidden="1"/>
    <cellStyle name="20% - Accent1 5 2" xfId="965" hidden="1"/>
    <cellStyle name="20% - Accent1 5 2" xfId="3529" hidden="1"/>
    <cellStyle name="20% - Accent1 5 2" xfId="4044" hidden="1"/>
    <cellStyle name="20% - Accent1 5 2" xfId="5363" hidden="1"/>
    <cellStyle name="20% - Accent1 5 2" xfId="6060" hidden="1"/>
    <cellStyle name="20% - Accent1 5 2" xfId="7077" hidden="1"/>
    <cellStyle name="20% - Accent1 5 2" xfId="8281" hidden="1"/>
    <cellStyle name="20% - Accent1 5 2" xfId="10138" hidden="1"/>
    <cellStyle name="20% - Accent1 5 2" xfId="10253" hidden="1"/>
    <cellStyle name="20% - Accent1 5 2" xfId="10976" hidden="1"/>
    <cellStyle name="20% - Accent1 5 2" xfId="11149" hidden="1"/>
    <cellStyle name="20% - Accent1 5 2" xfId="11542" hidden="1"/>
    <cellStyle name="20% - Accent1 5 2" xfId="11690" hidden="1"/>
    <cellStyle name="20% - Accent1 5 2" xfId="12028" hidden="1"/>
    <cellStyle name="20% - Accent1 5 2" xfId="12365" hidden="1"/>
    <cellStyle name="20% - Accent1 5 2" xfId="12930" hidden="1"/>
    <cellStyle name="20% - Accent1 5 2" xfId="13045" hidden="1"/>
    <cellStyle name="20% - Accent1 5 2" xfId="13768" hidden="1"/>
    <cellStyle name="20% - Accent1 5 2" xfId="13941" hidden="1"/>
    <cellStyle name="20% - Accent1 5 2" xfId="14334" hidden="1"/>
    <cellStyle name="20% - Accent1 5 2" xfId="14482" hidden="1"/>
    <cellStyle name="20% - Accent1 5 2" xfId="14820" hidden="1"/>
    <cellStyle name="20% - Accent1 5 2" xfId="15157" hidden="1"/>
    <cellStyle name="20% - Accent1 5 2" xfId="9190" hidden="1"/>
    <cellStyle name="20% - Accent1 5 2" xfId="8645" hidden="1"/>
    <cellStyle name="20% - Accent1 5 2" xfId="6018" hidden="1"/>
    <cellStyle name="20% - Accent1 5 2" xfId="5226" hidden="1"/>
    <cellStyle name="20% - Accent1 5 2" xfId="3945" hidden="1"/>
    <cellStyle name="20% - Accent1 5 2" xfId="3263" hidden="1"/>
    <cellStyle name="20% - Accent1 5 2" xfId="1831" hidden="1"/>
    <cellStyle name="20% - Accent1 5 2" xfId="452" hidden="1"/>
    <cellStyle name="20% - Accent1 5 2" xfId="16479" hidden="1"/>
    <cellStyle name="20% - Accent1 5 2" xfId="16594" hidden="1"/>
    <cellStyle name="20% - Accent1 5 2" xfId="17317" hidden="1"/>
    <cellStyle name="20% - Accent1 5 2" xfId="17490" hidden="1"/>
    <cellStyle name="20% - Accent1 5 2" xfId="17883" hidden="1"/>
    <cellStyle name="20% - Accent1 5 2" xfId="18031" hidden="1"/>
    <cellStyle name="20% - Accent1 5 2" xfId="18369" hidden="1"/>
    <cellStyle name="20% - Accent1 5 2" xfId="18706" hidden="1"/>
    <cellStyle name="20% - Accent1 5 2" xfId="19271" hidden="1"/>
    <cellStyle name="20% - Accent1 5 2" xfId="19386" hidden="1"/>
    <cellStyle name="20% - Accent1 5 2" xfId="20109" hidden="1"/>
    <cellStyle name="20% - Accent1 5 2" xfId="20282" hidden="1"/>
    <cellStyle name="20% - Accent1 5 2" xfId="20675" hidden="1"/>
    <cellStyle name="20% - Accent1 5 2" xfId="20823" hidden="1"/>
    <cellStyle name="20% - Accent1 5 2" xfId="21161" hidden="1"/>
    <cellStyle name="20% - Accent1 5 2" xfId="21498" hidden="1"/>
    <cellStyle name="20% - Accent1 5 2" xfId="15698" hidden="1"/>
    <cellStyle name="20% - Accent1 5 2" xfId="9742" hidden="1"/>
    <cellStyle name="20% - Accent1 5 2" xfId="6601" hidden="1"/>
    <cellStyle name="20% - Accent1 5 2" xfId="5756" hidden="1"/>
    <cellStyle name="20% - Accent1 5 2" xfId="4212" hidden="1"/>
    <cellStyle name="20% - Accent1 5 2" xfId="3493" hidden="1"/>
    <cellStyle name="20% - Accent1 5 2" xfId="2004" hidden="1"/>
    <cellStyle name="20% - Accent1 5 2" xfId="564" hidden="1"/>
    <cellStyle name="20% - Accent1 5 2" xfId="22630" hidden="1"/>
    <cellStyle name="20% - Accent1 5 2" xfId="22745" hidden="1"/>
    <cellStyle name="20% - Accent1 5 2" xfId="23468" hidden="1"/>
    <cellStyle name="20% - Accent1 5 2" xfId="23641" hidden="1"/>
    <cellStyle name="20% - Accent1 5 2" xfId="24034" hidden="1"/>
    <cellStyle name="20% - Accent1 5 2" xfId="24182" hidden="1"/>
    <cellStyle name="20% - Accent1 5 2" xfId="24520" hidden="1"/>
    <cellStyle name="20% - Accent1 5 2" xfId="24857" hidden="1"/>
    <cellStyle name="20% - Accent1 5 2" xfId="25422" hidden="1"/>
    <cellStyle name="20% - Accent1 5 2" xfId="25537" hidden="1"/>
    <cellStyle name="20% - Accent1 5 2" xfId="26260" hidden="1"/>
    <cellStyle name="20% - Accent1 5 2" xfId="26433" hidden="1"/>
    <cellStyle name="20% - Accent1 5 2" xfId="26826" hidden="1"/>
    <cellStyle name="20% - Accent1 5 2" xfId="26974" hidden="1"/>
    <cellStyle name="20% - Accent1 5 2" xfId="27312" hidden="1"/>
    <cellStyle name="20% - Accent1 5 2" xfId="27649" hidden="1"/>
    <cellStyle name="20% - Accent1 5 2" xfId="21955" hidden="1"/>
    <cellStyle name="20% - Accent1 5 2" xfId="16123" hidden="1"/>
    <cellStyle name="20% - Accent1 5 2" xfId="7304" hidden="1"/>
    <cellStyle name="20% - Accent1 5 2" xfId="6265" hidden="1"/>
    <cellStyle name="20% - Accent1 5 2" xfId="4518" hidden="1"/>
    <cellStyle name="20% - Accent1 5 2" xfId="3749" hidden="1"/>
    <cellStyle name="20% - Accent1 5 2" xfId="2185" hidden="1"/>
    <cellStyle name="20% - Accent1 5 2" xfId="699" hidden="1"/>
    <cellStyle name="20% - Accent1 5 2" xfId="28349" hidden="1"/>
    <cellStyle name="20% - Accent1 5 2" xfId="28464" hidden="1"/>
    <cellStyle name="20% - Accent1 5 2" xfId="29187" hidden="1"/>
    <cellStyle name="20% - Accent1 5 2" xfId="29360" hidden="1"/>
    <cellStyle name="20% - Accent1 5 2" xfId="29753" hidden="1"/>
    <cellStyle name="20% - Accent1 5 2" xfId="29901" hidden="1"/>
    <cellStyle name="20% - Accent1 5 2" xfId="30239" hidden="1"/>
    <cellStyle name="20% - Accent1 5 2" xfId="30576" hidden="1"/>
    <cellStyle name="20% - Accent1 5 2" xfId="31141" hidden="1"/>
    <cellStyle name="20% - Accent1 5 2" xfId="31256" hidden="1"/>
    <cellStyle name="20% - Accent1 5 2" xfId="31979" hidden="1"/>
    <cellStyle name="20% - Accent1 5 2" xfId="32152" hidden="1"/>
    <cellStyle name="20% - Accent1 5 2" xfId="32545" hidden="1"/>
    <cellStyle name="20% - Accent1 5 2" xfId="32693" hidden="1"/>
    <cellStyle name="20% - Accent1 5 2" xfId="33031" hidden="1"/>
    <cellStyle name="20% - Accent1 5 2" xfId="33368" hidden="1"/>
    <cellStyle name="20% - Accent1 7" xfId="124" hidden="1"/>
    <cellStyle name="20% - Accent1 7" xfId="210" hidden="1"/>
    <cellStyle name="20% - Accent1 7" xfId="291" hidden="1"/>
    <cellStyle name="20% - Accent1 7" xfId="478" hidden="1"/>
    <cellStyle name="20% - Accent1 7" xfId="2332" hidden="1"/>
    <cellStyle name="20% - Accent1 7" xfId="2467" hidden="1"/>
    <cellStyle name="20% - Accent1 7" xfId="2622" hidden="1"/>
    <cellStyle name="20% - Accent1 7" xfId="1484" hidden="1"/>
    <cellStyle name="20% - Accent1 7" xfId="3819" hidden="1"/>
    <cellStyle name="20% - Accent1 7" xfId="1672" hidden="1"/>
    <cellStyle name="20% - Accent1 7" xfId="3846" hidden="1"/>
    <cellStyle name="20% - Accent1 7" xfId="4459" hidden="1"/>
    <cellStyle name="20% - Accent1 7" xfId="4644" hidden="1"/>
    <cellStyle name="20% - Accent1 7" xfId="1780" hidden="1"/>
    <cellStyle name="20% - Accent1 7" xfId="5843" hidden="1"/>
    <cellStyle name="20% - Accent1 7" xfId="3982" hidden="1"/>
    <cellStyle name="20% - Accent1 7" xfId="5875" hidden="1"/>
    <cellStyle name="20% - Accent1 7" xfId="6405" hidden="1"/>
    <cellStyle name="20% - Accent1 7" xfId="6548" hidden="1"/>
    <cellStyle name="20% - Accent1 7" xfId="6790" hidden="1"/>
    <cellStyle name="20% - Accent1 7" xfId="7588" hidden="1"/>
    <cellStyle name="20% - Accent1 7" xfId="7748" hidden="1"/>
    <cellStyle name="20% - Accent1 7" xfId="8014" hidden="1"/>
    <cellStyle name="20% - Accent1 7" xfId="8834" hidden="1"/>
    <cellStyle name="20% - Accent1 7" xfId="9815" hidden="1"/>
    <cellStyle name="20% - Accent1 7" xfId="9898" hidden="1"/>
    <cellStyle name="20% - Accent1 7" xfId="9976" hidden="1"/>
    <cellStyle name="20% - Accent1 7" xfId="10054" hidden="1"/>
    <cellStyle name="20% - Accent1 7" xfId="10636" hidden="1"/>
    <cellStyle name="20% - Accent1 7" xfId="10715" hidden="1"/>
    <cellStyle name="20% - Accent1 7" xfId="10793" hidden="1"/>
    <cellStyle name="20% - Accent1 7" xfId="10339" hidden="1"/>
    <cellStyle name="20% - Accent1 7" xfId="11093" hidden="1"/>
    <cellStyle name="20% - Accent1 7" xfId="10369" hidden="1"/>
    <cellStyle name="20% - Accent1 7" xfId="11105" hidden="1"/>
    <cellStyle name="20% - Accent1 7" xfId="11310" hidden="1"/>
    <cellStyle name="20% - Accent1 7" xfId="11388" hidden="1"/>
    <cellStyle name="20% - Accent1 7" xfId="10414" hidden="1"/>
    <cellStyle name="20% - Accent1 7" xfId="11651" hidden="1"/>
    <cellStyle name="20% - Accent1 7" xfId="11123" hidden="1"/>
    <cellStyle name="20% - Accent1 7" xfId="11654" hidden="1"/>
    <cellStyle name="20% - Accent1 7" xfId="11842" hidden="1"/>
    <cellStyle name="20% - Accent1 7" xfId="11920" hidden="1"/>
    <cellStyle name="20% - Accent1 7" xfId="11996" hidden="1"/>
    <cellStyle name="20% - Accent1 7" xfId="12179" hidden="1"/>
    <cellStyle name="20% - Accent1 7" xfId="12257" hidden="1"/>
    <cellStyle name="20% - Accent1 7" xfId="12333" hidden="1"/>
    <cellStyle name="20% - Accent1 7" xfId="12516" hidden="1"/>
    <cellStyle name="20% - Accent1 7" xfId="12607" hidden="1"/>
    <cellStyle name="20% - Accent1 7" xfId="12690" hidden="1"/>
    <cellStyle name="20% - Accent1 7" xfId="12768" hidden="1"/>
    <cellStyle name="20% - Accent1 7" xfId="12846" hidden="1"/>
    <cellStyle name="20% - Accent1 7" xfId="13428" hidden="1"/>
    <cellStyle name="20% - Accent1 7" xfId="13507" hidden="1"/>
    <cellStyle name="20% - Accent1 7" xfId="13585" hidden="1"/>
    <cellStyle name="20% - Accent1 7" xfId="13131" hidden="1"/>
    <cellStyle name="20% - Accent1 7" xfId="13885" hidden="1"/>
    <cellStyle name="20% - Accent1 7" xfId="13161" hidden="1"/>
    <cellStyle name="20% - Accent1 7" xfId="13897" hidden="1"/>
    <cellStyle name="20% - Accent1 7" xfId="14102" hidden="1"/>
    <cellStyle name="20% - Accent1 7" xfId="14180" hidden="1"/>
    <cellStyle name="20% - Accent1 7" xfId="13206" hidden="1"/>
    <cellStyle name="20% - Accent1 7" xfId="14443" hidden="1"/>
    <cellStyle name="20% - Accent1 7" xfId="13915" hidden="1"/>
    <cellStyle name="20% - Accent1 7" xfId="14446" hidden="1"/>
    <cellStyle name="20% - Accent1 7" xfId="14634" hidden="1"/>
    <cellStyle name="20% - Accent1 7" xfId="14712" hidden="1"/>
    <cellStyle name="20% - Accent1 7" xfId="14788" hidden="1"/>
    <cellStyle name="20% - Accent1 7" xfId="14971" hidden="1"/>
    <cellStyle name="20% - Accent1 7" xfId="15049" hidden="1"/>
    <cellStyle name="20% - Accent1 7" xfId="15125" hidden="1"/>
    <cellStyle name="20% - Accent1 7" xfId="15308" hidden="1"/>
    <cellStyle name="20% - Accent1 7" xfId="9646" hidden="1"/>
    <cellStyle name="20% - Accent1 7" xfId="9546" hidden="1"/>
    <cellStyle name="20% - Accent1 7" xfId="9431" hidden="1"/>
    <cellStyle name="20% - Accent1 7" xfId="9313" hidden="1"/>
    <cellStyle name="20% - Accent1 7" xfId="7050" hidden="1"/>
    <cellStyle name="20% - Accent1 7" xfId="6952" hidden="1"/>
    <cellStyle name="20% - Accent1 7" xfId="6863" hidden="1"/>
    <cellStyle name="20% - Accent1 7" xfId="8197" hidden="1"/>
    <cellStyle name="20% - Accent1 7" xfId="5648" hidden="1"/>
    <cellStyle name="20% - Accent1 7" xfId="8075" hidden="1"/>
    <cellStyle name="20% - Accent1 7" xfId="5623" hidden="1"/>
    <cellStyle name="20% - Accent1 7" xfId="4800" hidden="1"/>
    <cellStyle name="20% - Accent1 7" xfId="4612" hidden="1"/>
    <cellStyle name="20% - Accent1 7" xfId="7933" hidden="1"/>
    <cellStyle name="20% - Accent1 7" xfId="3632" hidden="1"/>
    <cellStyle name="20% - Accent1 7" xfId="5464" hidden="1"/>
    <cellStyle name="20% - Accent1 7" xfId="3624" hidden="1"/>
    <cellStyle name="20% - Accent1 7" xfId="2650" hidden="1"/>
    <cellStyle name="20% - Accent1 7" xfId="2451" hidden="1"/>
    <cellStyle name="20% - Accent1 7" xfId="2237" hidden="1"/>
    <cellStyle name="20% - Accent1 7" xfId="1315" hidden="1"/>
    <cellStyle name="20% - Accent1 7" xfId="1130" hidden="1"/>
    <cellStyle name="20% - Accent1 7" xfId="889" hidden="1"/>
    <cellStyle name="20% - Accent1 7" xfId="15457" hidden="1"/>
    <cellStyle name="20% - Accent1 7" xfId="16156" hidden="1"/>
    <cellStyle name="20% - Accent1 7" xfId="16239" hidden="1"/>
    <cellStyle name="20% - Accent1 7" xfId="16317" hidden="1"/>
    <cellStyle name="20% - Accent1 7" xfId="16395" hidden="1"/>
    <cellStyle name="20% - Accent1 7" xfId="16977" hidden="1"/>
    <cellStyle name="20% - Accent1 7" xfId="17056" hidden="1"/>
    <cellStyle name="20% - Accent1 7" xfId="17134" hidden="1"/>
    <cellStyle name="20% - Accent1 7" xfId="16680" hidden="1"/>
    <cellStyle name="20% - Accent1 7" xfId="17434" hidden="1"/>
    <cellStyle name="20% - Accent1 7" xfId="16710" hidden="1"/>
    <cellStyle name="20% - Accent1 7" xfId="17446" hidden="1"/>
    <cellStyle name="20% - Accent1 7" xfId="17651" hidden="1"/>
    <cellStyle name="20% - Accent1 7" xfId="17729" hidden="1"/>
    <cellStyle name="20% - Accent1 7" xfId="16755" hidden="1"/>
    <cellStyle name="20% - Accent1 7" xfId="17992" hidden="1"/>
    <cellStyle name="20% - Accent1 7" xfId="17464" hidden="1"/>
    <cellStyle name="20% - Accent1 7" xfId="17995" hidden="1"/>
    <cellStyle name="20% - Accent1 7" xfId="18183" hidden="1"/>
    <cellStyle name="20% - Accent1 7" xfId="18261" hidden="1"/>
    <cellStyle name="20% - Accent1 7" xfId="18337" hidden="1"/>
    <cellStyle name="20% - Accent1 7" xfId="18520" hidden="1"/>
    <cellStyle name="20% - Accent1 7" xfId="18598" hidden="1"/>
    <cellStyle name="20% - Accent1 7" xfId="18674" hidden="1"/>
    <cellStyle name="20% - Accent1 7" xfId="18857" hidden="1"/>
    <cellStyle name="20% - Accent1 7" xfId="18948" hidden="1"/>
    <cellStyle name="20% - Accent1 7" xfId="19031" hidden="1"/>
    <cellStyle name="20% - Accent1 7" xfId="19109" hidden="1"/>
    <cellStyle name="20% - Accent1 7" xfId="19187" hidden="1"/>
    <cellStyle name="20% - Accent1 7" xfId="19769" hidden="1"/>
    <cellStyle name="20% - Accent1 7" xfId="19848" hidden="1"/>
    <cellStyle name="20% - Accent1 7" xfId="19926" hidden="1"/>
    <cellStyle name="20% - Accent1 7" xfId="19472" hidden="1"/>
    <cellStyle name="20% - Accent1 7" xfId="20226" hidden="1"/>
    <cellStyle name="20% - Accent1 7" xfId="19502" hidden="1"/>
    <cellStyle name="20% - Accent1 7" xfId="20238" hidden="1"/>
    <cellStyle name="20% - Accent1 7" xfId="20443" hidden="1"/>
    <cellStyle name="20% - Accent1 7" xfId="20521" hidden="1"/>
    <cellStyle name="20% - Accent1 7" xfId="19547" hidden="1"/>
    <cellStyle name="20% - Accent1 7" xfId="20784" hidden="1"/>
    <cellStyle name="20% - Accent1 7" xfId="20256" hidden="1"/>
    <cellStyle name="20% - Accent1 7" xfId="20787" hidden="1"/>
    <cellStyle name="20% - Accent1 7" xfId="20975" hidden="1"/>
    <cellStyle name="20% - Accent1 7" xfId="21053" hidden="1"/>
    <cellStyle name="20% - Accent1 7" xfId="21129" hidden="1"/>
    <cellStyle name="20% - Accent1 7" xfId="21312" hidden="1"/>
    <cellStyle name="20% - Accent1 7" xfId="21390" hidden="1"/>
    <cellStyle name="20% - Accent1 7" xfId="21466" hidden="1"/>
    <cellStyle name="20% - Accent1 7" xfId="21649" hidden="1"/>
    <cellStyle name="20% - Accent1 7" xfId="16035" hidden="1"/>
    <cellStyle name="20% - Accent1 7" xfId="15952" hidden="1"/>
    <cellStyle name="20% - Accent1 7" xfId="15873" hidden="1"/>
    <cellStyle name="20% - Accent1 7" xfId="15790" hidden="1"/>
    <cellStyle name="20% - Accent1 7" xfId="8061" hidden="1"/>
    <cellStyle name="20% - Accent1 7" xfId="7913" hidden="1"/>
    <cellStyle name="20% - Accent1 7" xfId="7662" hidden="1"/>
    <cellStyle name="20% - Accent1 7" xfId="9231" hidden="1"/>
    <cellStyle name="20% - Accent1 7" xfId="6155" hidden="1"/>
    <cellStyle name="20% - Accent1 7" xfId="9019" hidden="1"/>
    <cellStyle name="20% - Accent1 7" xfId="6042" hidden="1"/>
    <cellStyle name="20% - Accent1 7" xfId="5253" hidden="1"/>
    <cellStyle name="20% - Accent1 7" xfId="5048" hidden="1"/>
    <cellStyle name="20% - Accent1 7" xfId="8815" hidden="1"/>
    <cellStyle name="20% - Accent1 7" xfId="3805" hidden="1"/>
    <cellStyle name="20% - Accent1 7" xfId="5899" hidden="1"/>
    <cellStyle name="20% - Accent1 7" xfId="3780" hidden="1"/>
    <cellStyle name="20% - Accent1 7" xfId="2975" hidden="1"/>
    <cellStyle name="20% - Accent1 7" xfId="2842" hidden="1"/>
    <cellStyle name="20% - Accent1 7" xfId="2381" hidden="1"/>
    <cellStyle name="20% - Accent1 7" xfId="1467" hidden="1"/>
    <cellStyle name="20% - Accent1 7" xfId="1269" hidden="1"/>
    <cellStyle name="20% - Accent1 7" xfId="898" hidden="1"/>
    <cellStyle name="20% - Accent1 7" xfId="21786" hidden="1"/>
    <cellStyle name="20% - Accent1 7" xfId="22307" hidden="1"/>
    <cellStyle name="20% - Accent1 7" xfId="22390" hidden="1"/>
    <cellStyle name="20% - Accent1 7" xfId="22468" hidden="1"/>
    <cellStyle name="20% - Accent1 7" xfId="22546" hidden="1"/>
    <cellStyle name="20% - Accent1 7" xfId="23128" hidden="1"/>
    <cellStyle name="20% - Accent1 7" xfId="23207" hidden="1"/>
    <cellStyle name="20% - Accent1 7" xfId="23285" hidden="1"/>
    <cellStyle name="20% - Accent1 7" xfId="22831" hidden="1"/>
    <cellStyle name="20% - Accent1 7" xfId="23585" hidden="1"/>
    <cellStyle name="20% - Accent1 7" xfId="22861" hidden="1"/>
    <cellStyle name="20% - Accent1 7" xfId="23597" hidden="1"/>
    <cellStyle name="20% - Accent1 7" xfId="23802" hidden="1"/>
    <cellStyle name="20% - Accent1 7" xfId="23880" hidden="1"/>
    <cellStyle name="20% - Accent1 7" xfId="22906" hidden="1"/>
    <cellStyle name="20% - Accent1 7" xfId="24143" hidden="1"/>
    <cellStyle name="20% - Accent1 7" xfId="23615" hidden="1"/>
    <cellStyle name="20% - Accent1 7" xfId="24146" hidden="1"/>
    <cellStyle name="20% - Accent1 7" xfId="24334" hidden="1"/>
    <cellStyle name="20% - Accent1 7" xfId="24412" hidden="1"/>
    <cellStyle name="20% - Accent1 7" xfId="24488" hidden="1"/>
    <cellStyle name="20% - Accent1 7" xfId="24671" hidden="1"/>
    <cellStyle name="20% - Accent1 7" xfId="24749" hidden="1"/>
    <cellStyle name="20% - Accent1 7" xfId="24825" hidden="1"/>
    <cellStyle name="20% - Accent1 7" xfId="25008" hidden="1"/>
    <cellStyle name="20% - Accent1 7" xfId="25099" hidden="1"/>
    <cellStyle name="20% - Accent1 7" xfId="25182" hidden="1"/>
    <cellStyle name="20% - Accent1 7" xfId="25260" hidden="1"/>
    <cellStyle name="20% - Accent1 7" xfId="25338" hidden="1"/>
    <cellStyle name="20% - Accent1 7" xfId="25920" hidden="1"/>
    <cellStyle name="20% - Accent1 7" xfId="25999" hidden="1"/>
    <cellStyle name="20% - Accent1 7" xfId="26077" hidden="1"/>
    <cellStyle name="20% - Accent1 7" xfId="25623" hidden="1"/>
    <cellStyle name="20% - Accent1 7" xfId="26377" hidden="1"/>
    <cellStyle name="20% - Accent1 7" xfId="25653" hidden="1"/>
    <cellStyle name="20% - Accent1 7" xfId="26389" hidden="1"/>
    <cellStyle name="20% - Accent1 7" xfId="26594" hidden="1"/>
    <cellStyle name="20% - Accent1 7" xfId="26672" hidden="1"/>
    <cellStyle name="20% - Accent1 7" xfId="25698" hidden="1"/>
    <cellStyle name="20% - Accent1 7" xfId="26935" hidden="1"/>
    <cellStyle name="20% - Accent1 7" xfId="26407" hidden="1"/>
    <cellStyle name="20% - Accent1 7" xfId="26938" hidden="1"/>
    <cellStyle name="20% - Accent1 7" xfId="27126" hidden="1"/>
    <cellStyle name="20% - Accent1 7" xfId="27204" hidden="1"/>
    <cellStyle name="20% - Accent1 7" xfId="27280" hidden="1"/>
    <cellStyle name="20% - Accent1 7" xfId="27463" hidden="1"/>
    <cellStyle name="20% - Accent1 7" xfId="27541" hidden="1"/>
    <cellStyle name="20% - Accent1 7" xfId="27617" hidden="1"/>
    <cellStyle name="20% - Accent1 7" xfId="27800" hidden="1"/>
    <cellStyle name="20% - Accent1 7" xfId="22288" hidden="1"/>
    <cellStyle name="20% - Accent1 7" xfId="22205" hidden="1"/>
    <cellStyle name="20% - Accent1 7" xfId="22126" hidden="1"/>
    <cellStyle name="20% - Accent1 7" xfId="22043" hidden="1"/>
    <cellStyle name="20% - Accent1 7" xfId="9010" hidden="1"/>
    <cellStyle name="20% - Accent1 7" xfId="8784" hidden="1"/>
    <cellStyle name="20% - Accent1 7" xfId="8516" hidden="1"/>
    <cellStyle name="20% - Accent1 7" xfId="15732" hidden="1"/>
    <cellStyle name="20% - Accent1 7" xfId="6722" hidden="1"/>
    <cellStyle name="20% - Accent1 7" xfId="15574" hidden="1"/>
    <cellStyle name="20% - Accent1 7" xfId="6669" hidden="1"/>
    <cellStyle name="20% - Accent1 7" xfId="5791" hidden="1"/>
    <cellStyle name="20% - Accent1 7" xfId="5557" hidden="1"/>
    <cellStyle name="20% - Accent1 7" xfId="15446" hidden="1"/>
    <cellStyle name="20% - Accent1 7" xfId="3994" hidden="1"/>
    <cellStyle name="20% - Accent1 7" xfId="6316" hidden="1"/>
    <cellStyle name="20% - Accent1 7" xfId="3989" hidden="1"/>
    <cellStyle name="20% - Accent1 7" xfId="3320" hidden="1"/>
    <cellStyle name="20% - Accent1 7" xfId="3125" hidden="1"/>
    <cellStyle name="20% - Accent1 7" xfId="2819" hidden="1"/>
    <cellStyle name="20% - Accent1 7" xfId="1615" hidden="1"/>
    <cellStyle name="20% - Accent1 7" xfId="1438" hidden="1"/>
    <cellStyle name="20% - Accent1 7" xfId="910" hidden="1"/>
    <cellStyle name="20% - Accent1 7" xfId="27935" hidden="1"/>
    <cellStyle name="20% - Accent1 7" xfId="28026" hidden="1"/>
    <cellStyle name="20% - Accent1 7" xfId="28109" hidden="1"/>
    <cellStyle name="20% - Accent1 7" xfId="28187" hidden="1"/>
    <cellStyle name="20% - Accent1 7" xfId="28265" hidden="1"/>
    <cellStyle name="20% - Accent1 7" xfId="28847" hidden="1"/>
    <cellStyle name="20% - Accent1 7" xfId="28926" hidden="1"/>
    <cellStyle name="20% - Accent1 7" xfId="29004" hidden="1"/>
    <cellStyle name="20% - Accent1 7" xfId="28550" hidden="1"/>
    <cellStyle name="20% - Accent1 7" xfId="29304" hidden="1"/>
    <cellStyle name="20% - Accent1 7" xfId="28580" hidden="1"/>
    <cellStyle name="20% - Accent1 7" xfId="29316" hidden="1"/>
    <cellStyle name="20% - Accent1 7" xfId="29521" hidden="1"/>
    <cellStyle name="20% - Accent1 7" xfId="29599" hidden="1"/>
    <cellStyle name="20% - Accent1 7" xfId="28625" hidden="1"/>
    <cellStyle name="20% - Accent1 7" xfId="29862" hidden="1"/>
    <cellStyle name="20% - Accent1 7" xfId="29334" hidden="1"/>
    <cellStyle name="20% - Accent1 7" xfId="29865" hidden="1"/>
    <cellStyle name="20% - Accent1 7" xfId="30053" hidden="1"/>
    <cellStyle name="20% - Accent1 7" xfId="30131" hidden="1"/>
    <cellStyle name="20% - Accent1 7" xfId="30207" hidden="1"/>
    <cellStyle name="20% - Accent1 7" xfId="30390" hidden="1"/>
    <cellStyle name="20% - Accent1 7" xfId="30468" hidden="1"/>
    <cellStyle name="20% - Accent1 7" xfId="30544" hidden="1"/>
    <cellStyle name="20% - Accent1 7" xfId="30727" hidden="1"/>
    <cellStyle name="20% - Accent1 7" xfId="30818" hidden="1"/>
    <cellStyle name="20% - Accent1 7" xfId="30901" hidden="1"/>
    <cellStyle name="20% - Accent1 7" xfId="30979" hidden="1"/>
    <cellStyle name="20% - Accent1 7" xfId="31057" hidden="1"/>
    <cellStyle name="20% - Accent1 7" xfId="31639" hidden="1"/>
    <cellStyle name="20% - Accent1 7" xfId="31718" hidden="1"/>
    <cellStyle name="20% - Accent1 7" xfId="31796" hidden="1"/>
    <cellStyle name="20% - Accent1 7" xfId="31342" hidden="1"/>
    <cellStyle name="20% - Accent1 7" xfId="32096" hidden="1"/>
    <cellStyle name="20% - Accent1 7" xfId="31372" hidden="1"/>
    <cellStyle name="20% - Accent1 7" xfId="32108" hidden="1"/>
    <cellStyle name="20% - Accent1 7" xfId="32313" hidden="1"/>
    <cellStyle name="20% - Accent1 7" xfId="32391" hidden="1"/>
    <cellStyle name="20% - Accent1 7" xfId="31417" hidden="1"/>
    <cellStyle name="20% - Accent1 7" xfId="32654" hidden="1"/>
    <cellStyle name="20% - Accent1 7" xfId="32126" hidden="1"/>
    <cellStyle name="20% - Accent1 7" xfId="32657" hidden="1"/>
    <cellStyle name="20% - Accent1 7" xfId="32845" hidden="1"/>
    <cellStyle name="20% - Accent1 7" xfId="32923" hidden="1"/>
    <cellStyle name="20% - Accent1 7" xfId="32999" hidden="1"/>
    <cellStyle name="20% - Accent1 7" xfId="33182" hidden="1"/>
    <cellStyle name="20% - Accent1 7" xfId="33260" hidden="1"/>
    <cellStyle name="20% - Accent1 7" xfId="33336" hidden="1"/>
    <cellStyle name="20% - Accent1 7" xfId="33519" hidden="1"/>
    <cellStyle name="20% - Accent1 8" xfId="140" hidden="1"/>
    <cellStyle name="20% - Accent1 8" xfId="225" hidden="1"/>
    <cellStyle name="20% - Accent1 8" xfId="305" hidden="1"/>
    <cellStyle name="20% - Accent1 8" xfId="575" hidden="1"/>
    <cellStyle name="20% - Accent1 8" xfId="2377" hidden="1"/>
    <cellStyle name="20% - Accent1 8" xfId="2511" hidden="1"/>
    <cellStyle name="20% - Accent1 8" xfId="2679" hidden="1"/>
    <cellStyle name="20% - Accent1 8" xfId="3098" hidden="1"/>
    <cellStyle name="20% - Accent1 8" xfId="2932" hidden="1"/>
    <cellStyle name="20% - Accent1 8" xfId="2082" hidden="1"/>
    <cellStyle name="20% - Accent1 8" xfId="1704" hidden="1"/>
    <cellStyle name="20% - Accent1 8" xfId="4545" hidden="1"/>
    <cellStyle name="20% - Accent1 8" xfId="4695" hidden="1"/>
    <cellStyle name="20% - Accent1 8" xfId="4948" hidden="1"/>
    <cellStyle name="20% - Accent1 8" xfId="4891" hidden="1"/>
    <cellStyle name="20% - Accent1 8" xfId="2950" hidden="1"/>
    <cellStyle name="20% - Accent1 8" xfId="2087" hidden="1"/>
    <cellStyle name="20% - Accent1 8" xfId="6428" hidden="1"/>
    <cellStyle name="20% - Accent1 8" xfId="6626" hidden="1"/>
    <cellStyle name="20% - Accent1 8" xfId="3394" hidden="1"/>
    <cellStyle name="20% - Accent1 8" xfId="7623" hidden="1"/>
    <cellStyle name="20% - Accent1 8" xfId="7802" hidden="1"/>
    <cellStyle name="20% - Accent1 8" xfId="3363" hidden="1"/>
    <cellStyle name="20% - Accent1 8" xfId="8889" hidden="1"/>
    <cellStyle name="20% - Accent1 8" xfId="9831" hidden="1"/>
    <cellStyle name="20% - Accent1 8" xfId="9910" hidden="1"/>
    <cellStyle name="20% - Accent1 8" xfId="9987" hidden="1"/>
    <cellStyle name="20% - Accent1 8" xfId="10065" hidden="1"/>
    <cellStyle name="20% - Accent1 8" xfId="10649" hidden="1"/>
    <cellStyle name="20% - Accent1 8" xfId="10726" hidden="1"/>
    <cellStyle name="20% - Accent1 8" xfId="10805" hidden="1"/>
    <cellStyle name="20% - Accent1 8" xfId="10922" hidden="1"/>
    <cellStyle name="20% - Accent1 8" xfId="10895" hidden="1"/>
    <cellStyle name="20% - Accent1 8" xfId="10541" hidden="1"/>
    <cellStyle name="20% - Accent1 8" xfId="10385" hidden="1"/>
    <cellStyle name="20% - Accent1 8" xfId="11321" hidden="1"/>
    <cellStyle name="20% - Accent1 8" xfId="11399" hidden="1"/>
    <cellStyle name="20% - Accent1 8" xfId="11500" hidden="1"/>
    <cellStyle name="20% - Accent1 8" xfId="11482" hidden="1"/>
    <cellStyle name="20% - Accent1 8" xfId="10903" hidden="1"/>
    <cellStyle name="20% - Accent1 8" xfId="10545" hidden="1"/>
    <cellStyle name="20% - Accent1 8" xfId="11853" hidden="1"/>
    <cellStyle name="20% - Accent1 8" xfId="11931" hidden="1"/>
    <cellStyle name="20% - Accent1 8" xfId="10952" hidden="1"/>
    <cellStyle name="20% - Accent1 8" xfId="12190" hidden="1"/>
    <cellStyle name="20% - Accent1 8" xfId="12268" hidden="1"/>
    <cellStyle name="20% - Accent1 8" xfId="10949" hidden="1"/>
    <cellStyle name="20% - Accent1 8" xfId="12527" hidden="1"/>
    <cellStyle name="20% - Accent1 8" xfId="12623" hidden="1"/>
    <cellStyle name="20% - Accent1 8" xfId="12702" hidden="1"/>
    <cellStyle name="20% - Accent1 8" xfId="12779" hidden="1"/>
    <cellStyle name="20% - Accent1 8" xfId="12857" hidden="1"/>
    <cellStyle name="20% - Accent1 8" xfId="13441" hidden="1"/>
    <cellStyle name="20% - Accent1 8" xfId="13518" hidden="1"/>
    <cellStyle name="20% - Accent1 8" xfId="13597" hidden="1"/>
    <cellStyle name="20% - Accent1 8" xfId="13714" hidden="1"/>
    <cellStyle name="20% - Accent1 8" xfId="13687" hidden="1"/>
    <cellStyle name="20% - Accent1 8" xfId="13333" hidden="1"/>
    <cellStyle name="20% - Accent1 8" xfId="13177" hidden="1"/>
    <cellStyle name="20% - Accent1 8" xfId="14113" hidden="1"/>
    <cellStyle name="20% - Accent1 8" xfId="14191" hidden="1"/>
    <cellStyle name="20% - Accent1 8" xfId="14292" hidden="1"/>
    <cellStyle name="20% - Accent1 8" xfId="14274" hidden="1"/>
    <cellStyle name="20% - Accent1 8" xfId="13695" hidden="1"/>
    <cellStyle name="20% - Accent1 8" xfId="13337" hidden="1"/>
    <cellStyle name="20% - Accent1 8" xfId="14645" hidden="1"/>
    <cellStyle name="20% - Accent1 8" xfId="14723" hidden="1"/>
    <cellStyle name="20% - Accent1 8" xfId="13744" hidden="1"/>
    <cellStyle name="20% - Accent1 8" xfId="14982" hidden="1"/>
    <cellStyle name="20% - Accent1 8" xfId="15060" hidden="1"/>
    <cellStyle name="20% - Accent1 8" xfId="13741" hidden="1"/>
    <cellStyle name="20% - Accent1 8" xfId="15319" hidden="1"/>
    <cellStyle name="20% - Accent1 8" xfId="9629" hidden="1"/>
    <cellStyle name="20% - Accent1 8" xfId="9523" hidden="1"/>
    <cellStyle name="20% - Accent1 8" xfId="9406" hidden="1"/>
    <cellStyle name="20% - Accent1 8" xfId="9297" hidden="1"/>
    <cellStyle name="20% - Accent1 8" xfId="7028" hidden="1"/>
    <cellStyle name="20% - Accent1 8" xfId="6939" hidden="1"/>
    <cellStyle name="20% - Accent1 8" xfId="6848" hidden="1"/>
    <cellStyle name="20% - Accent1 8" xfId="6415" hidden="1"/>
    <cellStyle name="20% - Accent1 8" xfId="6655" hidden="1"/>
    <cellStyle name="20% - Accent1 8" xfId="7416" hidden="1"/>
    <cellStyle name="20% - Accent1 8" xfId="8031" hidden="1"/>
    <cellStyle name="20% - Accent1 8" xfId="4754" hidden="1"/>
    <cellStyle name="20% - Accent1 8" xfId="4549" hidden="1"/>
    <cellStyle name="20% - Accent1 8" xfId="4253" hidden="1"/>
    <cellStyle name="20% - Accent1 8" xfId="4282" hidden="1"/>
    <cellStyle name="20% - Accent1 8" xfId="6622" hidden="1"/>
    <cellStyle name="20% - Accent1 8" xfId="7412" hidden="1"/>
    <cellStyle name="20% - Accent1 8" xfId="2593" hidden="1"/>
    <cellStyle name="20% - Accent1 8" xfId="2386" hidden="1"/>
    <cellStyle name="20% - Accent1 8" xfId="6291" hidden="1"/>
    <cellStyle name="20% - Accent1 8" xfId="1258" hidden="1"/>
    <cellStyle name="20% - Accent1 8" xfId="1085" hidden="1"/>
    <cellStyle name="20% - Accent1 8" xfId="6296" hidden="1"/>
    <cellStyle name="20% - Accent1 8" xfId="15480" hidden="1"/>
    <cellStyle name="20% - Accent1 8" xfId="16172" hidden="1"/>
    <cellStyle name="20% - Accent1 8" xfId="16251" hidden="1"/>
    <cellStyle name="20% - Accent1 8" xfId="16328" hidden="1"/>
    <cellStyle name="20% - Accent1 8" xfId="16406" hidden="1"/>
    <cellStyle name="20% - Accent1 8" xfId="16990" hidden="1"/>
    <cellStyle name="20% - Accent1 8" xfId="17067" hidden="1"/>
    <cellStyle name="20% - Accent1 8" xfId="17146" hidden="1"/>
    <cellStyle name="20% - Accent1 8" xfId="17263" hidden="1"/>
    <cellStyle name="20% - Accent1 8" xfId="17236" hidden="1"/>
    <cellStyle name="20% - Accent1 8" xfId="16882" hidden="1"/>
    <cellStyle name="20% - Accent1 8" xfId="16726" hidden="1"/>
    <cellStyle name="20% - Accent1 8" xfId="17662" hidden="1"/>
    <cellStyle name="20% - Accent1 8" xfId="17740" hidden="1"/>
    <cellStyle name="20% - Accent1 8" xfId="17841" hidden="1"/>
    <cellStyle name="20% - Accent1 8" xfId="17823" hidden="1"/>
    <cellStyle name="20% - Accent1 8" xfId="17244" hidden="1"/>
    <cellStyle name="20% - Accent1 8" xfId="16886" hidden="1"/>
    <cellStyle name="20% - Accent1 8" xfId="18194" hidden="1"/>
    <cellStyle name="20% - Accent1 8" xfId="18272" hidden="1"/>
    <cellStyle name="20% - Accent1 8" xfId="17293" hidden="1"/>
    <cellStyle name="20% - Accent1 8" xfId="18531" hidden="1"/>
    <cellStyle name="20% - Accent1 8" xfId="18609" hidden="1"/>
    <cellStyle name="20% - Accent1 8" xfId="17290" hidden="1"/>
    <cellStyle name="20% - Accent1 8" xfId="18868" hidden="1"/>
    <cellStyle name="20% - Accent1 8" xfId="18964" hidden="1"/>
    <cellStyle name="20% - Accent1 8" xfId="19043" hidden="1"/>
    <cellStyle name="20% - Accent1 8" xfId="19120" hidden="1"/>
    <cellStyle name="20% - Accent1 8" xfId="19198" hidden="1"/>
    <cellStyle name="20% - Accent1 8" xfId="19782" hidden="1"/>
    <cellStyle name="20% - Accent1 8" xfId="19859" hidden="1"/>
    <cellStyle name="20% - Accent1 8" xfId="19938" hidden="1"/>
    <cellStyle name="20% - Accent1 8" xfId="20055" hidden="1"/>
    <cellStyle name="20% - Accent1 8" xfId="20028" hidden="1"/>
    <cellStyle name="20% - Accent1 8" xfId="19674" hidden="1"/>
    <cellStyle name="20% - Accent1 8" xfId="19518" hidden="1"/>
    <cellStyle name="20% - Accent1 8" xfId="20454" hidden="1"/>
    <cellStyle name="20% - Accent1 8" xfId="20532" hidden="1"/>
    <cellStyle name="20% - Accent1 8" xfId="20633" hidden="1"/>
    <cellStyle name="20% - Accent1 8" xfId="20615" hidden="1"/>
    <cellStyle name="20% - Accent1 8" xfId="20036" hidden="1"/>
    <cellStyle name="20% - Accent1 8" xfId="19678" hidden="1"/>
    <cellStyle name="20% - Accent1 8" xfId="20986" hidden="1"/>
    <cellStyle name="20% - Accent1 8" xfId="21064" hidden="1"/>
    <cellStyle name="20% - Accent1 8" xfId="20085" hidden="1"/>
    <cellStyle name="20% - Accent1 8" xfId="21323" hidden="1"/>
    <cellStyle name="20% - Accent1 8" xfId="21401" hidden="1"/>
    <cellStyle name="20% - Accent1 8" xfId="20082" hidden="1"/>
    <cellStyle name="20% - Accent1 8" xfId="21660" hidden="1"/>
    <cellStyle name="20% - Accent1 8" xfId="16019" hidden="1"/>
    <cellStyle name="20% - Accent1 8" xfId="15940" hidden="1"/>
    <cellStyle name="20% - Accent1 8" xfId="15861" hidden="1"/>
    <cellStyle name="20% - Accent1 8" xfId="15777" hidden="1"/>
    <cellStyle name="20% - Accent1 8" xfId="8021" hidden="1"/>
    <cellStyle name="20% - Accent1 8" xfId="7847" hidden="1"/>
    <cellStyle name="20% - Accent1 8" xfId="7606" hidden="1"/>
    <cellStyle name="20% - Accent1 8" xfId="7070" hidden="1"/>
    <cellStyle name="20% - Accent1 8" xfId="7349" hidden="1"/>
    <cellStyle name="20% - Accent1 8" xfId="8367" hidden="1"/>
    <cellStyle name="20% - Accent1 8" xfId="8989" hidden="1"/>
    <cellStyle name="20% - Accent1 8" xfId="5130" hidden="1"/>
    <cellStyle name="20% - Accent1 8" xfId="5026" hidden="1"/>
    <cellStyle name="20% - Accent1 8" xfId="4719" hidden="1"/>
    <cellStyle name="20% - Accent1 8" xfId="4902" hidden="1"/>
    <cellStyle name="20% - Accent1 8" xfId="7319" hidden="1"/>
    <cellStyle name="20% - Accent1 8" xfId="8273" hidden="1"/>
    <cellStyle name="20% - Accent1 8" xfId="2945" hidden="1"/>
    <cellStyle name="20% - Accent1 8" xfId="2821" hidden="1"/>
    <cellStyle name="20% - Accent1 8" xfId="6803" hidden="1"/>
    <cellStyle name="20% - Accent1 8" xfId="1432" hidden="1"/>
    <cellStyle name="20% - Accent1 8" xfId="1194" hidden="1"/>
    <cellStyle name="20% - Accent1 8" xfId="6844" hidden="1"/>
    <cellStyle name="20% - Accent1 8" xfId="21798" hidden="1"/>
    <cellStyle name="20% - Accent1 8" xfId="22323" hidden="1"/>
    <cellStyle name="20% - Accent1 8" xfId="22402" hidden="1"/>
    <cellStyle name="20% - Accent1 8" xfId="22479" hidden="1"/>
    <cellStyle name="20% - Accent1 8" xfId="22557" hidden="1"/>
    <cellStyle name="20% - Accent1 8" xfId="23141" hidden="1"/>
    <cellStyle name="20% - Accent1 8" xfId="23218" hidden="1"/>
    <cellStyle name="20% - Accent1 8" xfId="23297" hidden="1"/>
    <cellStyle name="20% - Accent1 8" xfId="23414" hidden="1"/>
    <cellStyle name="20% - Accent1 8" xfId="23387" hidden="1"/>
    <cellStyle name="20% - Accent1 8" xfId="23033" hidden="1"/>
    <cellStyle name="20% - Accent1 8" xfId="22877" hidden="1"/>
    <cellStyle name="20% - Accent1 8" xfId="23813" hidden="1"/>
    <cellStyle name="20% - Accent1 8" xfId="23891" hidden="1"/>
    <cellStyle name="20% - Accent1 8" xfId="23992" hidden="1"/>
    <cellStyle name="20% - Accent1 8" xfId="23974" hidden="1"/>
    <cellStyle name="20% - Accent1 8" xfId="23395" hidden="1"/>
    <cellStyle name="20% - Accent1 8" xfId="23037" hidden="1"/>
    <cellStyle name="20% - Accent1 8" xfId="24345" hidden="1"/>
    <cellStyle name="20% - Accent1 8" xfId="24423" hidden="1"/>
    <cellStyle name="20% - Accent1 8" xfId="23444" hidden="1"/>
    <cellStyle name="20% - Accent1 8" xfId="24682" hidden="1"/>
    <cellStyle name="20% - Accent1 8" xfId="24760" hidden="1"/>
    <cellStyle name="20% - Accent1 8" xfId="23441" hidden="1"/>
    <cellStyle name="20% - Accent1 8" xfId="25019" hidden="1"/>
    <cellStyle name="20% - Accent1 8" xfId="25115" hidden="1"/>
    <cellStyle name="20% - Accent1 8" xfId="25194" hidden="1"/>
    <cellStyle name="20% - Accent1 8" xfId="25271" hidden="1"/>
    <cellStyle name="20% - Accent1 8" xfId="25349" hidden="1"/>
    <cellStyle name="20% - Accent1 8" xfId="25933" hidden="1"/>
    <cellStyle name="20% - Accent1 8" xfId="26010" hidden="1"/>
    <cellStyle name="20% - Accent1 8" xfId="26089" hidden="1"/>
    <cellStyle name="20% - Accent1 8" xfId="26206" hidden="1"/>
    <cellStyle name="20% - Accent1 8" xfId="26179" hidden="1"/>
    <cellStyle name="20% - Accent1 8" xfId="25825" hidden="1"/>
    <cellStyle name="20% - Accent1 8" xfId="25669" hidden="1"/>
    <cellStyle name="20% - Accent1 8" xfId="26605" hidden="1"/>
    <cellStyle name="20% - Accent1 8" xfId="26683" hidden="1"/>
    <cellStyle name="20% - Accent1 8" xfId="26784" hidden="1"/>
    <cellStyle name="20% - Accent1 8" xfId="26766" hidden="1"/>
    <cellStyle name="20% - Accent1 8" xfId="26187" hidden="1"/>
    <cellStyle name="20% - Accent1 8" xfId="25829" hidden="1"/>
    <cellStyle name="20% - Accent1 8" xfId="27137" hidden="1"/>
    <cellStyle name="20% - Accent1 8" xfId="27215" hidden="1"/>
    <cellStyle name="20% - Accent1 8" xfId="26236" hidden="1"/>
    <cellStyle name="20% - Accent1 8" xfId="27474" hidden="1"/>
    <cellStyle name="20% - Accent1 8" xfId="27552" hidden="1"/>
    <cellStyle name="20% - Accent1 8" xfId="26233" hidden="1"/>
    <cellStyle name="20% - Accent1 8" xfId="27811" hidden="1"/>
    <cellStyle name="20% - Accent1 8" xfId="22272" hidden="1"/>
    <cellStyle name="20% - Accent1 8" xfId="22193" hidden="1"/>
    <cellStyle name="20% - Accent1 8" xfId="22114" hidden="1"/>
    <cellStyle name="20% - Accent1 8" xfId="22030" hidden="1"/>
    <cellStyle name="20% - Accent1 8" xfId="8970" hidden="1"/>
    <cellStyle name="20% - Accent1 8" xfId="8723" hidden="1"/>
    <cellStyle name="20% - Accent1 8" xfId="8484" hidden="1"/>
    <cellStyle name="20% - Accent1 8" xfId="8082" hidden="1"/>
    <cellStyle name="20% - Accent1 8" xfId="8209" hidden="1"/>
    <cellStyle name="20% - Accent1 8" xfId="9394" hidden="1"/>
    <cellStyle name="20% - Accent1 8" xfId="15557" hidden="1"/>
    <cellStyle name="20% - Accent1 8" xfId="5636" hidden="1"/>
    <cellStyle name="20% - Accent1 8" xfId="5538" hidden="1"/>
    <cellStyle name="20% - Accent1 8" xfId="5124" hidden="1"/>
    <cellStyle name="20% - Accent1 8" xfId="5333" hidden="1"/>
    <cellStyle name="20% - Accent1 8" xfId="8175" hidden="1"/>
    <cellStyle name="20% - Accent1 8" xfId="9382" hidden="1"/>
    <cellStyle name="20% - Accent1 8" xfId="3307" hidden="1"/>
    <cellStyle name="20% - Accent1 8" xfId="3104" hidden="1"/>
    <cellStyle name="20% - Accent1 8" xfId="7476" hidden="1"/>
    <cellStyle name="20% - Accent1 8" xfId="1585" hidden="1"/>
    <cellStyle name="20% - Accent1 8" xfId="1386" hidden="1"/>
    <cellStyle name="20% - Accent1 8" xfId="7602" hidden="1"/>
    <cellStyle name="20% - Accent1 8" xfId="27946" hidden="1"/>
    <cellStyle name="20% - Accent1 8" xfId="28042" hidden="1"/>
    <cellStyle name="20% - Accent1 8" xfId="28121" hidden="1"/>
    <cellStyle name="20% - Accent1 8" xfId="28198" hidden="1"/>
    <cellStyle name="20% - Accent1 8" xfId="28276" hidden="1"/>
    <cellStyle name="20% - Accent1 8" xfId="28860" hidden="1"/>
    <cellStyle name="20% - Accent1 8" xfId="28937" hidden="1"/>
    <cellStyle name="20% - Accent1 8" xfId="29016" hidden="1"/>
    <cellStyle name="20% - Accent1 8" xfId="29133" hidden="1"/>
    <cellStyle name="20% - Accent1 8" xfId="29106" hidden="1"/>
    <cellStyle name="20% - Accent1 8" xfId="28752" hidden="1"/>
    <cellStyle name="20% - Accent1 8" xfId="28596" hidden="1"/>
    <cellStyle name="20% - Accent1 8" xfId="29532" hidden="1"/>
    <cellStyle name="20% - Accent1 8" xfId="29610" hidden="1"/>
    <cellStyle name="20% - Accent1 8" xfId="29711" hidden="1"/>
    <cellStyle name="20% - Accent1 8" xfId="29693" hidden="1"/>
    <cellStyle name="20% - Accent1 8" xfId="29114" hidden="1"/>
    <cellStyle name="20% - Accent1 8" xfId="28756" hidden="1"/>
    <cellStyle name="20% - Accent1 8" xfId="30064" hidden="1"/>
    <cellStyle name="20% - Accent1 8" xfId="30142" hidden="1"/>
    <cellStyle name="20% - Accent1 8" xfId="29163" hidden="1"/>
    <cellStyle name="20% - Accent1 8" xfId="30401" hidden="1"/>
    <cellStyle name="20% - Accent1 8" xfId="30479" hidden="1"/>
    <cellStyle name="20% - Accent1 8" xfId="29160" hidden="1"/>
    <cellStyle name="20% - Accent1 8" xfId="30738" hidden="1"/>
    <cellStyle name="20% - Accent1 8" xfId="30834" hidden="1"/>
    <cellStyle name="20% - Accent1 8" xfId="30913" hidden="1"/>
    <cellStyle name="20% - Accent1 8" xfId="30990" hidden="1"/>
    <cellStyle name="20% - Accent1 8" xfId="31068" hidden="1"/>
    <cellStyle name="20% - Accent1 8" xfId="31652" hidden="1"/>
    <cellStyle name="20% - Accent1 8" xfId="31729" hidden="1"/>
    <cellStyle name="20% - Accent1 8" xfId="31808" hidden="1"/>
    <cellStyle name="20% - Accent1 8" xfId="31925" hidden="1"/>
    <cellStyle name="20% - Accent1 8" xfId="31898" hidden="1"/>
    <cellStyle name="20% - Accent1 8" xfId="31544" hidden="1"/>
    <cellStyle name="20% - Accent1 8" xfId="31388" hidden="1"/>
    <cellStyle name="20% - Accent1 8" xfId="32324" hidden="1"/>
    <cellStyle name="20% - Accent1 8" xfId="32402" hidden="1"/>
    <cellStyle name="20% - Accent1 8" xfId="32503" hidden="1"/>
    <cellStyle name="20% - Accent1 8" xfId="32485" hidden="1"/>
    <cellStyle name="20% - Accent1 8" xfId="31906" hidden="1"/>
    <cellStyle name="20% - Accent1 8" xfId="31548" hidden="1"/>
    <cellStyle name="20% - Accent1 8" xfId="32856" hidden="1"/>
    <cellStyle name="20% - Accent1 8" xfId="32934" hidden="1"/>
    <cellStyle name="20% - Accent1 8" xfId="31955" hidden="1"/>
    <cellStyle name="20% - Accent1 8" xfId="33193" hidden="1"/>
    <cellStyle name="20% - Accent1 8" xfId="33271" hidden="1"/>
    <cellStyle name="20% - Accent1 8" xfId="31952" hidden="1"/>
    <cellStyle name="20% - Accent1 8" xfId="33530" hidden="1"/>
    <cellStyle name="20% - Accent1 9" xfId="153" hidden="1"/>
    <cellStyle name="20% - Accent1 9" xfId="233" hidden="1"/>
    <cellStyle name="20% - Accent1 9" xfId="312" hidden="1"/>
    <cellStyle name="20% - Accent1 9" xfId="641" hidden="1"/>
    <cellStyle name="20% - Accent1 9" xfId="2394" hidden="1"/>
    <cellStyle name="20% - Accent1 9" xfId="2543" hidden="1"/>
    <cellStyle name="20% - Accent1 9" xfId="2723" hidden="1"/>
    <cellStyle name="20% - Accent1 9" xfId="3009" hidden="1"/>
    <cellStyle name="20% - Accent1 9" xfId="2236" hidden="1"/>
    <cellStyle name="20% - Accent1 9" xfId="1868" hidden="1"/>
    <cellStyle name="20% - Accent1 9" xfId="4318" hidden="1"/>
    <cellStyle name="20% - Accent1 9" xfId="4561" hidden="1"/>
    <cellStyle name="20% - Accent1 9" xfId="4721" hidden="1"/>
    <cellStyle name="20% - Accent1 9" xfId="4920" hidden="1"/>
    <cellStyle name="20% - Accent1 9" xfId="4272" hidden="1"/>
    <cellStyle name="20% - Accent1 9" xfId="1614" hidden="1"/>
    <cellStyle name="20% - Accent1 9" xfId="6336" hidden="1"/>
    <cellStyle name="20% - Accent1 9" xfId="6443" hidden="1"/>
    <cellStyle name="20% - Accent1 9" xfId="6641" hidden="1"/>
    <cellStyle name="20% - Accent1 9" xfId="7492" hidden="1"/>
    <cellStyle name="20% - Accent1 9" xfId="7647" hidden="1"/>
    <cellStyle name="20% - Accent1 9" xfId="7830" hidden="1"/>
    <cellStyle name="20% - Accent1 9" xfId="8741" hidden="1"/>
    <cellStyle name="20% - Accent1 9" xfId="8920" hidden="1"/>
    <cellStyle name="20% - Accent1 9" xfId="9844" hidden="1"/>
    <cellStyle name="20% - Accent1 9" xfId="9918" hidden="1"/>
    <cellStyle name="20% - Accent1 9" xfId="9994" hidden="1"/>
    <cellStyle name="20% - Accent1 9" xfId="10072" hidden="1"/>
    <cellStyle name="20% - Accent1 9" xfId="10657" hidden="1"/>
    <cellStyle name="20% - Accent1 9" xfId="10733" hidden="1"/>
    <cellStyle name="20% - Accent1 9" xfId="10812" hidden="1"/>
    <cellStyle name="20% - Accent1 9" xfId="10907" hidden="1"/>
    <cellStyle name="20% - Accent1 9" xfId="10585" hidden="1"/>
    <cellStyle name="20% - Accent1 9" xfId="10443" hidden="1"/>
    <cellStyle name="20% - Accent1 9" xfId="11252" hidden="1"/>
    <cellStyle name="20% - Accent1 9" xfId="11328" hidden="1"/>
    <cellStyle name="20% - Accent1 9" xfId="11406" hidden="1"/>
    <cellStyle name="20% - Accent1 9" xfId="11489" hidden="1"/>
    <cellStyle name="20% - Accent1 9" xfId="11242" hidden="1"/>
    <cellStyle name="20% - Accent1 9" xfId="10360" hidden="1"/>
    <cellStyle name="20% - Accent1 9" xfId="11784" hidden="1"/>
    <cellStyle name="20% - Accent1 9" xfId="11860" hidden="1"/>
    <cellStyle name="20% - Accent1 9" xfId="11938" hidden="1"/>
    <cellStyle name="20% - Accent1 9" xfId="12121" hidden="1"/>
    <cellStyle name="20% - Accent1 9" xfId="12197" hidden="1"/>
    <cellStyle name="20% - Accent1 9" xfId="12275" hidden="1"/>
    <cellStyle name="20% - Accent1 9" xfId="12458" hidden="1"/>
    <cellStyle name="20% - Accent1 9" xfId="12534" hidden="1"/>
    <cellStyle name="20% - Accent1 9" xfId="12636" hidden="1"/>
    <cellStyle name="20% - Accent1 9" xfId="12710" hidden="1"/>
    <cellStyle name="20% - Accent1 9" xfId="12786" hidden="1"/>
    <cellStyle name="20% - Accent1 9" xfId="12864" hidden="1"/>
    <cellStyle name="20% - Accent1 9" xfId="13449" hidden="1"/>
    <cellStyle name="20% - Accent1 9" xfId="13525" hidden="1"/>
    <cellStyle name="20% - Accent1 9" xfId="13604" hidden="1"/>
    <cellStyle name="20% - Accent1 9" xfId="13699" hidden="1"/>
    <cellStyle name="20% - Accent1 9" xfId="13377" hidden="1"/>
    <cellStyle name="20% - Accent1 9" xfId="13235" hidden="1"/>
    <cellStyle name="20% - Accent1 9" xfId="14044" hidden="1"/>
    <cellStyle name="20% - Accent1 9" xfId="14120" hidden="1"/>
    <cellStyle name="20% - Accent1 9" xfId="14198" hidden="1"/>
    <cellStyle name="20% - Accent1 9" xfId="14281" hidden="1"/>
    <cellStyle name="20% - Accent1 9" xfId="14034" hidden="1"/>
    <cellStyle name="20% - Accent1 9" xfId="13152" hidden="1"/>
    <cellStyle name="20% - Accent1 9" xfId="14576" hidden="1"/>
    <cellStyle name="20% - Accent1 9" xfId="14652" hidden="1"/>
    <cellStyle name="20% - Accent1 9" xfId="14730" hidden="1"/>
    <cellStyle name="20% - Accent1 9" xfId="14913" hidden="1"/>
    <cellStyle name="20% - Accent1 9" xfId="14989" hidden="1"/>
    <cellStyle name="20% - Accent1 9" xfId="15067" hidden="1"/>
    <cellStyle name="20% - Accent1 9" xfId="15250" hidden="1"/>
    <cellStyle name="20% - Accent1 9" xfId="15326" hidden="1"/>
    <cellStyle name="20% - Accent1 9" xfId="9614" hidden="1"/>
    <cellStyle name="20% - Accent1 9" xfId="9504" hidden="1"/>
    <cellStyle name="20% - Accent1 9" xfId="9387" hidden="1"/>
    <cellStyle name="20% - Accent1 9" xfId="9278" hidden="1"/>
    <cellStyle name="20% - Accent1 9" xfId="7017" hidden="1"/>
    <cellStyle name="20% - Accent1 9" xfId="6929" hidden="1"/>
    <cellStyle name="20% - Accent1 9" xfId="6835" hidden="1"/>
    <cellStyle name="20% - Accent1 9" xfId="6486" hidden="1"/>
    <cellStyle name="20% - Accent1 9" xfId="7331" hidden="1"/>
    <cellStyle name="20% - Accent1 9" xfId="7817" hidden="1"/>
    <cellStyle name="20% - Accent1 9" xfId="4882" hidden="1"/>
    <cellStyle name="20% - Accent1 9" xfId="4711" hidden="1"/>
    <cellStyle name="20% - Accent1 9" xfId="4514" hidden="1"/>
    <cellStyle name="20% - Accent1 9" xfId="4268" hidden="1"/>
    <cellStyle name="20% - Accent1 9" xfId="4952" hidden="1"/>
    <cellStyle name="20% - Accent1 9" xfId="8111" hidden="1"/>
    <cellStyle name="20% - Accent1 9" xfId="2796" hidden="1"/>
    <cellStyle name="20% - Accent1 9" xfId="2542" hidden="1"/>
    <cellStyle name="20% - Accent1 9" xfId="2368" hidden="1"/>
    <cellStyle name="20% - Accent1 9" xfId="1417" hidden="1"/>
    <cellStyle name="20% - Accent1 9" xfId="1225" hidden="1"/>
    <cellStyle name="20% - Accent1 9" xfId="1068" hidden="1"/>
    <cellStyle name="20% - Accent1 9" xfId="15395" hidden="1"/>
    <cellStyle name="20% - Accent1 9" xfId="15495" hidden="1"/>
    <cellStyle name="20% - Accent1 9" xfId="16185" hidden="1"/>
    <cellStyle name="20% - Accent1 9" xfId="16259" hidden="1"/>
    <cellStyle name="20% - Accent1 9" xfId="16335" hidden="1"/>
    <cellStyle name="20% - Accent1 9" xfId="16413" hidden="1"/>
    <cellStyle name="20% - Accent1 9" xfId="16998" hidden="1"/>
    <cellStyle name="20% - Accent1 9" xfId="17074" hidden="1"/>
    <cellStyle name="20% - Accent1 9" xfId="17153" hidden="1"/>
    <cellStyle name="20% - Accent1 9" xfId="17248" hidden="1"/>
    <cellStyle name="20% - Accent1 9" xfId="16926" hidden="1"/>
    <cellStyle name="20% - Accent1 9" xfId="16784" hidden="1"/>
    <cellStyle name="20% - Accent1 9" xfId="17593" hidden="1"/>
    <cellStyle name="20% - Accent1 9" xfId="17669" hidden="1"/>
    <cellStyle name="20% - Accent1 9" xfId="17747" hidden="1"/>
    <cellStyle name="20% - Accent1 9" xfId="17830" hidden="1"/>
    <cellStyle name="20% - Accent1 9" xfId="17583" hidden="1"/>
    <cellStyle name="20% - Accent1 9" xfId="16701" hidden="1"/>
    <cellStyle name="20% - Accent1 9" xfId="18125" hidden="1"/>
    <cellStyle name="20% - Accent1 9" xfId="18201" hidden="1"/>
    <cellStyle name="20% - Accent1 9" xfId="18279" hidden="1"/>
    <cellStyle name="20% - Accent1 9" xfId="18462" hidden="1"/>
    <cellStyle name="20% - Accent1 9" xfId="18538" hidden="1"/>
    <cellStyle name="20% - Accent1 9" xfId="18616" hidden="1"/>
    <cellStyle name="20% - Accent1 9" xfId="18799" hidden="1"/>
    <cellStyle name="20% - Accent1 9" xfId="18875" hidden="1"/>
    <cellStyle name="20% - Accent1 9" xfId="18977" hidden="1"/>
    <cellStyle name="20% - Accent1 9" xfId="19051" hidden="1"/>
    <cellStyle name="20% - Accent1 9" xfId="19127" hidden="1"/>
    <cellStyle name="20% - Accent1 9" xfId="19205" hidden="1"/>
    <cellStyle name="20% - Accent1 9" xfId="19790" hidden="1"/>
    <cellStyle name="20% - Accent1 9" xfId="19866" hidden="1"/>
    <cellStyle name="20% - Accent1 9" xfId="19945" hidden="1"/>
    <cellStyle name="20% - Accent1 9" xfId="20040" hidden="1"/>
    <cellStyle name="20% - Accent1 9" xfId="19718" hidden="1"/>
    <cellStyle name="20% - Accent1 9" xfId="19576" hidden="1"/>
    <cellStyle name="20% - Accent1 9" xfId="20385" hidden="1"/>
    <cellStyle name="20% - Accent1 9" xfId="20461" hidden="1"/>
    <cellStyle name="20% - Accent1 9" xfId="20539" hidden="1"/>
    <cellStyle name="20% - Accent1 9" xfId="20622" hidden="1"/>
    <cellStyle name="20% - Accent1 9" xfId="20375" hidden="1"/>
    <cellStyle name="20% - Accent1 9" xfId="19493" hidden="1"/>
    <cellStyle name="20% - Accent1 9" xfId="20917" hidden="1"/>
    <cellStyle name="20% - Accent1 9" xfId="20993" hidden="1"/>
    <cellStyle name="20% - Accent1 9" xfId="21071" hidden="1"/>
    <cellStyle name="20% - Accent1 9" xfId="21254" hidden="1"/>
    <cellStyle name="20% - Accent1 9" xfId="21330" hidden="1"/>
    <cellStyle name="20% - Accent1 9" xfId="21408" hidden="1"/>
    <cellStyle name="20% - Accent1 9" xfId="21591" hidden="1"/>
    <cellStyle name="20% - Accent1 9" xfId="21667" hidden="1"/>
    <cellStyle name="20% - Accent1 9" xfId="16006" hidden="1"/>
    <cellStyle name="20% - Accent1 9" xfId="15932" hidden="1"/>
    <cellStyle name="20% - Accent1 9" xfId="15853" hidden="1"/>
    <cellStyle name="20% - Accent1 9" xfId="15769" hidden="1"/>
    <cellStyle name="20% - Accent1 9" xfId="8001" hidden="1"/>
    <cellStyle name="20% - Accent1 9" xfId="7801" hidden="1"/>
    <cellStyle name="20% - Accent1 9" xfId="7556" hidden="1"/>
    <cellStyle name="20% - Accent1 9" xfId="7199" hidden="1"/>
    <cellStyle name="20% - Accent1 9" xfId="8183" hidden="1"/>
    <cellStyle name="20% - Accent1 9" xfId="8708" hidden="1"/>
    <cellStyle name="20% - Accent1 9" xfId="5318" hidden="1"/>
    <cellStyle name="20% - Accent1 9" xfId="5118" hidden="1"/>
    <cellStyle name="20% - Accent1 9" xfId="5012" hidden="1"/>
    <cellStyle name="20% - Accent1 9" xfId="4804" hidden="1"/>
    <cellStyle name="20% - Accent1 9" xfId="5471" hidden="1"/>
    <cellStyle name="20% - Accent1 9" xfId="9039" hidden="1"/>
    <cellStyle name="20% - Accent1 9" xfId="3079" hidden="1"/>
    <cellStyle name="20% - Accent1 9" xfId="2927" hidden="1"/>
    <cellStyle name="20% - Accent1 9" xfId="2775" hidden="1"/>
    <cellStyle name="20% - Accent1 9" xfId="1564" hidden="1"/>
    <cellStyle name="20% - Accent1 9" xfId="1415" hidden="1"/>
    <cellStyle name="20% - Accent1 9" xfId="1146" hidden="1"/>
    <cellStyle name="20% - Accent1 9" xfId="21735" hidden="1"/>
    <cellStyle name="20% - Accent1 9" xfId="21805" hidden="1"/>
    <cellStyle name="20% - Accent1 9" xfId="22336" hidden="1"/>
    <cellStyle name="20% - Accent1 9" xfId="22410" hidden="1"/>
    <cellStyle name="20% - Accent1 9" xfId="22486" hidden="1"/>
    <cellStyle name="20% - Accent1 9" xfId="22564" hidden="1"/>
    <cellStyle name="20% - Accent1 9" xfId="23149" hidden="1"/>
    <cellStyle name="20% - Accent1 9" xfId="23225" hidden="1"/>
    <cellStyle name="20% - Accent1 9" xfId="23304" hidden="1"/>
    <cellStyle name="20% - Accent1 9" xfId="23399" hidden="1"/>
    <cellStyle name="20% - Accent1 9" xfId="23077" hidden="1"/>
    <cellStyle name="20% - Accent1 9" xfId="22935" hidden="1"/>
    <cellStyle name="20% - Accent1 9" xfId="23744" hidden="1"/>
    <cellStyle name="20% - Accent1 9" xfId="23820" hidden="1"/>
    <cellStyle name="20% - Accent1 9" xfId="23898" hidden="1"/>
    <cellStyle name="20% - Accent1 9" xfId="23981" hidden="1"/>
    <cellStyle name="20% - Accent1 9" xfId="23734" hidden="1"/>
    <cellStyle name="20% - Accent1 9" xfId="22852" hidden="1"/>
    <cellStyle name="20% - Accent1 9" xfId="24276" hidden="1"/>
    <cellStyle name="20% - Accent1 9" xfId="24352" hidden="1"/>
    <cellStyle name="20% - Accent1 9" xfId="24430" hidden="1"/>
    <cellStyle name="20% - Accent1 9" xfId="24613" hidden="1"/>
    <cellStyle name="20% - Accent1 9" xfId="24689" hidden="1"/>
    <cellStyle name="20% - Accent1 9" xfId="24767" hidden="1"/>
    <cellStyle name="20% - Accent1 9" xfId="24950" hidden="1"/>
    <cellStyle name="20% - Accent1 9" xfId="25026" hidden="1"/>
    <cellStyle name="20% - Accent1 9" xfId="25128" hidden="1"/>
    <cellStyle name="20% - Accent1 9" xfId="25202" hidden="1"/>
    <cellStyle name="20% - Accent1 9" xfId="25278" hidden="1"/>
    <cellStyle name="20% - Accent1 9" xfId="25356" hidden="1"/>
    <cellStyle name="20% - Accent1 9" xfId="25941" hidden="1"/>
    <cellStyle name="20% - Accent1 9" xfId="26017" hidden="1"/>
    <cellStyle name="20% - Accent1 9" xfId="26096" hidden="1"/>
    <cellStyle name="20% - Accent1 9" xfId="26191" hidden="1"/>
    <cellStyle name="20% - Accent1 9" xfId="25869" hidden="1"/>
    <cellStyle name="20% - Accent1 9" xfId="25727" hidden="1"/>
    <cellStyle name="20% - Accent1 9" xfId="26536" hidden="1"/>
    <cellStyle name="20% - Accent1 9" xfId="26612" hidden="1"/>
    <cellStyle name="20% - Accent1 9" xfId="26690" hidden="1"/>
    <cellStyle name="20% - Accent1 9" xfId="26773" hidden="1"/>
    <cellStyle name="20% - Accent1 9" xfId="26526" hidden="1"/>
    <cellStyle name="20% - Accent1 9" xfId="25644" hidden="1"/>
    <cellStyle name="20% - Accent1 9" xfId="27068" hidden="1"/>
    <cellStyle name="20% - Accent1 9" xfId="27144" hidden="1"/>
    <cellStyle name="20% - Accent1 9" xfId="27222" hidden="1"/>
    <cellStyle name="20% - Accent1 9" xfId="27405" hidden="1"/>
    <cellStyle name="20% - Accent1 9" xfId="27481" hidden="1"/>
    <cellStyle name="20% - Accent1 9" xfId="27559" hidden="1"/>
    <cellStyle name="20% - Accent1 9" xfId="27742" hidden="1"/>
    <cellStyle name="20% - Accent1 9" xfId="27818" hidden="1"/>
    <cellStyle name="20% - Accent1 9" xfId="22259" hidden="1"/>
    <cellStyle name="20% - Accent1 9" xfId="22185" hidden="1"/>
    <cellStyle name="20% - Accent1 9" xfId="22107" hidden="1"/>
    <cellStyle name="20% - Accent1 9" xfId="22022" hidden="1"/>
    <cellStyle name="20% - Accent1 9" xfId="8910" hidden="1"/>
    <cellStyle name="20% - Accent1 9" xfId="8700" hidden="1"/>
    <cellStyle name="20% - Accent1 9" xfId="8464" hidden="1"/>
    <cellStyle name="20% - Accent1 9" xfId="8143" hidden="1"/>
    <cellStyle name="20% - Accent1 9" xfId="9207" hidden="1"/>
    <cellStyle name="20% - Accent1 9" xfId="9776" hidden="1"/>
    <cellStyle name="20% - Accent1 9" xfId="5872" hidden="1"/>
    <cellStyle name="20% - Accent1 9" xfId="5626" hidden="1"/>
    <cellStyle name="20% - Accent1 9" xfId="5529" hidden="1"/>
    <cellStyle name="20% - Accent1 9" xfId="5259" hidden="1"/>
    <cellStyle name="20% - Accent1 9" xfId="5904" hidden="1"/>
    <cellStyle name="20% - Accent1 9" xfId="15586" hidden="1"/>
    <cellStyle name="20% - Accent1 9" xfId="3390" hidden="1"/>
    <cellStyle name="20% - Accent1 9" xfId="3296" hidden="1"/>
    <cellStyle name="20% - Accent1 9" xfId="3084" hidden="1"/>
    <cellStyle name="20% - Accent1 9" xfId="1689" hidden="1"/>
    <cellStyle name="20% - Accent1 9" xfId="1573" hidden="1"/>
    <cellStyle name="20% - Accent1 9" xfId="1290" hidden="1"/>
    <cellStyle name="20% - Accent1 9" xfId="27887" hidden="1"/>
    <cellStyle name="20% - Accent1 9" xfId="27953" hidden="1"/>
    <cellStyle name="20% - Accent1 9" xfId="28055" hidden="1"/>
    <cellStyle name="20% - Accent1 9" xfId="28129" hidden="1"/>
    <cellStyle name="20% - Accent1 9" xfId="28205" hidden="1"/>
    <cellStyle name="20% - Accent1 9" xfId="28283" hidden="1"/>
    <cellStyle name="20% - Accent1 9" xfId="28868" hidden="1"/>
    <cellStyle name="20% - Accent1 9" xfId="28944" hidden="1"/>
    <cellStyle name="20% - Accent1 9" xfId="29023" hidden="1"/>
    <cellStyle name="20% - Accent1 9" xfId="29118" hidden="1"/>
    <cellStyle name="20% - Accent1 9" xfId="28796" hidden="1"/>
    <cellStyle name="20% - Accent1 9" xfId="28654" hidden="1"/>
    <cellStyle name="20% - Accent1 9" xfId="29463" hidden="1"/>
    <cellStyle name="20% - Accent1 9" xfId="29539" hidden="1"/>
    <cellStyle name="20% - Accent1 9" xfId="29617" hidden="1"/>
    <cellStyle name="20% - Accent1 9" xfId="29700" hidden="1"/>
    <cellStyle name="20% - Accent1 9" xfId="29453" hidden="1"/>
    <cellStyle name="20% - Accent1 9" xfId="28571" hidden="1"/>
    <cellStyle name="20% - Accent1 9" xfId="29995" hidden="1"/>
    <cellStyle name="20% - Accent1 9" xfId="30071" hidden="1"/>
    <cellStyle name="20% - Accent1 9" xfId="30149" hidden="1"/>
    <cellStyle name="20% - Accent1 9" xfId="30332" hidden="1"/>
    <cellStyle name="20% - Accent1 9" xfId="30408" hidden="1"/>
    <cellStyle name="20% - Accent1 9" xfId="30486" hidden="1"/>
    <cellStyle name="20% - Accent1 9" xfId="30669" hidden="1"/>
    <cellStyle name="20% - Accent1 9" xfId="30745" hidden="1"/>
    <cellStyle name="20% - Accent1 9" xfId="30847" hidden="1"/>
    <cellStyle name="20% - Accent1 9" xfId="30921" hidden="1"/>
    <cellStyle name="20% - Accent1 9" xfId="30997" hidden="1"/>
    <cellStyle name="20% - Accent1 9" xfId="31075" hidden="1"/>
    <cellStyle name="20% - Accent1 9" xfId="31660" hidden="1"/>
    <cellStyle name="20% - Accent1 9" xfId="31736" hidden="1"/>
    <cellStyle name="20% - Accent1 9" xfId="31815" hidden="1"/>
    <cellStyle name="20% - Accent1 9" xfId="31910" hidden="1"/>
    <cellStyle name="20% - Accent1 9" xfId="31588" hidden="1"/>
    <cellStyle name="20% - Accent1 9" xfId="31446" hidden="1"/>
    <cellStyle name="20% - Accent1 9" xfId="32255" hidden="1"/>
    <cellStyle name="20% - Accent1 9" xfId="32331" hidden="1"/>
    <cellStyle name="20% - Accent1 9" xfId="32409" hidden="1"/>
    <cellStyle name="20% - Accent1 9" xfId="32492" hidden="1"/>
    <cellStyle name="20% - Accent1 9" xfId="32245" hidden="1"/>
    <cellStyle name="20% - Accent1 9" xfId="31363" hidden="1"/>
    <cellStyle name="20% - Accent1 9" xfId="32787" hidden="1"/>
    <cellStyle name="20% - Accent1 9" xfId="32863" hidden="1"/>
    <cellStyle name="20% - Accent1 9" xfId="32941" hidden="1"/>
    <cellStyle name="20% - Accent1 9" xfId="33124" hidden="1"/>
    <cellStyle name="20% - Accent1 9" xfId="33200" hidden="1"/>
    <cellStyle name="20% - Accent1 9" xfId="33278" hidden="1"/>
    <cellStyle name="20% - Accent1 9" xfId="33461" hidden="1"/>
    <cellStyle name="20% - Accent1 9" xfId="33537" hidden="1"/>
    <cellStyle name="20% - Accent2" xfId="27" builtinId="34" hidden="1"/>
    <cellStyle name="20% - Accent2" xfId="71" builtinId="34" hidden="1" customBuiltin="1"/>
    <cellStyle name="20% - Accent2 10" xfId="168" hidden="1"/>
    <cellStyle name="20% - Accent2 10" xfId="248" hidden="1"/>
    <cellStyle name="20% - Accent2 10" xfId="346" hidden="1"/>
    <cellStyle name="20% - Accent2 10" xfId="680" hidden="1"/>
    <cellStyle name="20% - Accent2 10" xfId="2412" hidden="1"/>
    <cellStyle name="20% - Accent2 10" xfId="2563" hidden="1"/>
    <cellStyle name="20% - Accent2 10" xfId="2753" hidden="1"/>
    <cellStyle name="20% - Accent2 10" xfId="3040" hidden="1"/>
    <cellStyle name="20% - Accent2 10" xfId="1884" hidden="1"/>
    <cellStyle name="20% - Accent2 10" xfId="1905" hidden="1"/>
    <cellStyle name="20% - Accent2 10" xfId="4348" hidden="1"/>
    <cellStyle name="20% - Accent2 10" xfId="4578" hidden="1"/>
    <cellStyle name="20% - Accent2 10" xfId="4741" hidden="1"/>
    <cellStyle name="20% - Accent2 10" xfId="4931" hidden="1"/>
    <cellStyle name="20% - Accent2 10" xfId="2277" hidden="1"/>
    <cellStyle name="20% - Accent2 10" xfId="2273" hidden="1"/>
    <cellStyle name="20% - Accent2 10" xfId="6355" hidden="1"/>
    <cellStyle name="20% - Accent2 10" xfId="6462" hidden="1"/>
    <cellStyle name="20% - Accent2 10" xfId="6659" hidden="1"/>
    <cellStyle name="20% - Accent2 10" xfId="7519" hidden="1"/>
    <cellStyle name="20% - Accent2 10" xfId="7670" hidden="1"/>
    <cellStyle name="20% - Accent2 10" xfId="7848" hidden="1"/>
    <cellStyle name="20% - Accent2 10" xfId="8763" hidden="1"/>
    <cellStyle name="20% - Accent2 10" xfId="8939" hidden="1"/>
    <cellStyle name="20% - Accent2 10" xfId="9859" hidden="1"/>
    <cellStyle name="20% - Accent2 10" xfId="9933" hidden="1"/>
    <cellStyle name="20% - Accent2 10" xfId="10009" hidden="1"/>
    <cellStyle name="20% - Accent2 10" xfId="10087" hidden="1"/>
    <cellStyle name="20% - Accent2 10" xfId="10672" hidden="1"/>
    <cellStyle name="20% - Accent2 10" xfId="10748" hidden="1"/>
    <cellStyle name="20% - Accent2 10" xfId="10827" hidden="1"/>
    <cellStyle name="20% - Accent2 10" xfId="10909" hidden="1"/>
    <cellStyle name="20% - Accent2 10" xfId="10457" hidden="1"/>
    <cellStyle name="20% - Accent2 10" xfId="10474" hidden="1"/>
    <cellStyle name="20% - Accent2 10" xfId="11267" hidden="1"/>
    <cellStyle name="20% - Accent2 10" xfId="11343" hidden="1"/>
    <cellStyle name="20% - Accent2 10" xfId="11421" hidden="1"/>
    <cellStyle name="20% - Accent2 10" xfId="11491" hidden="1"/>
    <cellStyle name="20% - Accent2 10" xfId="10616" hidden="1"/>
    <cellStyle name="20% - Accent2 10" xfId="10612" hidden="1"/>
    <cellStyle name="20% - Accent2 10" xfId="11799" hidden="1"/>
    <cellStyle name="20% - Accent2 10" xfId="11875" hidden="1"/>
    <cellStyle name="20% - Accent2 10" xfId="11953" hidden="1"/>
    <cellStyle name="20% - Accent2 10" xfId="12136" hidden="1"/>
    <cellStyle name="20% - Accent2 10" xfId="12212" hidden="1"/>
    <cellStyle name="20% - Accent2 10" xfId="12290" hidden="1"/>
    <cellStyle name="20% - Accent2 10" xfId="12473" hidden="1"/>
    <cellStyle name="20% - Accent2 10" xfId="12549" hidden="1"/>
    <cellStyle name="20% - Accent2 10" xfId="12651" hidden="1"/>
    <cellStyle name="20% - Accent2 10" xfId="12725" hidden="1"/>
    <cellStyle name="20% - Accent2 10" xfId="12801" hidden="1"/>
    <cellStyle name="20% - Accent2 10" xfId="12879" hidden="1"/>
    <cellStyle name="20% - Accent2 10" xfId="13464" hidden="1"/>
    <cellStyle name="20% - Accent2 10" xfId="13540" hidden="1"/>
    <cellStyle name="20% - Accent2 10" xfId="13619" hidden="1"/>
    <cellStyle name="20% - Accent2 10" xfId="13701" hidden="1"/>
    <cellStyle name="20% - Accent2 10" xfId="13249" hidden="1"/>
    <cellStyle name="20% - Accent2 10" xfId="13266" hidden="1"/>
    <cellStyle name="20% - Accent2 10" xfId="14059" hidden="1"/>
    <cellStyle name="20% - Accent2 10" xfId="14135" hidden="1"/>
    <cellStyle name="20% - Accent2 10" xfId="14213" hidden="1"/>
    <cellStyle name="20% - Accent2 10" xfId="14283" hidden="1"/>
    <cellStyle name="20% - Accent2 10" xfId="13408" hidden="1"/>
    <cellStyle name="20% - Accent2 10" xfId="13404" hidden="1"/>
    <cellStyle name="20% - Accent2 10" xfId="14591" hidden="1"/>
    <cellStyle name="20% - Accent2 10" xfId="14667" hidden="1"/>
    <cellStyle name="20% - Accent2 10" xfId="14745" hidden="1"/>
    <cellStyle name="20% - Accent2 10" xfId="14928" hidden="1"/>
    <cellStyle name="20% - Accent2 10" xfId="15004" hidden="1"/>
    <cellStyle name="20% - Accent2 10" xfId="15082" hidden="1"/>
    <cellStyle name="20% - Accent2 10" xfId="15265" hidden="1"/>
    <cellStyle name="20% - Accent2 10" xfId="15341" hidden="1"/>
    <cellStyle name="20% - Accent2 10" xfId="9596" hidden="1"/>
    <cellStyle name="20% - Accent2 10" xfId="9486" hidden="1"/>
    <cellStyle name="20% - Accent2 10" xfId="9368" hidden="1"/>
    <cellStyle name="20% - Accent2 10" xfId="9260" hidden="1"/>
    <cellStyle name="20% - Accent2 10" xfId="6999" hidden="1"/>
    <cellStyle name="20% - Accent2 10" xfId="6912" hidden="1"/>
    <cellStyle name="20% - Accent2 10" xfId="6818" hidden="1"/>
    <cellStyle name="20% - Accent2 10" xfId="6455" hidden="1"/>
    <cellStyle name="20% - Accent2 10" xfId="7765" hidden="1"/>
    <cellStyle name="20% - Accent2 10" xfId="7643" hidden="1"/>
    <cellStyle name="20% - Accent2 10" xfId="4860" hidden="1"/>
    <cellStyle name="20% - Accent2 10" xfId="4691" hidden="1"/>
    <cellStyle name="20% - Accent2 10" xfId="4470" hidden="1"/>
    <cellStyle name="20% - Accent2 10" xfId="4266" hidden="1"/>
    <cellStyle name="20% - Accent2 10" xfId="7192" hidden="1"/>
    <cellStyle name="20% - Accent2 10" xfId="7196" hidden="1"/>
    <cellStyle name="20% - Accent2 10" xfId="2742" hidden="1"/>
    <cellStyle name="20% - Accent2 10" xfId="2521" hidden="1"/>
    <cellStyle name="20% - Accent2 10" xfId="2348" hidden="1"/>
    <cellStyle name="20% - Accent2 10" xfId="1388" hidden="1"/>
    <cellStyle name="20% - Accent2 10" xfId="1199" hidden="1"/>
    <cellStyle name="20% - Accent2 10" xfId="1050" hidden="1"/>
    <cellStyle name="20% - Accent2 10" xfId="15402" hidden="1"/>
    <cellStyle name="20% - Accent2 10" xfId="15514" hidden="1"/>
    <cellStyle name="20% - Accent2 10" xfId="16200" hidden="1"/>
    <cellStyle name="20% - Accent2 10" xfId="16274" hidden="1"/>
    <cellStyle name="20% - Accent2 10" xfId="16350" hidden="1"/>
    <cellStyle name="20% - Accent2 10" xfId="16428" hidden="1"/>
    <cellStyle name="20% - Accent2 10" xfId="17013" hidden="1"/>
    <cellStyle name="20% - Accent2 10" xfId="17089" hidden="1"/>
    <cellStyle name="20% - Accent2 10" xfId="17168" hidden="1"/>
    <cellStyle name="20% - Accent2 10" xfId="17250" hidden="1"/>
    <cellStyle name="20% - Accent2 10" xfId="16798" hidden="1"/>
    <cellStyle name="20% - Accent2 10" xfId="16815" hidden="1"/>
    <cellStyle name="20% - Accent2 10" xfId="17608" hidden="1"/>
    <cellStyle name="20% - Accent2 10" xfId="17684" hidden="1"/>
    <cellStyle name="20% - Accent2 10" xfId="17762" hidden="1"/>
    <cellStyle name="20% - Accent2 10" xfId="17832" hidden="1"/>
    <cellStyle name="20% - Accent2 10" xfId="16957" hidden="1"/>
    <cellStyle name="20% - Accent2 10" xfId="16953" hidden="1"/>
    <cellStyle name="20% - Accent2 10" xfId="18140" hidden="1"/>
    <cellStyle name="20% - Accent2 10" xfId="18216" hidden="1"/>
    <cellStyle name="20% - Accent2 10" xfId="18294" hidden="1"/>
    <cellStyle name="20% - Accent2 10" xfId="18477" hidden="1"/>
    <cellStyle name="20% - Accent2 10" xfId="18553" hidden="1"/>
    <cellStyle name="20% - Accent2 10" xfId="18631" hidden="1"/>
    <cellStyle name="20% - Accent2 10" xfId="18814" hidden="1"/>
    <cellStyle name="20% - Accent2 10" xfId="18890" hidden="1"/>
    <cellStyle name="20% - Accent2 10" xfId="18992" hidden="1"/>
    <cellStyle name="20% - Accent2 10" xfId="19066" hidden="1"/>
    <cellStyle name="20% - Accent2 10" xfId="19142" hidden="1"/>
    <cellStyle name="20% - Accent2 10" xfId="19220" hidden="1"/>
    <cellStyle name="20% - Accent2 10" xfId="19805" hidden="1"/>
    <cellStyle name="20% - Accent2 10" xfId="19881" hidden="1"/>
    <cellStyle name="20% - Accent2 10" xfId="19960" hidden="1"/>
    <cellStyle name="20% - Accent2 10" xfId="20042" hidden="1"/>
    <cellStyle name="20% - Accent2 10" xfId="19590" hidden="1"/>
    <cellStyle name="20% - Accent2 10" xfId="19607" hidden="1"/>
    <cellStyle name="20% - Accent2 10" xfId="20400" hidden="1"/>
    <cellStyle name="20% - Accent2 10" xfId="20476" hidden="1"/>
    <cellStyle name="20% - Accent2 10" xfId="20554" hidden="1"/>
    <cellStyle name="20% - Accent2 10" xfId="20624" hidden="1"/>
    <cellStyle name="20% - Accent2 10" xfId="19749" hidden="1"/>
    <cellStyle name="20% - Accent2 10" xfId="19745" hidden="1"/>
    <cellStyle name="20% - Accent2 10" xfId="20932" hidden="1"/>
    <cellStyle name="20% - Accent2 10" xfId="21008" hidden="1"/>
    <cellStyle name="20% - Accent2 10" xfId="21086" hidden="1"/>
    <cellStyle name="20% - Accent2 10" xfId="21269" hidden="1"/>
    <cellStyle name="20% - Accent2 10" xfId="21345" hidden="1"/>
    <cellStyle name="20% - Accent2 10" xfId="21423" hidden="1"/>
    <cellStyle name="20% - Accent2 10" xfId="21606" hidden="1"/>
    <cellStyle name="20% - Accent2 10" xfId="21682" hidden="1"/>
    <cellStyle name="20% - Accent2 10" xfId="15991" hidden="1"/>
    <cellStyle name="20% - Accent2 10" xfId="15917" hidden="1"/>
    <cellStyle name="20% - Accent2 10" xfId="15837" hidden="1"/>
    <cellStyle name="20% - Accent2 10" xfId="15754" hidden="1"/>
    <cellStyle name="20% - Accent2 10" xfId="7978" hidden="1"/>
    <cellStyle name="20% - Accent2 10" xfId="7777" hidden="1"/>
    <cellStyle name="20% - Accent2 10" xfId="7511" hidden="1"/>
    <cellStyle name="20% - Accent2 10" xfId="7186" hidden="1"/>
    <cellStyle name="20% - Accent2 10" xfId="8657" hidden="1"/>
    <cellStyle name="20% - Accent2 10" xfId="8508" hidden="1"/>
    <cellStyle name="20% - Accent2 10" xfId="5300" hidden="1"/>
    <cellStyle name="20% - Accent2 10" xfId="5098" hidden="1"/>
    <cellStyle name="20% - Accent2 10" xfId="4995" hidden="1"/>
    <cellStyle name="20% - Accent2 10" xfId="4791" hidden="1"/>
    <cellStyle name="20% - Accent2 10" xfId="8122" hidden="1"/>
    <cellStyle name="20% - Accent2 10" xfId="8132" hidden="1"/>
    <cellStyle name="20% - Accent2 10" xfId="3051" hidden="1"/>
    <cellStyle name="20% - Accent2 10" xfId="2909" hidden="1"/>
    <cellStyle name="20% - Accent2 10" xfId="2714" hidden="1"/>
    <cellStyle name="20% - Accent2 10" xfId="1540" hidden="1"/>
    <cellStyle name="20% - Accent2 10" xfId="1374" hidden="1"/>
    <cellStyle name="20% - Accent2 10" xfId="1121" hidden="1"/>
    <cellStyle name="20% - Accent2 10" xfId="21742" hidden="1"/>
    <cellStyle name="20% - Accent2 10" xfId="21821" hidden="1"/>
    <cellStyle name="20% - Accent2 10" xfId="22351" hidden="1"/>
    <cellStyle name="20% - Accent2 10" xfId="22425" hidden="1"/>
    <cellStyle name="20% - Accent2 10" xfId="22501" hidden="1"/>
    <cellStyle name="20% - Accent2 10" xfId="22579" hidden="1"/>
    <cellStyle name="20% - Accent2 10" xfId="23164" hidden="1"/>
    <cellStyle name="20% - Accent2 10" xfId="23240" hidden="1"/>
    <cellStyle name="20% - Accent2 10" xfId="23319" hidden="1"/>
    <cellStyle name="20% - Accent2 10" xfId="23401" hidden="1"/>
    <cellStyle name="20% - Accent2 10" xfId="22949" hidden="1"/>
    <cellStyle name="20% - Accent2 10" xfId="22966" hidden="1"/>
    <cellStyle name="20% - Accent2 10" xfId="23759" hidden="1"/>
    <cellStyle name="20% - Accent2 10" xfId="23835" hidden="1"/>
    <cellStyle name="20% - Accent2 10" xfId="23913" hidden="1"/>
    <cellStyle name="20% - Accent2 10" xfId="23983" hidden="1"/>
    <cellStyle name="20% - Accent2 10" xfId="23108" hidden="1"/>
    <cellStyle name="20% - Accent2 10" xfId="23104" hidden="1"/>
    <cellStyle name="20% - Accent2 10" xfId="24291" hidden="1"/>
    <cellStyle name="20% - Accent2 10" xfId="24367" hidden="1"/>
    <cellStyle name="20% - Accent2 10" xfId="24445" hidden="1"/>
    <cellStyle name="20% - Accent2 10" xfId="24628" hidden="1"/>
    <cellStyle name="20% - Accent2 10" xfId="24704" hidden="1"/>
    <cellStyle name="20% - Accent2 10" xfId="24782" hidden="1"/>
    <cellStyle name="20% - Accent2 10" xfId="24965" hidden="1"/>
    <cellStyle name="20% - Accent2 10" xfId="25041" hidden="1"/>
    <cellStyle name="20% - Accent2 10" xfId="25143" hidden="1"/>
    <cellStyle name="20% - Accent2 10" xfId="25217" hidden="1"/>
    <cellStyle name="20% - Accent2 10" xfId="25293" hidden="1"/>
    <cellStyle name="20% - Accent2 10" xfId="25371" hidden="1"/>
    <cellStyle name="20% - Accent2 10" xfId="25956" hidden="1"/>
    <cellStyle name="20% - Accent2 10" xfId="26032" hidden="1"/>
    <cellStyle name="20% - Accent2 10" xfId="26111" hidden="1"/>
    <cellStyle name="20% - Accent2 10" xfId="26193" hidden="1"/>
    <cellStyle name="20% - Accent2 10" xfId="25741" hidden="1"/>
    <cellStyle name="20% - Accent2 10" xfId="25758" hidden="1"/>
    <cellStyle name="20% - Accent2 10" xfId="26551" hidden="1"/>
    <cellStyle name="20% - Accent2 10" xfId="26627" hidden="1"/>
    <cellStyle name="20% - Accent2 10" xfId="26705" hidden="1"/>
    <cellStyle name="20% - Accent2 10" xfId="26775" hidden="1"/>
    <cellStyle name="20% - Accent2 10" xfId="25900" hidden="1"/>
    <cellStyle name="20% - Accent2 10" xfId="25896" hidden="1"/>
    <cellStyle name="20% - Accent2 10" xfId="27083" hidden="1"/>
    <cellStyle name="20% - Accent2 10" xfId="27159" hidden="1"/>
    <cellStyle name="20% - Accent2 10" xfId="27237" hidden="1"/>
    <cellStyle name="20% - Accent2 10" xfId="27420" hidden="1"/>
    <cellStyle name="20% - Accent2 10" xfId="27496" hidden="1"/>
    <cellStyle name="20% - Accent2 10" xfId="27574" hidden="1"/>
    <cellStyle name="20% - Accent2 10" xfId="27757" hidden="1"/>
    <cellStyle name="20% - Accent2 10" xfId="27833" hidden="1"/>
    <cellStyle name="20% - Accent2 10" xfId="22244" hidden="1"/>
    <cellStyle name="20% - Accent2 10" xfId="22170" hidden="1"/>
    <cellStyle name="20% - Accent2 10" xfId="22090" hidden="1"/>
    <cellStyle name="20% - Accent2 10" xfId="22007" hidden="1"/>
    <cellStyle name="20% - Accent2 10" xfId="8883" hidden="1"/>
    <cellStyle name="20% - Accent2 10" xfId="8678" hidden="1"/>
    <cellStyle name="20% - Accent2 10" xfId="8444" hidden="1"/>
    <cellStyle name="20% - Accent2 10" xfId="8118" hidden="1"/>
    <cellStyle name="20% - Accent2 10" xfId="9759" hidden="1"/>
    <cellStyle name="20% - Accent2 10" xfId="9587" hidden="1"/>
    <cellStyle name="20% - Accent2 10" xfId="5855" hidden="1"/>
    <cellStyle name="20% - Accent2 10" xfId="5608" hidden="1"/>
    <cellStyle name="20% - Accent2 10" xfId="5511" hidden="1"/>
    <cellStyle name="20% - Accent2 10" xfId="5246" hidden="1"/>
    <cellStyle name="20% - Accent2 10" xfId="9054" hidden="1"/>
    <cellStyle name="20% - Accent2 10" xfId="9069" hidden="1"/>
    <cellStyle name="20% - Accent2 10" xfId="3373" hidden="1"/>
    <cellStyle name="20% - Accent2 10" xfId="3266" hidden="1"/>
    <cellStyle name="20% - Accent2 10" xfId="3038" hidden="1"/>
    <cellStyle name="20% - Accent2 10" xfId="1667" hidden="1"/>
    <cellStyle name="20% - Accent2 10" xfId="1538" hidden="1"/>
    <cellStyle name="20% - Accent2 10" xfId="1265" hidden="1"/>
    <cellStyle name="20% - Accent2 10" xfId="27892" hidden="1"/>
    <cellStyle name="20% - Accent2 10" xfId="27968" hidden="1"/>
    <cellStyle name="20% - Accent2 10" xfId="28070" hidden="1"/>
    <cellStyle name="20% - Accent2 10" xfId="28144" hidden="1"/>
    <cellStyle name="20% - Accent2 10" xfId="28220" hidden="1"/>
    <cellStyle name="20% - Accent2 10" xfId="28298" hidden="1"/>
    <cellStyle name="20% - Accent2 10" xfId="28883" hidden="1"/>
    <cellStyle name="20% - Accent2 10" xfId="28959" hidden="1"/>
    <cellStyle name="20% - Accent2 10" xfId="29038" hidden="1"/>
    <cellStyle name="20% - Accent2 10" xfId="29120" hidden="1"/>
    <cellStyle name="20% - Accent2 10" xfId="28668" hidden="1"/>
    <cellStyle name="20% - Accent2 10" xfId="28685" hidden="1"/>
    <cellStyle name="20% - Accent2 10" xfId="29478" hidden="1"/>
    <cellStyle name="20% - Accent2 10" xfId="29554" hidden="1"/>
    <cellStyle name="20% - Accent2 10" xfId="29632" hidden="1"/>
    <cellStyle name="20% - Accent2 10" xfId="29702" hidden="1"/>
    <cellStyle name="20% - Accent2 10" xfId="28827" hidden="1"/>
    <cellStyle name="20% - Accent2 10" xfId="28823" hidden="1"/>
    <cellStyle name="20% - Accent2 10" xfId="30010" hidden="1"/>
    <cellStyle name="20% - Accent2 10" xfId="30086" hidden="1"/>
    <cellStyle name="20% - Accent2 10" xfId="30164" hidden="1"/>
    <cellStyle name="20% - Accent2 10" xfId="30347" hidden="1"/>
    <cellStyle name="20% - Accent2 10" xfId="30423" hidden="1"/>
    <cellStyle name="20% - Accent2 10" xfId="30501" hidden="1"/>
    <cellStyle name="20% - Accent2 10" xfId="30684" hidden="1"/>
    <cellStyle name="20% - Accent2 10" xfId="30760" hidden="1"/>
    <cellStyle name="20% - Accent2 10" xfId="30862" hidden="1"/>
    <cellStyle name="20% - Accent2 10" xfId="30936" hidden="1"/>
    <cellStyle name="20% - Accent2 10" xfId="31012" hidden="1"/>
    <cellStyle name="20% - Accent2 10" xfId="31090" hidden="1"/>
    <cellStyle name="20% - Accent2 10" xfId="31675" hidden="1"/>
    <cellStyle name="20% - Accent2 10" xfId="31751" hidden="1"/>
    <cellStyle name="20% - Accent2 10" xfId="31830" hidden="1"/>
    <cellStyle name="20% - Accent2 10" xfId="31912" hidden="1"/>
    <cellStyle name="20% - Accent2 10" xfId="31460" hidden="1"/>
    <cellStyle name="20% - Accent2 10" xfId="31477" hidden="1"/>
    <cellStyle name="20% - Accent2 10" xfId="32270" hidden="1"/>
    <cellStyle name="20% - Accent2 10" xfId="32346" hidden="1"/>
    <cellStyle name="20% - Accent2 10" xfId="32424" hidden="1"/>
    <cellStyle name="20% - Accent2 10" xfId="32494" hidden="1"/>
    <cellStyle name="20% - Accent2 10" xfId="31619" hidden="1"/>
    <cellStyle name="20% - Accent2 10" xfId="31615" hidden="1"/>
    <cellStyle name="20% - Accent2 10" xfId="32802" hidden="1"/>
    <cellStyle name="20% - Accent2 10" xfId="32878" hidden="1"/>
    <cellStyle name="20% - Accent2 10" xfId="32956" hidden="1"/>
    <cellStyle name="20% - Accent2 10" xfId="33139" hidden="1"/>
    <cellStyle name="20% - Accent2 10" xfId="33215" hidden="1"/>
    <cellStyle name="20% - Accent2 10" xfId="33293" hidden="1"/>
    <cellStyle name="20% - Accent2 10" xfId="33476" hidden="1"/>
    <cellStyle name="20% - Accent2 10" xfId="33552" hidden="1"/>
    <cellStyle name="20% - Accent2 11" xfId="181" hidden="1"/>
    <cellStyle name="20% - Accent2 11" xfId="261" hidden="1"/>
    <cellStyle name="20% - Accent2 11" xfId="382" hidden="1"/>
    <cellStyle name="20% - Accent2 11" xfId="711" hidden="1"/>
    <cellStyle name="20% - Accent2 11" xfId="2428" hidden="1"/>
    <cellStyle name="20% - Accent2 11" xfId="2580" hidden="1"/>
    <cellStyle name="20% - Accent2 11" xfId="2780" hidden="1"/>
    <cellStyle name="20% - Accent2 11" xfId="2846" hidden="1"/>
    <cellStyle name="20% - Accent2 11" xfId="1601" hidden="1"/>
    <cellStyle name="20% - Accent2 11" xfId="1848" hidden="1"/>
    <cellStyle name="20% - Accent2 11" xfId="4384" hidden="1"/>
    <cellStyle name="20% - Accent2 11" xfId="4596" hidden="1"/>
    <cellStyle name="20% - Accent2 11" xfId="4759" hidden="1"/>
    <cellStyle name="20% - Accent2 11" xfId="4829" hidden="1"/>
    <cellStyle name="20% - Accent2 11" xfId="2933" hidden="1"/>
    <cellStyle name="20% - Accent2 11" xfId="2820" hidden="1"/>
    <cellStyle name="20% - Accent2 11" xfId="6370" hidden="1"/>
    <cellStyle name="20% - Accent2 11" xfId="6476" hidden="1"/>
    <cellStyle name="20% - Accent2 11" xfId="6673" hidden="1"/>
    <cellStyle name="20% - Accent2 11" xfId="7544" hidden="1"/>
    <cellStyle name="20% - Accent2 11" xfId="7688" hidden="1"/>
    <cellStyle name="20% - Accent2 11" xfId="7867" hidden="1"/>
    <cellStyle name="20% - Accent2 11" xfId="8782" hidden="1"/>
    <cellStyle name="20% - Accent2 11" xfId="8956" hidden="1"/>
    <cellStyle name="20% - Accent2 11" xfId="9872" hidden="1"/>
    <cellStyle name="20% - Accent2 11" xfId="9946" hidden="1"/>
    <cellStyle name="20% - Accent2 11" xfId="10022" hidden="1"/>
    <cellStyle name="20% - Accent2 11" xfId="10100" hidden="1"/>
    <cellStyle name="20% - Accent2 11" xfId="10685" hidden="1"/>
    <cellStyle name="20% - Accent2 11" xfId="10761" hidden="1"/>
    <cellStyle name="20% - Accent2 11" xfId="10840" hidden="1"/>
    <cellStyle name="20% - Accent2 11" xfId="10873" hidden="1"/>
    <cellStyle name="20% - Accent2 11" xfId="10354" hidden="1"/>
    <cellStyle name="20% - Accent2 11" xfId="10425" hidden="1"/>
    <cellStyle name="20% - Accent2 11" xfId="11280" hidden="1"/>
    <cellStyle name="20% - Accent2 11" xfId="11356" hidden="1"/>
    <cellStyle name="20% - Accent2 11" xfId="11434" hidden="1"/>
    <cellStyle name="20% - Accent2 11" xfId="11463" hidden="1"/>
    <cellStyle name="20% - Accent2 11" xfId="10896" hidden="1"/>
    <cellStyle name="20% - Accent2 11" xfId="10864" hidden="1"/>
    <cellStyle name="20% - Accent2 11" xfId="11812" hidden="1"/>
    <cellStyle name="20% - Accent2 11" xfId="11888" hidden="1"/>
    <cellStyle name="20% - Accent2 11" xfId="11966" hidden="1"/>
    <cellStyle name="20% - Accent2 11" xfId="12149" hidden="1"/>
    <cellStyle name="20% - Accent2 11" xfId="12225" hidden="1"/>
    <cellStyle name="20% - Accent2 11" xfId="12303" hidden="1"/>
    <cellStyle name="20% - Accent2 11" xfId="12486" hidden="1"/>
    <cellStyle name="20% - Accent2 11" xfId="12562" hidden="1"/>
    <cellStyle name="20% - Accent2 11" xfId="12664" hidden="1"/>
    <cellStyle name="20% - Accent2 11" xfId="12738" hidden="1"/>
    <cellStyle name="20% - Accent2 11" xfId="12814" hidden="1"/>
    <cellStyle name="20% - Accent2 11" xfId="12892" hidden="1"/>
    <cellStyle name="20% - Accent2 11" xfId="13477" hidden="1"/>
    <cellStyle name="20% - Accent2 11" xfId="13553" hidden="1"/>
    <cellStyle name="20% - Accent2 11" xfId="13632" hidden="1"/>
    <cellStyle name="20% - Accent2 11" xfId="13665" hidden="1"/>
    <cellStyle name="20% - Accent2 11" xfId="13146" hidden="1"/>
    <cellStyle name="20% - Accent2 11" xfId="13217" hidden="1"/>
    <cellStyle name="20% - Accent2 11" xfId="14072" hidden="1"/>
    <cellStyle name="20% - Accent2 11" xfId="14148" hidden="1"/>
    <cellStyle name="20% - Accent2 11" xfId="14226" hidden="1"/>
    <cellStyle name="20% - Accent2 11" xfId="14255" hidden="1"/>
    <cellStyle name="20% - Accent2 11" xfId="13688" hidden="1"/>
    <cellStyle name="20% - Accent2 11" xfId="13656" hidden="1"/>
    <cellStyle name="20% - Accent2 11" xfId="14604" hidden="1"/>
    <cellStyle name="20% - Accent2 11" xfId="14680" hidden="1"/>
    <cellStyle name="20% - Accent2 11" xfId="14758" hidden="1"/>
    <cellStyle name="20% - Accent2 11" xfId="14941" hidden="1"/>
    <cellStyle name="20% - Accent2 11" xfId="15017" hidden="1"/>
    <cellStyle name="20% - Accent2 11" xfId="15095" hidden="1"/>
    <cellStyle name="20% - Accent2 11" xfId="15278" hidden="1"/>
    <cellStyle name="20% - Accent2 11" xfId="15354" hidden="1"/>
    <cellStyle name="20% - Accent2 11" xfId="9580" hidden="1"/>
    <cellStyle name="20% - Accent2 11" xfId="9465" hidden="1"/>
    <cellStyle name="20% - Accent2 11" xfId="9355" hidden="1"/>
    <cellStyle name="20% - Accent2 11" xfId="9239" hidden="1"/>
    <cellStyle name="20% - Accent2 11" xfId="6985" hidden="1"/>
    <cellStyle name="20% - Accent2 11" xfId="6898" hidden="1"/>
    <cellStyle name="20% - Accent2 11" xfId="6805" hidden="1"/>
    <cellStyle name="20% - Accent2 11" xfId="6743" hidden="1"/>
    <cellStyle name="20% - Accent2 11" xfId="8131" hidden="1"/>
    <cellStyle name="20% - Accent2 11" xfId="7900" hidden="1"/>
    <cellStyle name="20% - Accent2 11" xfId="4840" hidden="1"/>
    <cellStyle name="20% - Accent2 11" xfId="4673" hidden="1"/>
    <cellStyle name="20% - Accent2 11" xfId="4417" hidden="1"/>
    <cellStyle name="20% - Accent2 11" xfId="4306" hidden="1"/>
    <cellStyle name="20% - Accent2 11" xfId="6654" hidden="1"/>
    <cellStyle name="20% - Accent2 11" xfId="6774" hidden="1"/>
    <cellStyle name="20% - Accent2 11" xfId="2707" hidden="1"/>
    <cellStyle name="20% - Accent2 11" xfId="2505" hidden="1"/>
    <cellStyle name="20% - Accent2 11" xfId="2327" hidden="1"/>
    <cellStyle name="20% - Accent2 11" xfId="1365" hidden="1"/>
    <cellStyle name="20% - Accent2 11" xfId="1181" hidden="1"/>
    <cellStyle name="20% - Accent2 11" xfId="937" hidden="1"/>
    <cellStyle name="20% - Accent2 11" xfId="15420" hidden="1"/>
    <cellStyle name="20% - Accent2 11" xfId="15528" hidden="1"/>
    <cellStyle name="20% - Accent2 11" xfId="16213" hidden="1"/>
    <cellStyle name="20% - Accent2 11" xfId="16287" hidden="1"/>
    <cellStyle name="20% - Accent2 11" xfId="16363" hidden="1"/>
    <cellStyle name="20% - Accent2 11" xfId="16441" hidden="1"/>
    <cellStyle name="20% - Accent2 11" xfId="17026" hidden="1"/>
    <cellStyle name="20% - Accent2 11" xfId="17102" hidden="1"/>
    <cellStyle name="20% - Accent2 11" xfId="17181" hidden="1"/>
    <cellStyle name="20% - Accent2 11" xfId="17214" hidden="1"/>
    <cellStyle name="20% - Accent2 11" xfId="16695" hidden="1"/>
    <cellStyle name="20% - Accent2 11" xfId="16766" hidden="1"/>
    <cellStyle name="20% - Accent2 11" xfId="17621" hidden="1"/>
    <cellStyle name="20% - Accent2 11" xfId="17697" hidden="1"/>
    <cellStyle name="20% - Accent2 11" xfId="17775" hidden="1"/>
    <cellStyle name="20% - Accent2 11" xfId="17804" hidden="1"/>
    <cellStyle name="20% - Accent2 11" xfId="17237" hidden="1"/>
    <cellStyle name="20% - Accent2 11" xfId="17205" hidden="1"/>
    <cellStyle name="20% - Accent2 11" xfId="18153" hidden="1"/>
    <cellStyle name="20% - Accent2 11" xfId="18229" hidden="1"/>
    <cellStyle name="20% - Accent2 11" xfId="18307" hidden="1"/>
    <cellStyle name="20% - Accent2 11" xfId="18490" hidden="1"/>
    <cellStyle name="20% - Accent2 11" xfId="18566" hidden="1"/>
    <cellStyle name="20% - Accent2 11" xfId="18644" hidden="1"/>
    <cellStyle name="20% - Accent2 11" xfId="18827" hidden="1"/>
    <cellStyle name="20% - Accent2 11" xfId="18903" hidden="1"/>
    <cellStyle name="20% - Accent2 11" xfId="19005" hidden="1"/>
    <cellStyle name="20% - Accent2 11" xfId="19079" hidden="1"/>
    <cellStyle name="20% - Accent2 11" xfId="19155" hidden="1"/>
    <cellStyle name="20% - Accent2 11" xfId="19233" hidden="1"/>
    <cellStyle name="20% - Accent2 11" xfId="19818" hidden="1"/>
    <cellStyle name="20% - Accent2 11" xfId="19894" hidden="1"/>
    <cellStyle name="20% - Accent2 11" xfId="19973" hidden="1"/>
    <cellStyle name="20% - Accent2 11" xfId="20006" hidden="1"/>
    <cellStyle name="20% - Accent2 11" xfId="19487" hidden="1"/>
    <cellStyle name="20% - Accent2 11" xfId="19558" hidden="1"/>
    <cellStyle name="20% - Accent2 11" xfId="20413" hidden="1"/>
    <cellStyle name="20% - Accent2 11" xfId="20489" hidden="1"/>
    <cellStyle name="20% - Accent2 11" xfId="20567" hidden="1"/>
    <cellStyle name="20% - Accent2 11" xfId="20596" hidden="1"/>
    <cellStyle name="20% - Accent2 11" xfId="20029" hidden="1"/>
    <cellStyle name="20% - Accent2 11" xfId="19997" hidden="1"/>
    <cellStyle name="20% - Accent2 11" xfId="20945" hidden="1"/>
    <cellStyle name="20% - Accent2 11" xfId="21021" hidden="1"/>
    <cellStyle name="20% - Accent2 11" xfId="21099" hidden="1"/>
    <cellStyle name="20% - Accent2 11" xfId="21282" hidden="1"/>
    <cellStyle name="20% - Accent2 11" xfId="21358" hidden="1"/>
    <cellStyle name="20% - Accent2 11" xfId="21436" hidden="1"/>
    <cellStyle name="20% - Accent2 11" xfId="21619" hidden="1"/>
    <cellStyle name="20% - Accent2 11" xfId="21695" hidden="1"/>
    <cellStyle name="20% - Accent2 11" xfId="15978" hidden="1"/>
    <cellStyle name="20% - Accent2 11" xfId="15904" hidden="1"/>
    <cellStyle name="20% - Accent2 11" xfId="15824" hidden="1"/>
    <cellStyle name="20% - Accent2 11" xfId="15738" hidden="1"/>
    <cellStyle name="20% - Accent2 11" xfId="7957" hidden="1"/>
    <cellStyle name="20% - Accent2 11" xfId="7756" hidden="1"/>
    <cellStyle name="20% - Accent2 11" xfId="7472" hidden="1"/>
    <cellStyle name="20% - Accent2 11" xfId="7402" hidden="1"/>
    <cellStyle name="20% - Accent2 11" xfId="9060" hidden="1"/>
    <cellStyle name="20% - Accent2 11" xfId="8737" hidden="1"/>
    <cellStyle name="20% - Accent2 11" xfId="5286" hidden="1"/>
    <cellStyle name="20% - Accent2 11" xfId="5085" hidden="1"/>
    <cellStyle name="20% - Accent2 11" xfId="4979" hidden="1"/>
    <cellStyle name="20% - Accent2 11" xfId="4929" hidden="1"/>
    <cellStyle name="20% - Accent2 11" xfId="7348" hidden="1"/>
    <cellStyle name="20% - Accent2 11" xfId="7431" hidden="1"/>
    <cellStyle name="20% - Accent2 11" xfId="3022" hidden="1"/>
    <cellStyle name="20% - Accent2 11" xfId="2893" hidden="1"/>
    <cellStyle name="20% - Accent2 11" xfId="2666" hidden="1"/>
    <cellStyle name="20% - Accent2 11" xfId="1517" hidden="1"/>
    <cellStyle name="20% - Accent2 11" xfId="1338" hidden="1"/>
    <cellStyle name="20% - Accent2 11" xfId="1104" hidden="1"/>
    <cellStyle name="20% - Accent2 11" xfId="21755" hidden="1"/>
    <cellStyle name="20% - Accent2 11" xfId="21835" hidden="1"/>
    <cellStyle name="20% - Accent2 11" xfId="22364" hidden="1"/>
    <cellStyle name="20% - Accent2 11" xfId="22438" hidden="1"/>
    <cellStyle name="20% - Accent2 11" xfId="22514" hidden="1"/>
    <cellStyle name="20% - Accent2 11" xfId="22592" hidden="1"/>
    <cellStyle name="20% - Accent2 11" xfId="23177" hidden="1"/>
    <cellStyle name="20% - Accent2 11" xfId="23253" hidden="1"/>
    <cellStyle name="20% - Accent2 11" xfId="23332" hidden="1"/>
    <cellStyle name="20% - Accent2 11" xfId="23365" hidden="1"/>
    <cellStyle name="20% - Accent2 11" xfId="22846" hidden="1"/>
    <cellStyle name="20% - Accent2 11" xfId="22917" hidden="1"/>
    <cellStyle name="20% - Accent2 11" xfId="23772" hidden="1"/>
    <cellStyle name="20% - Accent2 11" xfId="23848" hidden="1"/>
    <cellStyle name="20% - Accent2 11" xfId="23926" hidden="1"/>
    <cellStyle name="20% - Accent2 11" xfId="23955" hidden="1"/>
    <cellStyle name="20% - Accent2 11" xfId="23388" hidden="1"/>
    <cellStyle name="20% - Accent2 11" xfId="23356" hidden="1"/>
    <cellStyle name="20% - Accent2 11" xfId="24304" hidden="1"/>
    <cellStyle name="20% - Accent2 11" xfId="24380" hidden="1"/>
    <cellStyle name="20% - Accent2 11" xfId="24458" hidden="1"/>
    <cellStyle name="20% - Accent2 11" xfId="24641" hidden="1"/>
    <cellStyle name="20% - Accent2 11" xfId="24717" hidden="1"/>
    <cellStyle name="20% - Accent2 11" xfId="24795" hidden="1"/>
    <cellStyle name="20% - Accent2 11" xfId="24978" hidden="1"/>
    <cellStyle name="20% - Accent2 11" xfId="25054" hidden="1"/>
    <cellStyle name="20% - Accent2 11" xfId="25156" hidden="1"/>
    <cellStyle name="20% - Accent2 11" xfId="25230" hidden="1"/>
    <cellStyle name="20% - Accent2 11" xfId="25306" hidden="1"/>
    <cellStyle name="20% - Accent2 11" xfId="25384" hidden="1"/>
    <cellStyle name="20% - Accent2 11" xfId="25969" hidden="1"/>
    <cellStyle name="20% - Accent2 11" xfId="26045" hidden="1"/>
    <cellStyle name="20% - Accent2 11" xfId="26124" hidden="1"/>
    <cellStyle name="20% - Accent2 11" xfId="26157" hidden="1"/>
    <cellStyle name="20% - Accent2 11" xfId="25638" hidden="1"/>
    <cellStyle name="20% - Accent2 11" xfId="25709" hidden="1"/>
    <cellStyle name="20% - Accent2 11" xfId="26564" hidden="1"/>
    <cellStyle name="20% - Accent2 11" xfId="26640" hidden="1"/>
    <cellStyle name="20% - Accent2 11" xfId="26718" hidden="1"/>
    <cellStyle name="20% - Accent2 11" xfId="26747" hidden="1"/>
    <cellStyle name="20% - Accent2 11" xfId="26180" hidden="1"/>
    <cellStyle name="20% - Accent2 11" xfId="26148" hidden="1"/>
    <cellStyle name="20% - Accent2 11" xfId="27096" hidden="1"/>
    <cellStyle name="20% - Accent2 11" xfId="27172" hidden="1"/>
    <cellStyle name="20% - Accent2 11" xfId="27250" hidden="1"/>
    <cellStyle name="20% - Accent2 11" xfId="27433" hidden="1"/>
    <cellStyle name="20% - Accent2 11" xfId="27509" hidden="1"/>
    <cellStyle name="20% - Accent2 11" xfId="27587" hidden="1"/>
    <cellStyle name="20% - Accent2 11" xfId="27770" hidden="1"/>
    <cellStyle name="20% - Accent2 11" xfId="27846" hidden="1"/>
    <cellStyle name="20% - Accent2 11" xfId="22231" hidden="1"/>
    <cellStyle name="20% - Accent2 11" xfId="22157" hidden="1"/>
    <cellStyle name="20% - Accent2 11" xfId="22077" hidden="1"/>
    <cellStyle name="20% - Accent2 11" xfId="21993" hidden="1"/>
    <cellStyle name="20% - Accent2 11" xfId="8864" hidden="1"/>
    <cellStyle name="20% - Accent2 11" xfId="8561" hidden="1"/>
    <cellStyle name="20% - Accent2 11" xfId="8420" hidden="1"/>
    <cellStyle name="20% - Accent2 11" xfId="8255" hidden="1"/>
    <cellStyle name="20% - Accent2 11" xfId="15595" hidden="1"/>
    <cellStyle name="20% - Accent2 11" xfId="9802" hidden="1"/>
    <cellStyle name="20% - Accent2 11" xfId="5836" hidden="1"/>
    <cellStyle name="20% - Accent2 11" xfId="5592" hidden="1"/>
    <cellStyle name="20% - Accent2 11" xfId="5497" hidden="1"/>
    <cellStyle name="20% - Accent2 11" xfId="5457" hidden="1"/>
    <cellStyle name="20% - Accent2 11" xfId="8208" hidden="1"/>
    <cellStyle name="20% - Accent2 11" xfId="8381" hidden="1"/>
    <cellStyle name="20% - Accent2 11" xfId="3355" hidden="1"/>
    <cellStyle name="20% - Accent2 11" xfId="3162" hidden="1"/>
    <cellStyle name="20% - Accent2 11" xfId="3005" hidden="1"/>
    <cellStyle name="20% - Accent2 11" xfId="1651" hidden="1"/>
    <cellStyle name="20% - Accent2 11" xfId="1503" hidden="1"/>
    <cellStyle name="20% - Accent2 11" xfId="1241" hidden="1"/>
    <cellStyle name="20% - Accent2 11" xfId="27905" hidden="1"/>
    <cellStyle name="20% - Accent2 11" xfId="27981" hidden="1"/>
    <cellStyle name="20% - Accent2 11" xfId="28083" hidden="1"/>
    <cellStyle name="20% - Accent2 11" xfId="28157" hidden="1"/>
    <cellStyle name="20% - Accent2 11" xfId="28233" hidden="1"/>
    <cellStyle name="20% - Accent2 11" xfId="28311" hidden="1"/>
    <cellStyle name="20% - Accent2 11" xfId="28896" hidden="1"/>
    <cellStyle name="20% - Accent2 11" xfId="28972" hidden="1"/>
    <cellStyle name="20% - Accent2 11" xfId="29051" hidden="1"/>
    <cellStyle name="20% - Accent2 11" xfId="29084" hidden="1"/>
    <cellStyle name="20% - Accent2 11" xfId="28565" hidden="1"/>
    <cellStyle name="20% - Accent2 11" xfId="28636" hidden="1"/>
    <cellStyle name="20% - Accent2 11" xfId="29491" hidden="1"/>
    <cellStyle name="20% - Accent2 11" xfId="29567" hidden="1"/>
    <cellStyle name="20% - Accent2 11" xfId="29645" hidden="1"/>
    <cellStyle name="20% - Accent2 11" xfId="29674" hidden="1"/>
    <cellStyle name="20% - Accent2 11" xfId="29107" hidden="1"/>
    <cellStyle name="20% - Accent2 11" xfId="29075" hidden="1"/>
    <cellStyle name="20% - Accent2 11" xfId="30023" hidden="1"/>
    <cellStyle name="20% - Accent2 11" xfId="30099" hidden="1"/>
    <cellStyle name="20% - Accent2 11" xfId="30177" hidden="1"/>
    <cellStyle name="20% - Accent2 11" xfId="30360" hidden="1"/>
    <cellStyle name="20% - Accent2 11" xfId="30436" hidden="1"/>
    <cellStyle name="20% - Accent2 11" xfId="30514" hidden="1"/>
    <cellStyle name="20% - Accent2 11" xfId="30697" hidden="1"/>
    <cellStyle name="20% - Accent2 11" xfId="30773" hidden="1"/>
    <cellStyle name="20% - Accent2 11" xfId="30875" hidden="1"/>
    <cellStyle name="20% - Accent2 11" xfId="30949" hidden="1"/>
    <cellStyle name="20% - Accent2 11" xfId="31025" hidden="1"/>
    <cellStyle name="20% - Accent2 11" xfId="31103" hidden="1"/>
    <cellStyle name="20% - Accent2 11" xfId="31688" hidden="1"/>
    <cellStyle name="20% - Accent2 11" xfId="31764" hidden="1"/>
    <cellStyle name="20% - Accent2 11" xfId="31843" hidden="1"/>
    <cellStyle name="20% - Accent2 11" xfId="31876" hidden="1"/>
    <cellStyle name="20% - Accent2 11" xfId="31357" hidden="1"/>
    <cellStyle name="20% - Accent2 11" xfId="31428" hidden="1"/>
    <cellStyle name="20% - Accent2 11" xfId="32283" hidden="1"/>
    <cellStyle name="20% - Accent2 11" xfId="32359" hidden="1"/>
    <cellStyle name="20% - Accent2 11" xfId="32437" hidden="1"/>
    <cellStyle name="20% - Accent2 11" xfId="32466" hidden="1"/>
    <cellStyle name="20% - Accent2 11" xfId="31899" hidden="1"/>
    <cellStyle name="20% - Accent2 11" xfId="31867" hidden="1"/>
    <cellStyle name="20% - Accent2 11" xfId="32815" hidden="1"/>
    <cellStyle name="20% - Accent2 11" xfId="32891" hidden="1"/>
    <cellStyle name="20% - Accent2 11" xfId="32969" hidden="1"/>
    <cellStyle name="20% - Accent2 11" xfId="33152" hidden="1"/>
    <cellStyle name="20% - Accent2 11" xfId="33228" hidden="1"/>
    <cellStyle name="20% - Accent2 11" xfId="33306" hidden="1"/>
    <cellStyle name="20% - Accent2 11" xfId="33489" hidden="1"/>
    <cellStyle name="20% - Accent2 11" xfId="33565" hidden="1"/>
    <cellStyle name="20% - Accent2 12" xfId="197" hidden="1"/>
    <cellStyle name="20% - Accent2 12" xfId="275" hidden="1"/>
    <cellStyle name="20% - Accent2 12" xfId="416" hidden="1"/>
    <cellStyle name="20% - Accent2 12" xfId="731" hidden="1"/>
    <cellStyle name="20% - Accent2 12" xfId="2444" hidden="1"/>
    <cellStyle name="20% - Accent2 12" xfId="2596" hidden="1"/>
    <cellStyle name="20% - Accent2 12" xfId="2804" hidden="1"/>
    <cellStyle name="20% - Accent2 12" xfId="3168" hidden="1"/>
    <cellStyle name="20% - Accent2 12" xfId="2046" hidden="1"/>
    <cellStyle name="20% - Accent2 12" xfId="1664" hidden="1"/>
    <cellStyle name="20% - Accent2 12" xfId="4419" hidden="1"/>
    <cellStyle name="20% - Accent2 12" xfId="4613" hidden="1"/>
    <cellStyle name="20% - Accent2 12" xfId="4775" hidden="1"/>
    <cellStyle name="20% - Accent2 12" xfId="5023" hidden="1"/>
    <cellStyle name="20% - Accent2 12" xfId="1718" hidden="1"/>
    <cellStyle name="20% - Accent2 12" xfId="1707" hidden="1"/>
    <cellStyle name="20% - Accent2 12" xfId="6387" hidden="1"/>
    <cellStyle name="20% - Accent2 12" xfId="6491" hidden="1"/>
    <cellStyle name="20% - Accent2 12" xfId="6689" hidden="1"/>
    <cellStyle name="20% - Accent2 12" xfId="7565" hidden="1"/>
    <cellStyle name="20% - Accent2 12" xfId="7709" hidden="1"/>
    <cellStyle name="20% - Accent2 12" xfId="7883" hidden="1"/>
    <cellStyle name="20% - Accent2 12" xfId="8804" hidden="1"/>
    <cellStyle name="20% - Accent2 12" xfId="8973" hidden="1"/>
    <cellStyle name="20% - Accent2 12" xfId="9885" hidden="1"/>
    <cellStyle name="20% - Accent2 12" xfId="9960" hidden="1"/>
    <cellStyle name="20% - Accent2 12" xfId="10035" hidden="1"/>
    <cellStyle name="20% - Accent2 12" xfId="10113" hidden="1"/>
    <cellStyle name="20% - Accent2 12" xfId="10699" hidden="1"/>
    <cellStyle name="20% - Accent2 12" xfId="10774" hidden="1"/>
    <cellStyle name="20% - Accent2 12" xfId="10853" hidden="1"/>
    <cellStyle name="20% - Accent2 12" xfId="10941" hidden="1"/>
    <cellStyle name="20% - Accent2 12" xfId="10512" hidden="1"/>
    <cellStyle name="20% - Accent2 12" xfId="10366" hidden="1"/>
    <cellStyle name="20% - Accent2 12" xfId="11294" hidden="1"/>
    <cellStyle name="20% - Accent2 12" xfId="11369" hidden="1"/>
    <cellStyle name="20% - Accent2 12" xfId="11447" hidden="1"/>
    <cellStyle name="20% - Accent2 12" xfId="11512" hidden="1"/>
    <cellStyle name="20% - Accent2 12" xfId="10395" hidden="1"/>
    <cellStyle name="20% - Accent2 12" xfId="10387" hidden="1"/>
    <cellStyle name="20% - Accent2 12" xfId="11826" hidden="1"/>
    <cellStyle name="20% - Accent2 12" xfId="11901" hidden="1"/>
    <cellStyle name="20% - Accent2 12" xfId="11979" hidden="1"/>
    <cellStyle name="20% - Accent2 12" xfId="12163" hidden="1"/>
    <cellStyle name="20% - Accent2 12" xfId="12238" hidden="1"/>
    <cellStyle name="20% - Accent2 12" xfId="12316" hidden="1"/>
    <cellStyle name="20% - Accent2 12" xfId="12500" hidden="1"/>
    <cellStyle name="20% - Accent2 12" xfId="12575" hidden="1"/>
    <cellStyle name="20% - Accent2 12" xfId="12677" hidden="1"/>
    <cellStyle name="20% - Accent2 12" xfId="12752" hidden="1"/>
    <cellStyle name="20% - Accent2 12" xfId="12827" hidden="1"/>
    <cellStyle name="20% - Accent2 12" xfId="12905" hidden="1"/>
    <cellStyle name="20% - Accent2 12" xfId="13491" hidden="1"/>
    <cellStyle name="20% - Accent2 12" xfId="13566" hidden="1"/>
    <cellStyle name="20% - Accent2 12" xfId="13645" hidden="1"/>
    <cellStyle name="20% - Accent2 12" xfId="13733" hidden="1"/>
    <cellStyle name="20% - Accent2 12" xfId="13304" hidden="1"/>
    <cellStyle name="20% - Accent2 12" xfId="13158" hidden="1"/>
    <cellStyle name="20% - Accent2 12" xfId="14086" hidden="1"/>
    <cellStyle name="20% - Accent2 12" xfId="14161" hidden="1"/>
    <cellStyle name="20% - Accent2 12" xfId="14239" hidden="1"/>
    <cellStyle name="20% - Accent2 12" xfId="14304" hidden="1"/>
    <cellStyle name="20% - Accent2 12" xfId="13187" hidden="1"/>
    <cellStyle name="20% - Accent2 12" xfId="13179" hidden="1"/>
    <cellStyle name="20% - Accent2 12" xfId="14618" hidden="1"/>
    <cellStyle name="20% - Accent2 12" xfId="14693" hidden="1"/>
    <cellStyle name="20% - Accent2 12" xfId="14771" hidden="1"/>
    <cellStyle name="20% - Accent2 12" xfId="14955" hidden="1"/>
    <cellStyle name="20% - Accent2 12" xfId="15030" hidden="1"/>
    <cellStyle name="20% - Accent2 12" xfId="15108" hidden="1"/>
    <cellStyle name="20% - Accent2 12" xfId="15292" hidden="1"/>
    <cellStyle name="20% - Accent2 12" xfId="15367" hidden="1"/>
    <cellStyle name="20% - Accent2 12" xfId="9564" hidden="1"/>
    <cellStyle name="20% - Accent2 12" xfId="9450" hidden="1"/>
    <cellStyle name="20% - Accent2 12" xfId="9339" hidden="1"/>
    <cellStyle name="20% - Accent2 12" xfId="9221" hidden="1"/>
    <cellStyle name="20% - Accent2 12" xfId="6969" hidden="1"/>
    <cellStyle name="20% - Accent2 12" xfId="6884" hidden="1"/>
    <cellStyle name="20% - Accent2 12" xfId="6789" hidden="1"/>
    <cellStyle name="20% - Accent2 12" xfId="6322" hidden="1"/>
    <cellStyle name="20% - Accent2 12" xfId="7484" hidden="1"/>
    <cellStyle name="20% - Accent2 12" xfId="8081" hidden="1"/>
    <cellStyle name="20% - Accent2 12" xfId="4821" hidden="1"/>
    <cellStyle name="20% - Accent2 12" xfId="4657" hidden="1"/>
    <cellStyle name="20% - Accent2 12" xfId="4366" hidden="1"/>
    <cellStyle name="20% - Accent2 12" xfId="4232" hidden="1"/>
    <cellStyle name="20% - Accent2 12" xfId="8007" hidden="1"/>
    <cellStyle name="20% - Accent2 12" xfId="8028" hidden="1"/>
    <cellStyle name="20% - Accent2 12" xfId="2682" hidden="1"/>
    <cellStyle name="20% - Accent2 12" xfId="2488" hidden="1"/>
    <cellStyle name="20% - Accent2 12" xfId="2312" hidden="1"/>
    <cellStyle name="20% - Accent2 12" xfId="1343" hidden="1"/>
    <cellStyle name="20% - Accent2 12" xfId="1164" hidden="1"/>
    <cellStyle name="20% - Accent2 12" xfId="923" hidden="1"/>
    <cellStyle name="20% - Accent2 12" xfId="15437" hidden="1"/>
    <cellStyle name="20% - Accent2 12" xfId="15544" hidden="1"/>
    <cellStyle name="20% - Accent2 12" xfId="16226" hidden="1"/>
    <cellStyle name="20% - Accent2 12" xfId="16301" hidden="1"/>
    <cellStyle name="20% - Accent2 12" xfId="16376" hidden="1"/>
    <cellStyle name="20% - Accent2 12" xfId="16454" hidden="1"/>
    <cellStyle name="20% - Accent2 12" xfId="17040" hidden="1"/>
    <cellStyle name="20% - Accent2 12" xfId="17115" hidden="1"/>
    <cellStyle name="20% - Accent2 12" xfId="17194" hidden="1"/>
    <cellStyle name="20% - Accent2 12" xfId="17282" hidden="1"/>
    <cellStyle name="20% - Accent2 12" xfId="16853" hidden="1"/>
    <cellStyle name="20% - Accent2 12" xfId="16707" hidden="1"/>
    <cellStyle name="20% - Accent2 12" xfId="17635" hidden="1"/>
    <cellStyle name="20% - Accent2 12" xfId="17710" hidden="1"/>
    <cellStyle name="20% - Accent2 12" xfId="17788" hidden="1"/>
    <cellStyle name="20% - Accent2 12" xfId="17853" hidden="1"/>
    <cellStyle name="20% - Accent2 12" xfId="16736" hidden="1"/>
    <cellStyle name="20% - Accent2 12" xfId="16728" hidden="1"/>
    <cellStyle name="20% - Accent2 12" xfId="18167" hidden="1"/>
    <cellStyle name="20% - Accent2 12" xfId="18242" hidden="1"/>
    <cellStyle name="20% - Accent2 12" xfId="18320" hidden="1"/>
    <cellStyle name="20% - Accent2 12" xfId="18504" hidden="1"/>
    <cellStyle name="20% - Accent2 12" xfId="18579" hidden="1"/>
    <cellStyle name="20% - Accent2 12" xfId="18657" hidden="1"/>
    <cellStyle name="20% - Accent2 12" xfId="18841" hidden="1"/>
    <cellStyle name="20% - Accent2 12" xfId="18916" hidden="1"/>
    <cellStyle name="20% - Accent2 12" xfId="19018" hidden="1"/>
    <cellStyle name="20% - Accent2 12" xfId="19093" hidden="1"/>
    <cellStyle name="20% - Accent2 12" xfId="19168" hidden="1"/>
    <cellStyle name="20% - Accent2 12" xfId="19246" hidden="1"/>
    <cellStyle name="20% - Accent2 12" xfId="19832" hidden="1"/>
    <cellStyle name="20% - Accent2 12" xfId="19907" hidden="1"/>
    <cellStyle name="20% - Accent2 12" xfId="19986" hidden="1"/>
    <cellStyle name="20% - Accent2 12" xfId="20074" hidden="1"/>
    <cellStyle name="20% - Accent2 12" xfId="19645" hidden="1"/>
    <cellStyle name="20% - Accent2 12" xfId="19499" hidden="1"/>
    <cellStyle name="20% - Accent2 12" xfId="20427" hidden="1"/>
    <cellStyle name="20% - Accent2 12" xfId="20502" hidden="1"/>
    <cellStyle name="20% - Accent2 12" xfId="20580" hidden="1"/>
    <cellStyle name="20% - Accent2 12" xfId="20645" hidden="1"/>
    <cellStyle name="20% - Accent2 12" xfId="19528" hidden="1"/>
    <cellStyle name="20% - Accent2 12" xfId="19520" hidden="1"/>
    <cellStyle name="20% - Accent2 12" xfId="20959" hidden="1"/>
    <cellStyle name="20% - Accent2 12" xfId="21034" hidden="1"/>
    <cellStyle name="20% - Accent2 12" xfId="21112" hidden="1"/>
    <cellStyle name="20% - Accent2 12" xfId="21296" hidden="1"/>
    <cellStyle name="20% - Accent2 12" xfId="21371" hidden="1"/>
    <cellStyle name="20% - Accent2 12" xfId="21449" hidden="1"/>
    <cellStyle name="20% - Accent2 12" xfId="21633" hidden="1"/>
    <cellStyle name="20% - Accent2 12" xfId="21708" hidden="1"/>
    <cellStyle name="20% - Accent2 12" xfId="15965" hidden="1"/>
    <cellStyle name="20% - Accent2 12" xfId="15890" hidden="1"/>
    <cellStyle name="20% - Accent2 12" xfId="15810" hidden="1"/>
    <cellStyle name="20% - Accent2 12" xfId="15724" hidden="1"/>
    <cellStyle name="20% - Accent2 12" xfId="7938" hidden="1"/>
    <cellStyle name="20% - Accent2 12" xfId="7727" hidden="1"/>
    <cellStyle name="20% - Accent2 12" xfId="7455" hidden="1"/>
    <cellStyle name="20% - Accent2 12" xfId="6997" hidden="1"/>
    <cellStyle name="20% - Accent2 12" xfId="8428" hidden="1"/>
    <cellStyle name="20% - Accent2 12" xfId="9022" hidden="1"/>
    <cellStyle name="20% - Accent2 12" xfId="5271" hidden="1"/>
    <cellStyle name="20% - Accent2 12" xfId="5072" hidden="1"/>
    <cellStyle name="20% - Accent2 12" xfId="4964" hidden="1"/>
    <cellStyle name="20% - Accent2 12" xfId="4547" hidden="1"/>
    <cellStyle name="20% - Accent2 12" xfId="8911" hidden="1"/>
    <cellStyle name="20% - Accent2 12" xfId="8975" hidden="1"/>
    <cellStyle name="20% - Accent2 12" xfId="3000" hidden="1"/>
    <cellStyle name="20% - Accent2 12" xfId="2874" hidden="1"/>
    <cellStyle name="20% - Accent2 12" xfId="2641" hidden="1"/>
    <cellStyle name="20% - Accent2 12" xfId="1496" hidden="1"/>
    <cellStyle name="20% - Accent2 12" xfId="1311" hidden="1"/>
    <cellStyle name="20% - Accent2 12" xfId="1087" hidden="1"/>
    <cellStyle name="20% - Accent2 12" xfId="21769" hidden="1"/>
    <cellStyle name="20% - Accent2 12" xfId="21848" hidden="1"/>
    <cellStyle name="20% - Accent2 12" xfId="22377" hidden="1"/>
    <cellStyle name="20% - Accent2 12" xfId="22452" hidden="1"/>
    <cellStyle name="20% - Accent2 12" xfId="22527" hidden="1"/>
    <cellStyle name="20% - Accent2 12" xfId="22605" hidden="1"/>
    <cellStyle name="20% - Accent2 12" xfId="23191" hidden="1"/>
    <cellStyle name="20% - Accent2 12" xfId="23266" hidden="1"/>
    <cellStyle name="20% - Accent2 12" xfId="23345" hidden="1"/>
    <cellStyle name="20% - Accent2 12" xfId="23433" hidden="1"/>
    <cellStyle name="20% - Accent2 12" xfId="23004" hidden="1"/>
    <cellStyle name="20% - Accent2 12" xfId="22858" hidden="1"/>
    <cellStyle name="20% - Accent2 12" xfId="23786" hidden="1"/>
    <cellStyle name="20% - Accent2 12" xfId="23861" hidden="1"/>
    <cellStyle name="20% - Accent2 12" xfId="23939" hidden="1"/>
    <cellStyle name="20% - Accent2 12" xfId="24004" hidden="1"/>
    <cellStyle name="20% - Accent2 12" xfId="22887" hidden="1"/>
    <cellStyle name="20% - Accent2 12" xfId="22879" hidden="1"/>
    <cellStyle name="20% - Accent2 12" xfId="24318" hidden="1"/>
    <cellStyle name="20% - Accent2 12" xfId="24393" hidden="1"/>
    <cellStyle name="20% - Accent2 12" xfId="24471" hidden="1"/>
    <cellStyle name="20% - Accent2 12" xfId="24655" hidden="1"/>
    <cellStyle name="20% - Accent2 12" xfId="24730" hidden="1"/>
    <cellStyle name="20% - Accent2 12" xfId="24808" hidden="1"/>
    <cellStyle name="20% - Accent2 12" xfId="24992" hidden="1"/>
    <cellStyle name="20% - Accent2 12" xfId="25067" hidden="1"/>
    <cellStyle name="20% - Accent2 12" xfId="25169" hidden="1"/>
    <cellStyle name="20% - Accent2 12" xfId="25244" hidden="1"/>
    <cellStyle name="20% - Accent2 12" xfId="25319" hidden="1"/>
    <cellStyle name="20% - Accent2 12" xfId="25397" hidden="1"/>
    <cellStyle name="20% - Accent2 12" xfId="25983" hidden="1"/>
    <cellStyle name="20% - Accent2 12" xfId="26058" hidden="1"/>
    <cellStyle name="20% - Accent2 12" xfId="26137" hidden="1"/>
    <cellStyle name="20% - Accent2 12" xfId="26225" hidden="1"/>
    <cellStyle name="20% - Accent2 12" xfId="25796" hidden="1"/>
    <cellStyle name="20% - Accent2 12" xfId="25650" hidden="1"/>
    <cellStyle name="20% - Accent2 12" xfId="26578" hidden="1"/>
    <cellStyle name="20% - Accent2 12" xfId="26653" hidden="1"/>
    <cellStyle name="20% - Accent2 12" xfId="26731" hidden="1"/>
    <cellStyle name="20% - Accent2 12" xfId="26796" hidden="1"/>
    <cellStyle name="20% - Accent2 12" xfId="25679" hidden="1"/>
    <cellStyle name="20% - Accent2 12" xfId="25671" hidden="1"/>
    <cellStyle name="20% - Accent2 12" xfId="27110" hidden="1"/>
    <cellStyle name="20% - Accent2 12" xfId="27185" hidden="1"/>
    <cellStyle name="20% - Accent2 12" xfId="27263" hidden="1"/>
    <cellStyle name="20% - Accent2 12" xfId="27447" hidden="1"/>
    <cellStyle name="20% - Accent2 12" xfId="27522" hidden="1"/>
    <cellStyle name="20% - Accent2 12" xfId="27600" hidden="1"/>
    <cellStyle name="20% - Accent2 12" xfId="27784" hidden="1"/>
    <cellStyle name="20% - Accent2 12" xfId="27859" hidden="1"/>
    <cellStyle name="20% - Accent2 12" xfId="22218" hidden="1"/>
    <cellStyle name="20% - Accent2 12" xfId="22143" hidden="1"/>
    <cellStyle name="20% - Accent2 12" xfId="22063" hidden="1"/>
    <cellStyle name="20% - Accent2 12" xfId="21980" hidden="1"/>
    <cellStyle name="20% - Accent2 12" xfId="8836" hidden="1"/>
    <cellStyle name="20% - Accent2 12" xfId="8541" hidden="1"/>
    <cellStyle name="20% - Accent2 12" xfId="8406" hidden="1"/>
    <cellStyle name="20% - Accent2 12" xfId="7984" hidden="1"/>
    <cellStyle name="20% - Accent2 12" xfId="9475" hidden="1"/>
    <cellStyle name="20% - Accent2 12" xfId="15577" hidden="1"/>
    <cellStyle name="20% - Accent2 12" xfId="5815" hidden="1"/>
    <cellStyle name="20% - Accent2 12" xfId="5577" hidden="1"/>
    <cellStyle name="20% - Accent2 12" xfId="5483" hidden="1"/>
    <cellStyle name="20% - Accent2 12" xfId="5030" hidden="1"/>
    <cellStyle name="20% - Accent2 12" xfId="15490" hidden="1"/>
    <cellStyle name="20% - Accent2 12" xfId="15546" hidden="1"/>
    <cellStyle name="20% - Accent2 12" xfId="3338" hidden="1"/>
    <cellStyle name="20% - Accent2 12" xfId="3149" hidden="1"/>
    <cellStyle name="20% - Accent2 12" xfId="2970" hidden="1"/>
    <cellStyle name="20% - Accent2 12" xfId="1634" hidden="1"/>
    <cellStyle name="20% - Accent2 12" xfId="1466" hidden="1"/>
    <cellStyle name="20% - Accent2 12" xfId="1210" hidden="1"/>
    <cellStyle name="20% - Accent2 12" xfId="27919" hidden="1"/>
    <cellStyle name="20% - Accent2 12" xfId="27994" hidden="1"/>
    <cellStyle name="20% - Accent2 12" xfId="28096" hidden="1"/>
    <cellStyle name="20% - Accent2 12" xfId="28171" hidden="1"/>
    <cellStyle name="20% - Accent2 12" xfId="28246" hidden="1"/>
    <cellStyle name="20% - Accent2 12" xfId="28324" hidden="1"/>
    <cellStyle name="20% - Accent2 12" xfId="28910" hidden="1"/>
    <cellStyle name="20% - Accent2 12" xfId="28985" hidden="1"/>
    <cellStyle name="20% - Accent2 12" xfId="29064" hidden="1"/>
    <cellStyle name="20% - Accent2 12" xfId="29152" hidden="1"/>
    <cellStyle name="20% - Accent2 12" xfId="28723" hidden="1"/>
    <cellStyle name="20% - Accent2 12" xfId="28577" hidden="1"/>
    <cellStyle name="20% - Accent2 12" xfId="29505" hidden="1"/>
    <cellStyle name="20% - Accent2 12" xfId="29580" hidden="1"/>
    <cellStyle name="20% - Accent2 12" xfId="29658" hidden="1"/>
    <cellStyle name="20% - Accent2 12" xfId="29723" hidden="1"/>
    <cellStyle name="20% - Accent2 12" xfId="28606" hidden="1"/>
    <cellStyle name="20% - Accent2 12" xfId="28598" hidden="1"/>
    <cellStyle name="20% - Accent2 12" xfId="30037" hidden="1"/>
    <cellStyle name="20% - Accent2 12" xfId="30112" hidden="1"/>
    <cellStyle name="20% - Accent2 12" xfId="30190" hidden="1"/>
    <cellStyle name="20% - Accent2 12" xfId="30374" hidden="1"/>
    <cellStyle name="20% - Accent2 12" xfId="30449" hidden="1"/>
    <cellStyle name="20% - Accent2 12" xfId="30527" hidden="1"/>
    <cellStyle name="20% - Accent2 12" xfId="30711" hidden="1"/>
    <cellStyle name="20% - Accent2 12" xfId="30786" hidden="1"/>
    <cellStyle name="20% - Accent2 12" xfId="30888" hidden="1"/>
    <cellStyle name="20% - Accent2 12" xfId="30963" hidden="1"/>
    <cellStyle name="20% - Accent2 12" xfId="31038" hidden="1"/>
    <cellStyle name="20% - Accent2 12" xfId="31116" hidden="1"/>
    <cellStyle name="20% - Accent2 12" xfId="31702" hidden="1"/>
    <cellStyle name="20% - Accent2 12" xfId="31777" hidden="1"/>
    <cellStyle name="20% - Accent2 12" xfId="31856" hidden="1"/>
    <cellStyle name="20% - Accent2 12" xfId="31944" hidden="1"/>
    <cellStyle name="20% - Accent2 12" xfId="31515" hidden="1"/>
    <cellStyle name="20% - Accent2 12" xfId="31369" hidden="1"/>
    <cellStyle name="20% - Accent2 12" xfId="32297" hidden="1"/>
    <cellStyle name="20% - Accent2 12" xfId="32372" hidden="1"/>
    <cellStyle name="20% - Accent2 12" xfId="32450" hidden="1"/>
    <cellStyle name="20% - Accent2 12" xfId="32515" hidden="1"/>
    <cellStyle name="20% - Accent2 12" xfId="31398" hidden="1"/>
    <cellStyle name="20% - Accent2 12" xfId="31390" hidden="1"/>
    <cellStyle name="20% - Accent2 12" xfId="32829" hidden="1"/>
    <cellStyle name="20% - Accent2 12" xfId="32904" hidden="1"/>
    <cellStyle name="20% - Accent2 12" xfId="32982" hidden="1"/>
    <cellStyle name="20% - Accent2 12" xfId="33166" hidden="1"/>
    <cellStyle name="20% - Accent2 12" xfId="33241" hidden="1"/>
    <cellStyle name="20% - Accent2 12" xfId="33319" hidden="1"/>
    <cellStyle name="20% - Accent2 12" xfId="33503" hidden="1"/>
    <cellStyle name="20% - Accent2 12" xfId="33578" hidden="1"/>
    <cellStyle name="20% - Accent2 13" xfId="744" hidden="1"/>
    <cellStyle name="20% - Accent2 13" xfId="948" hidden="1"/>
    <cellStyle name="20% - Accent2 13" xfId="3517" hidden="1"/>
    <cellStyle name="20% - Accent2 13" xfId="4032" hidden="1"/>
    <cellStyle name="20% - Accent2 13" xfId="5351" hidden="1"/>
    <cellStyle name="20% - Accent2 13" xfId="6048" hidden="1"/>
    <cellStyle name="20% - Accent2 13" xfId="7064" hidden="1"/>
    <cellStyle name="20% - Accent2 13" xfId="8266" hidden="1"/>
    <cellStyle name="20% - Accent2 13" xfId="10126" hidden="1"/>
    <cellStyle name="20% - Accent2 13" xfId="10241" hidden="1"/>
    <cellStyle name="20% - Accent2 13" xfId="10964" hidden="1"/>
    <cellStyle name="20% - Accent2 13" xfId="11137" hidden="1"/>
    <cellStyle name="20% - Accent2 13" xfId="11530" hidden="1"/>
    <cellStyle name="20% - Accent2 13" xfId="11678" hidden="1"/>
    <cellStyle name="20% - Accent2 13" xfId="12016" hidden="1"/>
    <cellStyle name="20% - Accent2 13" xfId="12353" hidden="1"/>
    <cellStyle name="20% - Accent2 13" xfId="12918" hidden="1"/>
    <cellStyle name="20% - Accent2 13" xfId="13033" hidden="1"/>
    <cellStyle name="20% - Accent2 13" xfId="13756" hidden="1"/>
    <cellStyle name="20% - Accent2 13" xfId="13929" hidden="1"/>
    <cellStyle name="20% - Accent2 13" xfId="14322" hidden="1"/>
    <cellStyle name="20% - Accent2 13" xfId="14470" hidden="1"/>
    <cellStyle name="20% - Accent2 13" xfId="14808" hidden="1"/>
    <cellStyle name="20% - Accent2 13" xfId="15145" hidden="1"/>
    <cellStyle name="20% - Accent2 13" xfId="9203" hidden="1"/>
    <cellStyle name="20% - Accent2 13" xfId="8661" hidden="1"/>
    <cellStyle name="20% - Accent2 13" xfId="6031" hidden="1"/>
    <cellStyle name="20% - Accent2 13" xfId="5239" hidden="1"/>
    <cellStyle name="20% - Accent2 13" xfId="3957" hidden="1"/>
    <cellStyle name="20% - Accent2 13" xfId="3280" hidden="1"/>
    <cellStyle name="20% - Accent2 13" xfId="1844" hidden="1"/>
    <cellStyle name="20% - Accent2 13" xfId="480" hidden="1"/>
    <cellStyle name="20% - Accent2 13" xfId="16467" hidden="1"/>
    <cellStyle name="20% - Accent2 13" xfId="16582" hidden="1"/>
    <cellStyle name="20% - Accent2 13" xfId="17305" hidden="1"/>
    <cellStyle name="20% - Accent2 13" xfId="17478" hidden="1"/>
    <cellStyle name="20% - Accent2 13" xfId="17871" hidden="1"/>
    <cellStyle name="20% - Accent2 13" xfId="18019" hidden="1"/>
    <cellStyle name="20% - Accent2 13" xfId="18357" hidden="1"/>
    <cellStyle name="20% - Accent2 13" xfId="18694" hidden="1"/>
    <cellStyle name="20% - Accent2 13" xfId="19259" hidden="1"/>
    <cellStyle name="20% - Accent2 13" xfId="19374" hidden="1"/>
    <cellStyle name="20% - Accent2 13" xfId="20097" hidden="1"/>
    <cellStyle name="20% - Accent2 13" xfId="20270" hidden="1"/>
    <cellStyle name="20% - Accent2 13" xfId="20663" hidden="1"/>
    <cellStyle name="20% - Accent2 13" xfId="20811" hidden="1"/>
    <cellStyle name="20% - Accent2 13" xfId="21149" hidden="1"/>
    <cellStyle name="20% - Accent2 13" xfId="21486" hidden="1"/>
    <cellStyle name="20% - Accent2 13" xfId="15711" hidden="1"/>
    <cellStyle name="20% - Accent2 13" xfId="9755" hidden="1"/>
    <cellStyle name="20% - Accent2 13" xfId="6617" hidden="1"/>
    <cellStyle name="20% - Accent2 13" xfId="5772" hidden="1"/>
    <cellStyle name="20% - Accent2 13" xfId="4225" hidden="1"/>
    <cellStyle name="20% - Accent2 13" xfId="3507" hidden="1"/>
    <cellStyle name="20% - Accent2 13" xfId="2019" hidden="1"/>
    <cellStyle name="20% - Accent2 13" xfId="580" hidden="1"/>
    <cellStyle name="20% - Accent2 13" xfId="22618" hidden="1"/>
    <cellStyle name="20% - Accent2 13" xfId="22733" hidden="1"/>
    <cellStyle name="20% - Accent2 13" xfId="23456" hidden="1"/>
    <cellStyle name="20% - Accent2 13" xfId="23629" hidden="1"/>
    <cellStyle name="20% - Accent2 13" xfId="24022" hidden="1"/>
    <cellStyle name="20% - Accent2 13" xfId="24170" hidden="1"/>
    <cellStyle name="20% - Accent2 13" xfId="24508" hidden="1"/>
    <cellStyle name="20% - Accent2 13" xfId="24845" hidden="1"/>
    <cellStyle name="20% - Accent2 13" xfId="25410" hidden="1"/>
    <cellStyle name="20% - Accent2 13" xfId="25525" hidden="1"/>
    <cellStyle name="20% - Accent2 13" xfId="26248" hidden="1"/>
    <cellStyle name="20% - Accent2 13" xfId="26421" hidden="1"/>
    <cellStyle name="20% - Accent2 13" xfId="26814" hidden="1"/>
    <cellStyle name="20% - Accent2 13" xfId="26962" hidden="1"/>
    <cellStyle name="20% - Accent2 13" xfId="27300" hidden="1"/>
    <cellStyle name="20% - Accent2 13" xfId="27637" hidden="1"/>
    <cellStyle name="20% - Accent2 13" xfId="21967" hidden="1"/>
    <cellStyle name="20% - Accent2 13" xfId="16135" hidden="1"/>
    <cellStyle name="20% - Accent2 13" xfId="7318" hidden="1"/>
    <cellStyle name="20% - Accent2 13" xfId="6281" hidden="1"/>
    <cellStyle name="20% - Accent2 13" xfId="4537" hidden="1"/>
    <cellStyle name="20% - Accent2 13" xfId="3762" hidden="1"/>
    <cellStyle name="20% - Accent2 13" xfId="2198" hidden="1"/>
    <cellStyle name="20% - Accent2 13" xfId="722" hidden="1"/>
    <cellStyle name="20% - Accent2 13" xfId="28337" hidden="1"/>
    <cellStyle name="20% - Accent2 13" xfId="28452" hidden="1"/>
    <cellStyle name="20% - Accent2 13" xfId="29175" hidden="1"/>
    <cellStyle name="20% - Accent2 13" xfId="29348" hidden="1"/>
    <cellStyle name="20% - Accent2 13" xfId="29741" hidden="1"/>
    <cellStyle name="20% - Accent2 13" xfId="29889" hidden="1"/>
    <cellStyle name="20% - Accent2 13" xfId="30227" hidden="1"/>
    <cellStyle name="20% - Accent2 13" xfId="30564" hidden="1"/>
    <cellStyle name="20% - Accent2 13" xfId="31129" hidden="1"/>
    <cellStyle name="20% - Accent2 13" xfId="31244" hidden="1"/>
    <cellStyle name="20% - Accent2 13" xfId="31967" hidden="1"/>
    <cellStyle name="20% - Accent2 13" xfId="32140" hidden="1"/>
    <cellStyle name="20% - Accent2 13" xfId="32533" hidden="1"/>
    <cellStyle name="20% - Accent2 13" xfId="32681" hidden="1"/>
    <cellStyle name="20% - Accent2 13" xfId="33019" hidden="1"/>
    <cellStyle name="20% - Accent2 13" xfId="33356" hidden="1"/>
    <cellStyle name="20% - Accent2 3 2 3 2" xfId="821" hidden="1"/>
    <cellStyle name="20% - Accent2 3 2 3 2" xfId="1029" hidden="1"/>
    <cellStyle name="20% - Accent2 3 2 3 2" xfId="3593" hidden="1"/>
    <cellStyle name="20% - Accent2 3 2 3 2" xfId="4108" hidden="1"/>
    <cellStyle name="20% - Accent2 3 2 3 2" xfId="5427" hidden="1"/>
    <cellStyle name="20% - Accent2 3 2 3 2" xfId="6124" hidden="1"/>
    <cellStyle name="20% - Accent2 3 2 3 2" xfId="7141" hidden="1"/>
    <cellStyle name="20% - Accent2 3 2 3 2" xfId="8345" hidden="1"/>
    <cellStyle name="20% - Accent2 3 2 3 2" xfId="10202" hidden="1"/>
    <cellStyle name="20% - Accent2 3 2 3 2" xfId="10317" hidden="1"/>
    <cellStyle name="20% - Accent2 3 2 3 2" xfId="11040" hidden="1"/>
    <cellStyle name="20% - Accent2 3 2 3 2" xfId="11213" hidden="1"/>
    <cellStyle name="20% - Accent2 3 2 3 2" xfId="11606" hidden="1"/>
    <cellStyle name="20% - Accent2 3 2 3 2" xfId="11754" hidden="1"/>
    <cellStyle name="20% - Accent2 3 2 3 2" xfId="12092" hidden="1"/>
    <cellStyle name="20% - Accent2 3 2 3 2" xfId="12429" hidden="1"/>
    <cellStyle name="20% - Accent2 3 2 3 2" xfId="12994" hidden="1"/>
    <cellStyle name="20% - Accent2 3 2 3 2" xfId="13109" hidden="1"/>
    <cellStyle name="20% - Accent2 3 2 3 2" xfId="13832" hidden="1"/>
    <cellStyle name="20% - Accent2 3 2 3 2" xfId="14005" hidden="1"/>
    <cellStyle name="20% - Accent2 3 2 3 2" xfId="14398" hidden="1"/>
    <cellStyle name="20% - Accent2 3 2 3 2" xfId="14546" hidden="1"/>
    <cellStyle name="20% - Accent2 3 2 3 2" xfId="14884" hidden="1"/>
    <cellStyle name="20% - Accent2 3 2 3 2" xfId="15221" hidden="1"/>
    <cellStyle name="20% - Accent2 3 2 3 2" xfId="9125" hidden="1"/>
    <cellStyle name="20% - Accent2 3 2 3 2" xfId="8581" hidden="1"/>
    <cellStyle name="20% - Accent2 3 2 3 2" xfId="5953" hidden="1"/>
    <cellStyle name="20% - Accent2 3 2 3 2" xfId="5162" hidden="1"/>
    <cellStyle name="20% - Accent2 3 2 3 2" xfId="3877" hidden="1"/>
    <cellStyle name="20% - Accent2 3 2 3 2" xfId="3199" hidden="1"/>
    <cellStyle name="20% - Accent2 3 2 3 2" xfId="1756" hidden="1"/>
    <cellStyle name="20% - Accent2 3 2 3 2" xfId="353" hidden="1"/>
    <cellStyle name="20% - Accent2 3 2 3 2" xfId="16543" hidden="1"/>
    <cellStyle name="20% - Accent2 3 2 3 2" xfId="16658" hidden="1"/>
    <cellStyle name="20% - Accent2 3 2 3 2" xfId="17381" hidden="1"/>
    <cellStyle name="20% - Accent2 3 2 3 2" xfId="17554" hidden="1"/>
    <cellStyle name="20% - Accent2 3 2 3 2" xfId="17947" hidden="1"/>
    <cellStyle name="20% - Accent2 3 2 3 2" xfId="18095" hidden="1"/>
    <cellStyle name="20% - Accent2 3 2 3 2" xfId="18433" hidden="1"/>
    <cellStyle name="20% - Accent2 3 2 3 2" xfId="18770" hidden="1"/>
    <cellStyle name="20% - Accent2 3 2 3 2" xfId="19335" hidden="1"/>
    <cellStyle name="20% - Accent2 3 2 3 2" xfId="19450" hidden="1"/>
    <cellStyle name="20% - Accent2 3 2 3 2" xfId="20173" hidden="1"/>
    <cellStyle name="20% - Accent2 3 2 3 2" xfId="20346" hidden="1"/>
    <cellStyle name="20% - Accent2 3 2 3 2" xfId="20739" hidden="1"/>
    <cellStyle name="20% - Accent2 3 2 3 2" xfId="20887" hidden="1"/>
    <cellStyle name="20% - Accent2 3 2 3 2" xfId="21225" hidden="1"/>
    <cellStyle name="20% - Accent2 3 2 3 2" xfId="21562" hidden="1"/>
    <cellStyle name="20% - Accent2 3 2 3 2" xfId="15633" hidden="1"/>
    <cellStyle name="20% - Accent2 3 2 3 2" xfId="9678" hidden="1"/>
    <cellStyle name="20% - Accent2 3 2 3 2" xfId="6525" hidden="1"/>
    <cellStyle name="20% - Accent2 3 2 3 2" xfId="5676" hidden="1"/>
    <cellStyle name="20% - Accent2 3 2 3 2" xfId="4147" hidden="1"/>
    <cellStyle name="20% - Accent2 3 2 3 2" xfId="3426" hidden="1"/>
    <cellStyle name="20% - Accent2 3 2 3 2" xfId="1929" hidden="1"/>
    <cellStyle name="20% - Accent2 3 2 3 2" xfId="491" hidden="1"/>
    <cellStyle name="20% - Accent2 3 2 3 2" xfId="22694" hidden="1"/>
    <cellStyle name="20% - Accent2 3 2 3 2" xfId="22809" hidden="1"/>
    <cellStyle name="20% - Accent2 3 2 3 2" xfId="23532" hidden="1"/>
    <cellStyle name="20% - Accent2 3 2 3 2" xfId="23705" hidden="1"/>
    <cellStyle name="20% - Accent2 3 2 3 2" xfId="24098" hidden="1"/>
    <cellStyle name="20% - Accent2 3 2 3 2" xfId="24246" hidden="1"/>
    <cellStyle name="20% - Accent2 3 2 3 2" xfId="24584" hidden="1"/>
    <cellStyle name="20% - Accent2 3 2 3 2" xfId="24921" hidden="1"/>
    <cellStyle name="20% - Accent2 3 2 3 2" xfId="25486" hidden="1"/>
    <cellStyle name="20% - Accent2 3 2 3 2" xfId="25601" hidden="1"/>
    <cellStyle name="20% - Accent2 3 2 3 2" xfId="26324" hidden="1"/>
    <cellStyle name="20% - Accent2 3 2 3 2" xfId="26497" hidden="1"/>
    <cellStyle name="20% - Accent2 3 2 3 2" xfId="26890" hidden="1"/>
    <cellStyle name="20% - Accent2 3 2 3 2" xfId="27038" hidden="1"/>
    <cellStyle name="20% - Accent2 3 2 3 2" xfId="27376" hidden="1"/>
    <cellStyle name="20% - Accent2 3 2 3 2" xfId="27713" hidden="1"/>
    <cellStyle name="20% - Accent2 3 2 3 2" xfId="21889" hidden="1"/>
    <cellStyle name="20% - Accent2 3 2 3 2" xfId="16059" hidden="1"/>
    <cellStyle name="20% - Accent2 3 2 3 2" xfId="7229" hidden="1"/>
    <cellStyle name="20% - Accent2 3 2 3 2" xfId="6185" hidden="1"/>
    <cellStyle name="20% - Accent2 3 2 3 2" xfId="4376" hidden="1"/>
    <cellStyle name="20% - Accent2 3 2 3 2" xfId="3682" hidden="1"/>
    <cellStyle name="20% - Accent2 3 2 3 2" xfId="2115" hidden="1"/>
    <cellStyle name="20% - Accent2 3 2 3 2" xfId="604" hidden="1"/>
    <cellStyle name="20% - Accent2 3 2 3 2" xfId="28413" hidden="1"/>
    <cellStyle name="20% - Accent2 3 2 3 2" xfId="28528" hidden="1"/>
    <cellStyle name="20% - Accent2 3 2 3 2" xfId="29251" hidden="1"/>
    <cellStyle name="20% - Accent2 3 2 3 2" xfId="29424" hidden="1"/>
    <cellStyle name="20% - Accent2 3 2 3 2" xfId="29817" hidden="1"/>
    <cellStyle name="20% - Accent2 3 2 3 2" xfId="29965" hidden="1"/>
    <cellStyle name="20% - Accent2 3 2 3 2" xfId="30303" hidden="1"/>
    <cellStyle name="20% - Accent2 3 2 3 2" xfId="30640" hidden="1"/>
    <cellStyle name="20% - Accent2 3 2 3 2" xfId="31205" hidden="1"/>
    <cellStyle name="20% - Accent2 3 2 3 2" xfId="31320" hidden="1"/>
    <cellStyle name="20% - Accent2 3 2 3 2" xfId="32043" hidden="1"/>
    <cellStyle name="20% - Accent2 3 2 3 2" xfId="32216" hidden="1"/>
    <cellStyle name="20% - Accent2 3 2 3 2" xfId="32609" hidden="1"/>
    <cellStyle name="20% - Accent2 3 2 3 2" xfId="32757" hidden="1"/>
    <cellStyle name="20% - Accent2 3 2 3 2" xfId="33095" hidden="1"/>
    <cellStyle name="20% - Accent2 3 2 3 2" xfId="33432" hidden="1"/>
    <cellStyle name="20% - Accent2 3 2 4 2" xfId="774" hidden="1"/>
    <cellStyle name="20% - Accent2 3 2 4 2" xfId="982" hidden="1"/>
    <cellStyle name="20% - Accent2 3 2 4 2" xfId="3546" hidden="1"/>
    <cellStyle name="20% - Accent2 3 2 4 2" xfId="4061" hidden="1"/>
    <cellStyle name="20% - Accent2 3 2 4 2" xfId="5380" hidden="1"/>
    <cellStyle name="20% - Accent2 3 2 4 2" xfId="6077" hidden="1"/>
    <cellStyle name="20% - Accent2 3 2 4 2" xfId="7094" hidden="1"/>
    <cellStyle name="20% - Accent2 3 2 4 2" xfId="8298" hidden="1"/>
    <cellStyle name="20% - Accent2 3 2 4 2" xfId="10155" hidden="1"/>
    <cellStyle name="20% - Accent2 3 2 4 2" xfId="10270" hidden="1"/>
    <cellStyle name="20% - Accent2 3 2 4 2" xfId="10993" hidden="1"/>
    <cellStyle name="20% - Accent2 3 2 4 2" xfId="11166" hidden="1"/>
    <cellStyle name="20% - Accent2 3 2 4 2" xfId="11559" hidden="1"/>
    <cellStyle name="20% - Accent2 3 2 4 2" xfId="11707" hidden="1"/>
    <cellStyle name="20% - Accent2 3 2 4 2" xfId="12045" hidden="1"/>
    <cellStyle name="20% - Accent2 3 2 4 2" xfId="12382" hidden="1"/>
    <cellStyle name="20% - Accent2 3 2 4 2" xfId="12947" hidden="1"/>
    <cellStyle name="20% - Accent2 3 2 4 2" xfId="13062" hidden="1"/>
    <cellStyle name="20% - Accent2 3 2 4 2" xfId="13785" hidden="1"/>
    <cellStyle name="20% - Accent2 3 2 4 2" xfId="13958" hidden="1"/>
    <cellStyle name="20% - Accent2 3 2 4 2" xfId="14351" hidden="1"/>
    <cellStyle name="20% - Accent2 3 2 4 2" xfId="14499" hidden="1"/>
    <cellStyle name="20% - Accent2 3 2 4 2" xfId="14837" hidden="1"/>
    <cellStyle name="20% - Accent2 3 2 4 2" xfId="15174" hidden="1"/>
    <cellStyle name="20% - Accent2 3 2 4 2" xfId="9173" hidden="1"/>
    <cellStyle name="20% - Accent2 3 2 4 2" xfId="8628" hidden="1"/>
    <cellStyle name="20% - Accent2 3 2 4 2" xfId="6000" hidden="1"/>
    <cellStyle name="20% - Accent2 3 2 4 2" xfId="5209" hidden="1"/>
    <cellStyle name="20% - Accent2 3 2 4 2" xfId="3926" hidden="1"/>
    <cellStyle name="20% - Accent2 3 2 4 2" xfId="3246" hidden="1"/>
    <cellStyle name="20% - Accent2 3 2 4 2" xfId="1809" hidden="1"/>
    <cellStyle name="20% - Accent2 3 2 4 2" xfId="430" hidden="1"/>
    <cellStyle name="20% - Accent2 3 2 4 2" xfId="16496" hidden="1"/>
    <cellStyle name="20% - Accent2 3 2 4 2" xfId="16611" hidden="1"/>
    <cellStyle name="20% - Accent2 3 2 4 2" xfId="17334" hidden="1"/>
    <cellStyle name="20% - Accent2 3 2 4 2" xfId="17507" hidden="1"/>
    <cellStyle name="20% - Accent2 3 2 4 2" xfId="17900" hidden="1"/>
    <cellStyle name="20% - Accent2 3 2 4 2" xfId="18048" hidden="1"/>
    <cellStyle name="20% - Accent2 3 2 4 2" xfId="18386" hidden="1"/>
    <cellStyle name="20% - Accent2 3 2 4 2" xfId="18723" hidden="1"/>
    <cellStyle name="20% - Accent2 3 2 4 2" xfId="19288" hidden="1"/>
    <cellStyle name="20% - Accent2 3 2 4 2" xfId="19403" hidden="1"/>
    <cellStyle name="20% - Accent2 3 2 4 2" xfId="20126" hidden="1"/>
    <cellStyle name="20% - Accent2 3 2 4 2" xfId="20299" hidden="1"/>
    <cellStyle name="20% - Accent2 3 2 4 2" xfId="20692" hidden="1"/>
    <cellStyle name="20% - Accent2 3 2 4 2" xfId="20840" hidden="1"/>
    <cellStyle name="20% - Accent2 3 2 4 2" xfId="21178" hidden="1"/>
    <cellStyle name="20% - Accent2 3 2 4 2" xfId="21515" hidden="1"/>
    <cellStyle name="20% - Accent2 3 2 4 2" xfId="15681" hidden="1"/>
    <cellStyle name="20% - Accent2 3 2 4 2" xfId="9725" hidden="1"/>
    <cellStyle name="20% - Accent2 3 2 4 2" xfId="6583" hidden="1"/>
    <cellStyle name="20% - Accent2 3 2 4 2" xfId="5737" hidden="1"/>
    <cellStyle name="20% - Accent2 3 2 4 2" xfId="4195" hidden="1"/>
    <cellStyle name="20% - Accent2 3 2 4 2" xfId="3476" hidden="1"/>
    <cellStyle name="20% - Accent2 3 2 4 2" xfId="1985" hidden="1"/>
    <cellStyle name="20% - Accent2 3 2 4 2" xfId="544" hidden="1"/>
    <cellStyle name="20% - Accent2 3 2 4 2" xfId="22647" hidden="1"/>
    <cellStyle name="20% - Accent2 3 2 4 2" xfId="22762" hidden="1"/>
    <cellStyle name="20% - Accent2 3 2 4 2" xfId="23485" hidden="1"/>
    <cellStyle name="20% - Accent2 3 2 4 2" xfId="23658" hidden="1"/>
    <cellStyle name="20% - Accent2 3 2 4 2" xfId="24051" hidden="1"/>
    <cellStyle name="20% - Accent2 3 2 4 2" xfId="24199" hidden="1"/>
    <cellStyle name="20% - Accent2 3 2 4 2" xfId="24537" hidden="1"/>
    <cellStyle name="20% - Accent2 3 2 4 2" xfId="24874" hidden="1"/>
    <cellStyle name="20% - Accent2 3 2 4 2" xfId="25439" hidden="1"/>
    <cellStyle name="20% - Accent2 3 2 4 2" xfId="25554" hidden="1"/>
    <cellStyle name="20% - Accent2 3 2 4 2" xfId="26277" hidden="1"/>
    <cellStyle name="20% - Accent2 3 2 4 2" xfId="26450" hidden="1"/>
    <cellStyle name="20% - Accent2 3 2 4 2" xfId="26843" hidden="1"/>
    <cellStyle name="20% - Accent2 3 2 4 2" xfId="26991" hidden="1"/>
    <cellStyle name="20% - Accent2 3 2 4 2" xfId="27329" hidden="1"/>
    <cellStyle name="20% - Accent2 3 2 4 2" xfId="27666" hidden="1"/>
    <cellStyle name="20% - Accent2 3 2 4 2" xfId="21937" hidden="1"/>
    <cellStyle name="20% - Accent2 3 2 4 2" xfId="16106" hidden="1"/>
    <cellStyle name="20% - Accent2 3 2 4 2" xfId="7286" hidden="1"/>
    <cellStyle name="20% - Accent2 3 2 4 2" xfId="6246" hidden="1"/>
    <cellStyle name="20% - Accent2 3 2 4 2" xfId="4485" hidden="1"/>
    <cellStyle name="20% - Accent2 3 2 4 2" xfId="3732" hidden="1"/>
    <cellStyle name="20% - Accent2 3 2 4 2" xfId="2166" hidden="1"/>
    <cellStyle name="20% - Accent2 3 2 4 2" xfId="669" hidden="1"/>
    <cellStyle name="20% - Accent2 3 2 4 2" xfId="28366" hidden="1"/>
    <cellStyle name="20% - Accent2 3 2 4 2" xfId="28481" hidden="1"/>
    <cellStyle name="20% - Accent2 3 2 4 2" xfId="29204" hidden="1"/>
    <cellStyle name="20% - Accent2 3 2 4 2" xfId="29377" hidden="1"/>
    <cellStyle name="20% - Accent2 3 2 4 2" xfId="29770" hidden="1"/>
    <cellStyle name="20% - Accent2 3 2 4 2" xfId="29918" hidden="1"/>
    <cellStyle name="20% - Accent2 3 2 4 2" xfId="30256" hidden="1"/>
    <cellStyle name="20% - Accent2 3 2 4 2" xfId="30593" hidden="1"/>
    <cellStyle name="20% - Accent2 3 2 4 2" xfId="31158" hidden="1"/>
    <cellStyle name="20% - Accent2 3 2 4 2" xfId="31273" hidden="1"/>
    <cellStyle name="20% - Accent2 3 2 4 2" xfId="31996" hidden="1"/>
    <cellStyle name="20% - Accent2 3 2 4 2" xfId="32169" hidden="1"/>
    <cellStyle name="20% - Accent2 3 2 4 2" xfId="32562" hidden="1"/>
    <cellStyle name="20% - Accent2 3 2 4 2" xfId="32710" hidden="1"/>
    <cellStyle name="20% - Accent2 3 2 4 2" xfId="33048" hidden="1"/>
    <cellStyle name="20% - Accent2 3 2 4 2" xfId="33385" hidden="1"/>
    <cellStyle name="20% - Accent2 3 3 3 2" xfId="773" hidden="1"/>
    <cellStyle name="20% - Accent2 3 3 3 2" xfId="981" hidden="1"/>
    <cellStyle name="20% - Accent2 3 3 3 2" xfId="3545" hidden="1"/>
    <cellStyle name="20% - Accent2 3 3 3 2" xfId="4060" hidden="1"/>
    <cellStyle name="20% - Accent2 3 3 3 2" xfId="5379" hidden="1"/>
    <cellStyle name="20% - Accent2 3 3 3 2" xfId="6076" hidden="1"/>
    <cellStyle name="20% - Accent2 3 3 3 2" xfId="7093" hidden="1"/>
    <cellStyle name="20% - Accent2 3 3 3 2" xfId="8297" hidden="1"/>
    <cellStyle name="20% - Accent2 3 3 3 2" xfId="10154" hidden="1"/>
    <cellStyle name="20% - Accent2 3 3 3 2" xfId="10269" hidden="1"/>
    <cellStyle name="20% - Accent2 3 3 3 2" xfId="10992" hidden="1"/>
    <cellStyle name="20% - Accent2 3 3 3 2" xfId="11165" hidden="1"/>
    <cellStyle name="20% - Accent2 3 3 3 2" xfId="11558" hidden="1"/>
    <cellStyle name="20% - Accent2 3 3 3 2" xfId="11706" hidden="1"/>
    <cellStyle name="20% - Accent2 3 3 3 2" xfId="12044" hidden="1"/>
    <cellStyle name="20% - Accent2 3 3 3 2" xfId="12381" hidden="1"/>
    <cellStyle name="20% - Accent2 3 3 3 2" xfId="12946" hidden="1"/>
    <cellStyle name="20% - Accent2 3 3 3 2" xfId="13061" hidden="1"/>
    <cellStyle name="20% - Accent2 3 3 3 2" xfId="13784" hidden="1"/>
    <cellStyle name="20% - Accent2 3 3 3 2" xfId="13957" hidden="1"/>
    <cellStyle name="20% - Accent2 3 3 3 2" xfId="14350" hidden="1"/>
    <cellStyle name="20% - Accent2 3 3 3 2" xfId="14498" hidden="1"/>
    <cellStyle name="20% - Accent2 3 3 3 2" xfId="14836" hidden="1"/>
    <cellStyle name="20% - Accent2 3 3 3 2" xfId="15173" hidden="1"/>
    <cellStyle name="20% - Accent2 3 3 3 2" xfId="9174" hidden="1"/>
    <cellStyle name="20% - Accent2 3 3 3 2" xfId="8629" hidden="1"/>
    <cellStyle name="20% - Accent2 3 3 3 2" xfId="6001" hidden="1"/>
    <cellStyle name="20% - Accent2 3 3 3 2" xfId="5210" hidden="1"/>
    <cellStyle name="20% - Accent2 3 3 3 2" xfId="3927" hidden="1"/>
    <cellStyle name="20% - Accent2 3 3 3 2" xfId="3247" hidden="1"/>
    <cellStyle name="20% - Accent2 3 3 3 2" xfId="1810" hidden="1"/>
    <cellStyle name="20% - Accent2 3 3 3 2" xfId="431" hidden="1"/>
    <cellStyle name="20% - Accent2 3 3 3 2" xfId="16495" hidden="1"/>
    <cellStyle name="20% - Accent2 3 3 3 2" xfId="16610" hidden="1"/>
    <cellStyle name="20% - Accent2 3 3 3 2" xfId="17333" hidden="1"/>
    <cellStyle name="20% - Accent2 3 3 3 2" xfId="17506" hidden="1"/>
    <cellStyle name="20% - Accent2 3 3 3 2" xfId="17899" hidden="1"/>
    <cellStyle name="20% - Accent2 3 3 3 2" xfId="18047" hidden="1"/>
    <cellStyle name="20% - Accent2 3 3 3 2" xfId="18385" hidden="1"/>
    <cellStyle name="20% - Accent2 3 3 3 2" xfId="18722" hidden="1"/>
    <cellStyle name="20% - Accent2 3 3 3 2" xfId="19287" hidden="1"/>
    <cellStyle name="20% - Accent2 3 3 3 2" xfId="19402" hidden="1"/>
    <cellStyle name="20% - Accent2 3 3 3 2" xfId="20125" hidden="1"/>
    <cellStyle name="20% - Accent2 3 3 3 2" xfId="20298" hidden="1"/>
    <cellStyle name="20% - Accent2 3 3 3 2" xfId="20691" hidden="1"/>
    <cellStyle name="20% - Accent2 3 3 3 2" xfId="20839" hidden="1"/>
    <cellStyle name="20% - Accent2 3 3 3 2" xfId="21177" hidden="1"/>
    <cellStyle name="20% - Accent2 3 3 3 2" xfId="21514" hidden="1"/>
    <cellStyle name="20% - Accent2 3 3 3 2" xfId="15682" hidden="1"/>
    <cellStyle name="20% - Accent2 3 3 3 2" xfId="9726" hidden="1"/>
    <cellStyle name="20% - Accent2 3 3 3 2" xfId="6584" hidden="1"/>
    <cellStyle name="20% - Accent2 3 3 3 2" xfId="5738" hidden="1"/>
    <cellStyle name="20% - Accent2 3 3 3 2" xfId="4196" hidden="1"/>
    <cellStyle name="20% - Accent2 3 3 3 2" xfId="3477" hidden="1"/>
    <cellStyle name="20% - Accent2 3 3 3 2" xfId="1986" hidden="1"/>
    <cellStyle name="20% - Accent2 3 3 3 2" xfId="546" hidden="1"/>
    <cellStyle name="20% - Accent2 3 3 3 2" xfId="22646" hidden="1"/>
    <cellStyle name="20% - Accent2 3 3 3 2" xfId="22761" hidden="1"/>
    <cellStyle name="20% - Accent2 3 3 3 2" xfId="23484" hidden="1"/>
    <cellStyle name="20% - Accent2 3 3 3 2" xfId="23657" hidden="1"/>
    <cellStyle name="20% - Accent2 3 3 3 2" xfId="24050" hidden="1"/>
    <cellStyle name="20% - Accent2 3 3 3 2" xfId="24198" hidden="1"/>
    <cellStyle name="20% - Accent2 3 3 3 2" xfId="24536" hidden="1"/>
    <cellStyle name="20% - Accent2 3 3 3 2" xfId="24873" hidden="1"/>
    <cellStyle name="20% - Accent2 3 3 3 2" xfId="25438" hidden="1"/>
    <cellStyle name="20% - Accent2 3 3 3 2" xfId="25553" hidden="1"/>
    <cellStyle name="20% - Accent2 3 3 3 2" xfId="26276" hidden="1"/>
    <cellStyle name="20% - Accent2 3 3 3 2" xfId="26449" hidden="1"/>
    <cellStyle name="20% - Accent2 3 3 3 2" xfId="26842" hidden="1"/>
    <cellStyle name="20% - Accent2 3 3 3 2" xfId="26990" hidden="1"/>
    <cellStyle name="20% - Accent2 3 3 3 2" xfId="27328" hidden="1"/>
    <cellStyle name="20% - Accent2 3 3 3 2" xfId="27665" hidden="1"/>
    <cellStyle name="20% - Accent2 3 3 3 2" xfId="21938" hidden="1"/>
    <cellStyle name="20% - Accent2 3 3 3 2" xfId="16107" hidden="1"/>
    <cellStyle name="20% - Accent2 3 3 3 2" xfId="7287" hidden="1"/>
    <cellStyle name="20% - Accent2 3 3 3 2" xfId="6247" hidden="1"/>
    <cellStyle name="20% - Accent2 3 3 3 2" xfId="4487" hidden="1"/>
    <cellStyle name="20% - Accent2 3 3 3 2" xfId="3733" hidden="1"/>
    <cellStyle name="20% - Accent2 3 3 3 2" xfId="2167" hidden="1"/>
    <cellStyle name="20% - Accent2 3 3 3 2" xfId="670" hidden="1"/>
    <cellStyle name="20% - Accent2 3 3 3 2" xfId="28365" hidden="1"/>
    <cellStyle name="20% - Accent2 3 3 3 2" xfId="28480" hidden="1"/>
    <cellStyle name="20% - Accent2 3 3 3 2" xfId="29203" hidden="1"/>
    <cellStyle name="20% - Accent2 3 3 3 2" xfId="29376" hidden="1"/>
    <cellStyle name="20% - Accent2 3 3 3 2" xfId="29769" hidden="1"/>
    <cellStyle name="20% - Accent2 3 3 3 2" xfId="29917" hidden="1"/>
    <cellStyle name="20% - Accent2 3 3 3 2" xfId="30255" hidden="1"/>
    <cellStyle name="20% - Accent2 3 3 3 2" xfId="30592" hidden="1"/>
    <cellStyle name="20% - Accent2 3 3 3 2" xfId="31157" hidden="1"/>
    <cellStyle name="20% - Accent2 3 3 3 2" xfId="31272" hidden="1"/>
    <cellStyle name="20% - Accent2 3 3 3 2" xfId="31995" hidden="1"/>
    <cellStyle name="20% - Accent2 3 3 3 2" xfId="32168" hidden="1"/>
    <cellStyle name="20% - Accent2 3 3 3 2" xfId="32561" hidden="1"/>
    <cellStyle name="20% - Accent2 3 3 3 2" xfId="32709" hidden="1"/>
    <cellStyle name="20% - Accent2 3 3 3 2" xfId="33047" hidden="1"/>
    <cellStyle name="20% - Accent2 3 3 3 2" xfId="33384" hidden="1"/>
    <cellStyle name="20% - Accent2 4 2 3 2" xfId="822" hidden="1"/>
    <cellStyle name="20% - Accent2 4 2 3 2" xfId="1030" hidden="1"/>
    <cellStyle name="20% - Accent2 4 2 3 2" xfId="3594" hidden="1"/>
    <cellStyle name="20% - Accent2 4 2 3 2" xfId="4109" hidden="1"/>
    <cellStyle name="20% - Accent2 4 2 3 2" xfId="5428" hidden="1"/>
    <cellStyle name="20% - Accent2 4 2 3 2" xfId="6125" hidden="1"/>
    <cellStyle name="20% - Accent2 4 2 3 2" xfId="7142" hidden="1"/>
    <cellStyle name="20% - Accent2 4 2 3 2" xfId="8346" hidden="1"/>
    <cellStyle name="20% - Accent2 4 2 3 2" xfId="10203" hidden="1"/>
    <cellStyle name="20% - Accent2 4 2 3 2" xfId="10318" hidden="1"/>
    <cellStyle name="20% - Accent2 4 2 3 2" xfId="11041" hidden="1"/>
    <cellStyle name="20% - Accent2 4 2 3 2" xfId="11214" hidden="1"/>
    <cellStyle name="20% - Accent2 4 2 3 2" xfId="11607" hidden="1"/>
    <cellStyle name="20% - Accent2 4 2 3 2" xfId="11755" hidden="1"/>
    <cellStyle name="20% - Accent2 4 2 3 2" xfId="12093" hidden="1"/>
    <cellStyle name="20% - Accent2 4 2 3 2" xfId="12430" hidden="1"/>
    <cellStyle name="20% - Accent2 4 2 3 2" xfId="12995" hidden="1"/>
    <cellStyle name="20% - Accent2 4 2 3 2" xfId="13110" hidden="1"/>
    <cellStyle name="20% - Accent2 4 2 3 2" xfId="13833" hidden="1"/>
    <cellStyle name="20% - Accent2 4 2 3 2" xfId="14006" hidden="1"/>
    <cellStyle name="20% - Accent2 4 2 3 2" xfId="14399" hidden="1"/>
    <cellStyle name="20% - Accent2 4 2 3 2" xfId="14547" hidden="1"/>
    <cellStyle name="20% - Accent2 4 2 3 2" xfId="14885" hidden="1"/>
    <cellStyle name="20% - Accent2 4 2 3 2" xfId="15222" hidden="1"/>
    <cellStyle name="20% - Accent2 4 2 3 2" xfId="9124" hidden="1"/>
    <cellStyle name="20% - Accent2 4 2 3 2" xfId="8580" hidden="1"/>
    <cellStyle name="20% - Accent2 4 2 3 2" xfId="5952" hidden="1"/>
    <cellStyle name="20% - Accent2 4 2 3 2" xfId="5161" hidden="1"/>
    <cellStyle name="20% - Accent2 4 2 3 2" xfId="3876" hidden="1"/>
    <cellStyle name="20% - Accent2 4 2 3 2" xfId="3198" hidden="1"/>
    <cellStyle name="20% - Accent2 4 2 3 2" xfId="1755" hidden="1"/>
    <cellStyle name="20% - Accent2 4 2 3 2" xfId="352" hidden="1"/>
    <cellStyle name="20% - Accent2 4 2 3 2" xfId="16544" hidden="1"/>
    <cellStyle name="20% - Accent2 4 2 3 2" xfId="16659" hidden="1"/>
    <cellStyle name="20% - Accent2 4 2 3 2" xfId="17382" hidden="1"/>
    <cellStyle name="20% - Accent2 4 2 3 2" xfId="17555" hidden="1"/>
    <cellStyle name="20% - Accent2 4 2 3 2" xfId="17948" hidden="1"/>
    <cellStyle name="20% - Accent2 4 2 3 2" xfId="18096" hidden="1"/>
    <cellStyle name="20% - Accent2 4 2 3 2" xfId="18434" hidden="1"/>
    <cellStyle name="20% - Accent2 4 2 3 2" xfId="18771" hidden="1"/>
    <cellStyle name="20% - Accent2 4 2 3 2" xfId="19336" hidden="1"/>
    <cellStyle name="20% - Accent2 4 2 3 2" xfId="19451" hidden="1"/>
    <cellStyle name="20% - Accent2 4 2 3 2" xfId="20174" hidden="1"/>
    <cellStyle name="20% - Accent2 4 2 3 2" xfId="20347" hidden="1"/>
    <cellStyle name="20% - Accent2 4 2 3 2" xfId="20740" hidden="1"/>
    <cellStyle name="20% - Accent2 4 2 3 2" xfId="20888" hidden="1"/>
    <cellStyle name="20% - Accent2 4 2 3 2" xfId="21226" hidden="1"/>
    <cellStyle name="20% - Accent2 4 2 3 2" xfId="21563" hidden="1"/>
    <cellStyle name="20% - Accent2 4 2 3 2" xfId="15632" hidden="1"/>
    <cellStyle name="20% - Accent2 4 2 3 2" xfId="9677" hidden="1"/>
    <cellStyle name="20% - Accent2 4 2 3 2" xfId="6524" hidden="1"/>
    <cellStyle name="20% - Accent2 4 2 3 2" xfId="5675" hidden="1"/>
    <cellStyle name="20% - Accent2 4 2 3 2" xfId="4146" hidden="1"/>
    <cellStyle name="20% - Accent2 4 2 3 2" xfId="3425" hidden="1"/>
    <cellStyle name="20% - Accent2 4 2 3 2" xfId="1928" hidden="1"/>
    <cellStyle name="20% - Accent2 4 2 3 2" xfId="490" hidden="1"/>
    <cellStyle name="20% - Accent2 4 2 3 2" xfId="22695" hidden="1"/>
    <cellStyle name="20% - Accent2 4 2 3 2" xfId="22810" hidden="1"/>
    <cellStyle name="20% - Accent2 4 2 3 2" xfId="23533" hidden="1"/>
    <cellStyle name="20% - Accent2 4 2 3 2" xfId="23706" hidden="1"/>
    <cellStyle name="20% - Accent2 4 2 3 2" xfId="24099" hidden="1"/>
    <cellStyle name="20% - Accent2 4 2 3 2" xfId="24247" hidden="1"/>
    <cellStyle name="20% - Accent2 4 2 3 2" xfId="24585" hidden="1"/>
    <cellStyle name="20% - Accent2 4 2 3 2" xfId="24922" hidden="1"/>
    <cellStyle name="20% - Accent2 4 2 3 2" xfId="25487" hidden="1"/>
    <cellStyle name="20% - Accent2 4 2 3 2" xfId="25602" hidden="1"/>
    <cellStyle name="20% - Accent2 4 2 3 2" xfId="26325" hidden="1"/>
    <cellStyle name="20% - Accent2 4 2 3 2" xfId="26498" hidden="1"/>
    <cellStyle name="20% - Accent2 4 2 3 2" xfId="26891" hidden="1"/>
    <cellStyle name="20% - Accent2 4 2 3 2" xfId="27039" hidden="1"/>
    <cellStyle name="20% - Accent2 4 2 3 2" xfId="27377" hidden="1"/>
    <cellStyle name="20% - Accent2 4 2 3 2" xfId="27714" hidden="1"/>
    <cellStyle name="20% - Accent2 4 2 3 2" xfId="21888" hidden="1"/>
    <cellStyle name="20% - Accent2 4 2 3 2" xfId="16058" hidden="1"/>
    <cellStyle name="20% - Accent2 4 2 3 2" xfId="7228" hidden="1"/>
    <cellStyle name="20% - Accent2 4 2 3 2" xfId="6183" hidden="1"/>
    <cellStyle name="20% - Accent2 4 2 3 2" xfId="4375" hidden="1"/>
    <cellStyle name="20% - Accent2 4 2 3 2" xfId="3681" hidden="1"/>
    <cellStyle name="20% - Accent2 4 2 3 2" xfId="2114" hidden="1"/>
    <cellStyle name="20% - Accent2 4 2 3 2" xfId="603" hidden="1"/>
    <cellStyle name="20% - Accent2 4 2 3 2" xfId="28414" hidden="1"/>
    <cellStyle name="20% - Accent2 4 2 3 2" xfId="28529" hidden="1"/>
    <cellStyle name="20% - Accent2 4 2 3 2" xfId="29252" hidden="1"/>
    <cellStyle name="20% - Accent2 4 2 3 2" xfId="29425" hidden="1"/>
    <cellStyle name="20% - Accent2 4 2 3 2" xfId="29818" hidden="1"/>
    <cellStyle name="20% - Accent2 4 2 3 2" xfId="29966" hidden="1"/>
    <cellStyle name="20% - Accent2 4 2 3 2" xfId="30304" hidden="1"/>
    <cellStyle name="20% - Accent2 4 2 3 2" xfId="30641" hidden="1"/>
    <cellStyle name="20% - Accent2 4 2 3 2" xfId="31206" hidden="1"/>
    <cellStyle name="20% - Accent2 4 2 3 2" xfId="31321" hidden="1"/>
    <cellStyle name="20% - Accent2 4 2 3 2" xfId="32044" hidden="1"/>
    <cellStyle name="20% - Accent2 4 2 3 2" xfId="32217" hidden="1"/>
    <cellStyle name="20% - Accent2 4 2 3 2" xfId="32610" hidden="1"/>
    <cellStyle name="20% - Accent2 4 2 3 2" xfId="32758" hidden="1"/>
    <cellStyle name="20% - Accent2 4 2 3 2" xfId="33096" hidden="1"/>
    <cellStyle name="20% - Accent2 4 2 3 2" xfId="33433" hidden="1"/>
    <cellStyle name="20% - Accent2 4 2 4 2" xfId="776" hidden="1"/>
    <cellStyle name="20% - Accent2 4 2 4 2" xfId="984" hidden="1"/>
    <cellStyle name="20% - Accent2 4 2 4 2" xfId="3548" hidden="1"/>
    <cellStyle name="20% - Accent2 4 2 4 2" xfId="4063" hidden="1"/>
    <cellStyle name="20% - Accent2 4 2 4 2" xfId="5382" hidden="1"/>
    <cellStyle name="20% - Accent2 4 2 4 2" xfId="6079" hidden="1"/>
    <cellStyle name="20% - Accent2 4 2 4 2" xfId="7096" hidden="1"/>
    <cellStyle name="20% - Accent2 4 2 4 2" xfId="8300" hidden="1"/>
    <cellStyle name="20% - Accent2 4 2 4 2" xfId="10157" hidden="1"/>
    <cellStyle name="20% - Accent2 4 2 4 2" xfId="10272" hidden="1"/>
    <cellStyle name="20% - Accent2 4 2 4 2" xfId="10995" hidden="1"/>
    <cellStyle name="20% - Accent2 4 2 4 2" xfId="11168" hidden="1"/>
    <cellStyle name="20% - Accent2 4 2 4 2" xfId="11561" hidden="1"/>
    <cellStyle name="20% - Accent2 4 2 4 2" xfId="11709" hidden="1"/>
    <cellStyle name="20% - Accent2 4 2 4 2" xfId="12047" hidden="1"/>
    <cellStyle name="20% - Accent2 4 2 4 2" xfId="12384" hidden="1"/>
    <cellStyle name="20% - Accent2 4 2 4 2" xfId="12949" hidden="1"/>
    <cellStyle name="20% - Accent2 4 2 4 2" xfId="13064" hidden="1"/>
    <cellStyle name="20% - Accent2 4 2 4 2" xfId="13787" hidden="1"/>
    <cellStyle name="20% - Accent2 4 2 4 2" xfId="13960" hidden="1"/>
    <cellStyle name="20% - Accent2 4 2 4 2" xfId="14353" hidden="1"/>
    <cellStyle name="20% - Accent2 4 2 4 2" xfId="14501" hidden="1"/>
    <cellStyle name="20% - Accent2 4 2 4 2" xfId="14839" hidden="1"/>
    <cellStyle name="20% - Accent2 4 2 4 2" xfId="15176" hidden="1"/>
    <cellStyle name="20% - Accent2 4 2 4 2" xfId="9171" hidden="1"/>
    <cellStyle name="20% - Accent2 4 2 4 2" xfId="8626" hidden="1"/>
    <cellStyle name="20% - Accent2 4 2 4 2" xfId="5998" hidden="1"/>
    <cellStyle name="20% - Accent2 4 2 4 2" xfId="5207" hidden="1"/>
    <cellStyle name="20% - Accent2 4 2 4 2" xfId="3924" hidden="1"/>
    <cellStyle name="20% - Accent2 4 2 4 2" xfId="3244" hidden="1"/>
    <cellStyle name="20% - Accent2 4 2 4 2" xfId="1807" hidden="1"/>
    <cellStyle name="20% - Accent2 4 2 4 2" xfId="426" hidden="1"/>
    <cellStyle name="20% - Accent2 4 2 4 2" xfId="16498" hidden="1"/>
    <cellStyle name="20% - Accent2 4 2 4 2" xfId="16613" hidden="1"/>
    <cellStyle name="20% - Accent2 4 2 4 2" xfId="17336" hidden="1"/>
    <cellStyle name="20% - Accent2 4 2 4 2" xfId="17509" hidden="1"/>
    <cellStyle name="20% - Accent2 4 2 4 2" xfId="17902" hidden="1"/>
    <cellStyle name="20% - Accent2 4 2 4 2" xfId="18050" hidden="1"/>
    <cellStyle name="20% - Accent2 4 2 4 2" xfId="18388" hidden="1"/>
    <cellStyle name="20% - Accent2 4 2 4 2" xfId="18725" hidden="1"/>
    <cellStyle name="20% - Accent2 4 2 4 2" xfId="19290" hidden="1"/>
    <cellStyle name="20% - Accent2 4 2 4 2" xfId="19405" hidden="1"/>
    <cellStyle name="20% - Accent2 4 2 4 2" xfId="20128" hidden="1"/>
    <cellStyle name="20% - Accent2 4 2 4 2" xfId="20301" hidden="1"/>
    <cellStyle name="20% - Accent2 4 2 4 2" xfId="20694" hidden="1"/>
    <cellStyle name="20% - Accent2 4 2 4 2" xfId="20842" hidden="1"/>
    <cellStyle name="20% - Accent2 4 2 4 2" xfId="21180" hidden="1"/>
    <cellStyle name="20% - Accent2 4 2 4 2" xfId="21517" hidden="1"/>
    <cellStyle name="20% - Accent2 4 2 4 2" xfId="15679" hidden="1"/>
    <cellStyle name="20% - Accent2 4 2 4 2" xfId="9723" hidden="1"/>
    <cellStyle name="20% - Accent2 4 2 4 2" xfId="6580" hidden="1"/>
    <cellStyle name="20% - Accent2 4 2 4 2" xfId="5735" hidden="1"/>
    <cellStyle name="20% - Accent2 4 2 4 2" xfId="4193" hidden="1"/>
    <cellStyle name="20% - Accent2 4 2 4 2" xfId="3474" hidden="1"/>
    <cellStyle name="20% - Accent2 4 2 4 2" xfId="1983" hidden="1"/>
    <cellStyle name="20% - Accent2 4 2 4 2" xfId="542" hidden="1"/>
    <cellStyle name="20% - Accent2 4 2 4 2" xfId="22649" hidden="1"/>
    <cellStyle name="20% - Accent2 4 2 4 2" xfId="22764" hidden="1"/>
    <cellStyle name="20% - Accent2 4 2 4 2" xfId="23487" hidden="1"/>
    <cellStyle name="20% - Accent2 4 2 4 2" xfId="23660" hidden="1"/>
    <cellStyle name="20% - Accent2 4 2 4 2" xfId="24053" hidden="1"/>
    <cellStyle name="20% - Accent2 4 2 4 2" xfId="24201" hidden="1"/>
    <cellStyle name="20% - Accent2 4 2 4 2" xfId="24539" hidden="1"/>
    <cellStyle name="20% - Accent2 4 2 4 2" xfId="24876" hidden="1"/>
    <cellStyle name="20% - Accent2 4 2 4 2" xfId="25441" hidden="1"/>
    <cellStyle name="20% - Accent2 4 2 4 2" xfId="25556" hidden="1"/>
    <cellStyle name="20% - Accent2 4 2 4 2" xfId="26279" hidden="1"/>
    <cellStyle name="20% - Accent2 4 2 4 2" xfId="26452" hidden="1"/>
    <cellStyle name="20% - Accent2 4 2 4 2" xfId="26845" hidden="1"/>
    <cellStyle name="20% - Accent2 4 2 4 2" xfId="26993" hidden="1"/>
    <cellStyle name="20% - Accent2 4 2 4 2" xfId="27331" hidden="1"/>
    <cellStyle name="20% - Accent2 4 2 4 2" xfId="27668" hidden="1"/>
    <cellStyle name="20% - Accent2 4 2 4 2" xfId="21935" hidden="1"/>
    <cellStyle name="20% - Accent2 4 2 4 2" xfId="16104" hidden="1"/>
    <cellStyle name="20% - Accent2 4 2 4 2" xfId="7284" hidden="1"/>
    <cellStyle name="20% - Accent2 4 2 4 2" xfId="6244" hidden="1"/>
    <cellStyle name="20% - Accent2 4 2 4 2" xfId="4483" hidden="1"/>
    <cellStyle name="20% - Accent2 4 2 4 2" xfId="3730" hidden="1"/>
    <cellStyle name="20% - Accent2 4 2 4 2" xfId="2164" hidden="1"/>
    <cellStyle name="20% - Accent2 4 2 4 2" xfId="667" hidden="1"/>
    <cellStyle name="20% - Accent2 4 2 4 2" xfId="28368" hidden="1"/>
    <cellStyle name="20% - Accent2 4 2 4 2" xfId="28483" hidden="1"/>
    <cellStyle name="20% - Accent2 4 2 4 2" xfId="29206" hidden="1"/>
    <cellStyle name="20% - Accent2 4 2 4 2" xfId="29379" hidden="1"/>
    <cellStyle name="20% - Accent2 4 2 4 2" xfId="29772" hidden="1"/>
    <cellStyle name="20% - Accent2 4 2 4 2" xfId="29920" hidden="1"/>
    <cellStyle name="20% - Accent2 4 2 4 2" xfId="30258" hidden="1"/>
    <cellStyle name="20% - Accent2 4 2 4 2" xfId="30595" hidden="1"/>
    <cellStyle name="20% - Accent2 4 2 4 2" xfId="31160" hidden="1"/>
    <cellStyle name="20% - Accent2 4 2 4 2" xfId="31275" hidden="1"/>
    <cellStyle name="20% - Accent2 4 2 4 2" xfId="31998" hidden="1"/>
    <cellStyle name="20% - Accent2 4 2 4 2" xfId="32171" hidden="1"/>
    <cellStyle name="20% - Accent2 4 2 4 2" xfId="32564" hidden="1"/>
    <cellStyle name="20% - Accent2 4 2 4 2" xfId="32712" hidden="1"/>
    <cellStyle name="20% - Accent2 4 2 4 2" xfId="33050" hidden="1"/>
    <cellStyle name="20% - Accent2 4 2 4 2" xfId="33387" hidden="1"/>
    <cellStyle name="20% - Accent2 4 3 3 2" xfId="775" hidden="1"/>
    <cellStyle name="20% - Accent2 4 3 3 2" xfId="983" hidden="1"/>
    <cellStyle name="20% - Accent2 4 3 3 2" xfId="3547" hidden="1"/>
    <cellStyle name="20% - Accent2 4 3 3 2" xfId="4062" hidden="1"/>
    <cellStyle name="20% - Accent2 4 3 3 2" xfId="5381" hidden="1"/>
    <cellStyle name="20% - Accent2 4 3 3 2" xfId="6078" hidden="1"/>
    <cellStyle name="20% - Accent2 4 3 3 2" xfId="7095" hidden="1"/>
    <cellStyle name="20% - Accent2 4 3 3 2" xfId="8299" hidden="1"/>
    <cellStyle name="20% - Accent2 4 3 3 2" xfId="10156" hidden="1"/>
    <cellStyle name="20% - Accent2 4 3 3 2" xfId="10271" hidden="1"/>
    <cellStyle name="20% - Accent2 4 3 3 2" xfId="10994" hidden="1"/>
    <cellStyle name="20% - Accent2 4 3 3 2" xfId="11167" hidden="1"/>
    <cellStyle name="20% - Accent2 4 3 3 2" xfId="11560" hidden="1"/>
    <cellStyle name="20% - Accent2 4 3 3 2" xfId="11708" hidden="1"/>
    <cellStyle name="20% - Accent2 4 3 3 2" xfId="12046" hidden="1"/>
    <cellStyle name="20% - Accent2 4 3 3 2" xfId="12383" hidden="1"/>
    <cellStyle name="20% - Accent2 4 3 3 2" xfId="12948" hidden="1"/>
    <cellStyle name="20% - Accent2 4 3 3 2" xfId="13063" hidden="1"/>
    <cellStyle name="20% - Accent2 4 3 3 2" xfId="13786" hidden="1"/>
    <cellStyle name="20% - Accent2 4 3 3 2" xfId="13959" hidden="1"/>
    <cellStyle name="20% - Accent2 4 3 3 2" xfId="14352" hidden="1"/>
    <cellStyle name="20% - Accent2 4 3 3 2" xfId="14500" hidden="1"/>
    <cellStyle name="20% - Accent2 4 3 3 2" xfId="14838" hidden="1"/>
    <cellStyle name="20% - Accent2 4 3 3 2" xfId="15175" hidden="1"/>
    <cellStyle name="20% - Accent2 4 3 3 2" xfId="9172" hidden="1"/>
    <cellStyle name="20% - Accent2 4 3 3 2" xfId="8627" hidden="1"/>
    <cellStyle name="20% - Accent2 4 3 3 2" xfId="5999" hidden="1"/>
    <cellStyle name="20% - Accent2 4 3 3 2" xfId="5208" hidden="1"/>
    <cellStyle name="20% - Accent2 4 3 3 2" xfId="3925" hidden="1"/>
    <cellStyle name="20% - Accent2 4 3 3 2" xfId="3245" hidden="1"/>
    <cellStyle name="20% - Accent2 4 3 3 2" xfId="1808" hidden="1"/>
    <cellStyle name="20% - Accent2 4 3 3 2" xfId="427" hidden="1"/>
    <cellStyle name="20% - Accent2 4 3 3 2" xfId="16497" hidden="1"/>
    <cellStyle name="20% - Accent2 4 3 3 2" xfId="16612" hidden="1"/>
    <cellStyle name="20% - Accent2 4 3 3 2" xfId="17335" hidden="1"/>
    <cellStyle name="20% - Accent2 4 3 3 2" xfId="17508" hidden="1"/>
    <cellStyle name="20% - Accent2 4 3 3 2" xfId="17901" hidden="1"/>
    <cellStyle name="20% - Accent2 4 3 3 2" xfId="18049" hidden="1"/>
    <cellStyle name="20% - Accent2 4 3 3 2" xfId="18387" hidden="1"/>
    <cellStyle name="20% - Accent2 4 3 3 2" xfId="18724" hidden="1"/>
    <cellStyle name="20% - Accent2 4 3 3 2" xfId="19289" hidden="1"/>
    <cellStyle name="20% - Accent2 4 3 3 2" xfId="19404" hidden="1"/>
    <cellStyle name="20% - Accent2 4 3 3 2" xfId="20127" hidden="1"/>
    <cellStyle name="20% - Accent2 4 3 3 2" xfId="20300" hidden="1"/>
    <cellStyle name="20% - Accent2 4 3 3 2" xfId="20693" hidden="1"/>
    <cellStyle name="20% - Accent2 4 3 3 2" xfId="20841" hidden="1"/>
    <cellStyle name="20% - Accent2 4 3 3 2" xfId="21179" hidden="1"/>
    <cellStyle name="20% - Accent2 4 3 3 2" xfId="21516" hidden="1"/>
    <cellStyle name="20% - Accent2 4 3 3 2" xfId="15680" hidden="1"/>
    <cellStyle name="20% - Accent2 4 3 3 2" xfId="9724" hidden="1"/>
    <cellStyle name="20% - Accent2 4 3 3 2" xfId="6581" hidden="1"/>
    <cellStyle name="20% - Accent2 4 3 3 2" xfId="5736" hidden="1"/>
    <cellStyle name="20% - Accent2 4 3 3 2" xfId="4194" hidden="1"/>
    <cellStyle name="20% - Accent2 4 3 3 2" xfId="3475" hidden="1"/>
    <cellStyle name="20% - Accent2 4 3 3 2" xfId="1984" hidden="1"/>
    <cellStyle name="20% - Accent2 4 3 3 2" xfId="543" hidden="1"/>
    <cellStyle name="20% - Accent2 4 3 3 2" xfId="22648" hidden="1"/>
    <cellStyle name="20% - Accent2 4 3 3 2" xfId="22763" hidden="1"/>
    <cellStyle name="20% - Accent2 4 3 3 2" xfId="23486" hidden="1"/>
    <cellStyle name="20% - Accent2 4 3 3 2" xfId="23659" hidden="1"/>
    <cellStyle name="20% - Accent2 4 3 3 2" xfId="24052" hidden="1"/>
    <cellStyle name="20% - Accent2 4 3 3 2" xfId="24200" hidden="1"/>
    <cellStyle name="20% - Accent2 4 3 3 2" xfId="24538" hidden="1"/>
    <cellStyle name="20% - Accent2 4 3 3 2" xfId="24875" hidden="1"/>
    <cellStyle name="20% - Accent2 4 3 3 2" xfId="25440" hidden="1"/>
    <cellStyle name="20% - Accent2 4 3 3 2" xfId="25555" hidden="1"/>
    <cellStyle name="20% - Accent2 4 3 3 2" xfId="26278" hidden="1"/>
    <cellStyle name="20% - Accent2 4 3 3 2" xfId="26451" hidden="1"/>
    <cellStyle name="20% - Accent2 4 3 3 2" xfId="26844" hidden="1"/>
    <cellStyle name="20% - Accent2 4 3 3 2" xfId="26992" hidden="1"/>
    <cellStyle name="20% - Accent2 4 3 3 2" xfId="27330" hidden="1"/>
    <cellStyle name="20% - Accent2 4 3 3 2" xfId="27667" hidden="1"/>
    <cellStyle name="20% - Accent2 4 3 3 2" xfId="21936" hidden="1"/>
    <cellStyle name="20% - Accent2 4 3 3 2" xfId="16105" hidden="1"/>
    <cellStyle name="20% - Accent2 4 3 3 2" xfId="7285" hidden="1"/>
    <cellStyle name="20% - Accent2 4 3 3 2" xfId="6245" hidden="1"/>
    <cellStyle name="20% - Accent2 4 3 3 2" xfId="4484" hidden="1"/>
    <cellStyle name="20% - Accent2 4 3 3 2" xfId="3731" hidden="1"/>
    <cellStyle name="20% - Accent2 4 3 3 2" xfId="2165" hidden="1"/>
    <cellStyle name="20% - Accent2 4 3 3 2" xfId="668" hidden="1"/>
    <cellStyle name="20% - Accent2 4 3 3 2" xfId="28367" hidden="1"/>
    <cellStyle name="20% - Accent2 4 3 3 2" xfId="28482" hidden="1"/>
    <cellStyle name="20% - Accent2 4 3 3 2" xfId="29205" hidden="1"/>
    <cellStyle name="20% - Accent2 4 3 3 2" xfId="29378" hidden="1"/>
    <cellStyle name="20% - Accent2 4 3 3 2" xfId="29771" hidden="1"/>
    <cellStyle name="20% - Accent2 4 3 3 2" xfId="29919" hidden="1"/>
    <cellStyle name="20% - Accent2 4 3 3 2" xfId="30257" hidden="1"/>
    <cellStyle name="20% - Accent2 4 3 3 2" xfId="30594" hidden="1"/>
    <cellStyle name="20% - Accent2 4 3 3 2" xfId="31159" hidden="1"/>
    <cellStyle name="20% - Accent2 4 3 3 2" xfId="31274" hidden="1"/>
    <cellStyle name="20% - Accent2 4 3 3 2" xfId="31997" hidden="1"/>
    <cellStyle name="20% - Accent2 4 3 3 2" xfId="32170" hidden="1"/>
    <cellStyle name="20% - Accent2 4 3 3 2" xfId="32563" hidden="1"/>
    <cellStyle name="20% - Accent2 4 3 3 2" xfId="32711" hidden="1"/>
    <cellStyle name="20% - Accent2 4 3 3 2" xfId="33049" hidden="1"/>
    <cellStyle name="20% - Accent2 4 3 3 2" xfId="33386" hidden="1"/>
    <cellStyle name="20% - Accent2 5 2" xfId="759" hidden="1"/>
    <cellStyle name="20% - Accent2 5 2" xfId="967" hidden="1"/>
    <cellStyle name="20% - Accent2 5 2" xfId="3531" hidden="1"/>
    <cellStyle name="20% - Accent2 5 2" xfId="4046" hidden="1"/>
    <cellStyle name="20% - Accent2 5 2" xfId="5365" hidden="1"/>
    <cellStyle name="20% - Accent2 5 2" xfId="6062" hidden="1"/>
    <cellStyle name="20% - Accent2 5 2" xfId="7079" hidden="1"/>
    <cellStyle name="20% - Accent2 5 2" xfId="8283" hidden="1"/>
    <cellStyle name="20% - Accent2 5 2" xfId="10140" hidden="1"/>
    <cellStyle name="20% - Accent2 5 2" xfId="10255" hidden="1"/>
    <cellStyle name="20% - Accent2 5 2" xfId="10978" hidden="1"/>
    <cellStyle name="20% - Accent2 5 2" xfId="11151" hidden="1"/>
    <cellStyle name="20% - Accent2 5 2" xfId="11544" hidden="1"/>
    <cellStyle name="20% - Accent2 5 2" xfId="11692" hidden="1"/>
    <cellStyle name="20% - Accent2 5 2" xfId="12030" hidden="1"/>
    <cellStyle name="20% - Accent2 5 2" xfId="12367" hidden="1"/>
    <cellStyle name="20% - Accent2 5 2" xfId="12932" hidden="1"/>
    <cellStyle name="20% - Accent2 5 2" xfId="13047" hidden="1"/>
    <cellStyle name="20% - Accent2 5 2" xfId="13770" hidden="1"/>
    <cellStyle name="20% - Accent2 5 2" xfId="13943" hidden="1"/>
    <cellStyle name="20% - Accent2 5 2" xfId="14336" hidden="1"/>
    <cellStyle name="20% - Accent2 5 2" xfId="14484" hidden="1"/>
    <cellStyle name="20% - Accent2 5 2" xfId="14822" hidden="1"/>
    <cellStyle name="20% - Accent2 5 2" xfId="15159" hidden="1"/>
    <cellStyle name="20% - Accent2 5 2" xfId="9188" hidden="1"/>
    <cellStyle name="20% - Accent2 5 2" xfId="8643" hidden="1"/>
    <cellStyle name="20% - Accent2 5 2" xfId="6016" hidden="1"/>
    <cellStyle name="20% - Accent2 5 2" xfId="5224" hidden="1"/>
    <cellStyle name="20% - Accent2 5 2" xfId="3943" hidden="1"/>
    <cellStyle name="20% - Accent2 5 2" xfId="3261" hidden="1"/>
    <cellStyle name="20% - Accent2 5 2" xfId="1829" hidden="1"/>
    <cellStyle name="20% - Accent2 5 2" xfId="450" hidden="1"/>
    <cellStyle name="20% - Accent2 5 2" xfId="16481" hidden="1"/>
    <cellStyle name="20% - Accent2 5 2" xfId="16596" hidden="1"/>
    <cellStyle name="20% - Accent2 5 2" xfId="17319" hidden="1"/>
    <cellStyle name="20% - Accent2 5 2" xfId="17492" hidden="1"/>
    <cellStyle name="20% - Accent2 5 2" xfId="17885" hidden="1"/>
    <cellStyle name="20% - Accent2 5 2" xfId="18033" hidden="1"/>
    <cellStyle name="20% - Accent2 5 2" xfId="18371" hidden="1"/>
    <cellStyle name="20% - Accent2 5 2" xfId="18708" hidden="1"/>
    <cellStyle name="20% - Accent2 5 2" xfId="19273" hidden="1"/>
    <cellStyle name="20% - Accent2 5 2" xfId="19388" hidden="1"/>
    <cellStyle name="20% - Accent2 5 2" xfId="20111" hidden="1"/>
    <cellStyle name="20% - Accent2 5 2" xfId="20284" hidden="1"/>
    <cellStyle name="20% - Accent2 5 2" xfId="20677" hidden="1"/>
    <cellStyle name="20% - Accent2 5 2" xfId="20825" hidden="1"/>
    <cellStyle name="20% - Accent2 5 2" xfId="21163" hidden="1"/>
    <cellStyle name="20% - Accent2 5 2" xfId="21500" hidden="1"/>
    <cellStyle name="20% - Accent2 5 2" xfId="15696" hidden="1"/>
    <cellStyle name="20% - Accent2 5 2" xfId="9740" hidden="1"/>
    <cellStyle name="20% - Accent2 5 2" xfId="6599" hidden="1"/>
    <cellStyle name="20% - Accent2 5 2" xfId="5754" hidden="1"/>
    <cellStyle name="20% - Accent2 5 2" xfId="4210" hidden="1"/>
    <cellStyle name="20% - Accent2 5 2" xfId="3491" hidden="1"/>
    <cellStyle name="20% - Accent2 5 2" xfId="2002" hidden="1"/>
    <cellStyle name="20% - Accent2 5 2" xfId="562" hidden="1"/>
    <cellStyle name="20% - Accent2 5 2" xfId="22632" hidden="1"/>
    <cellStyle name="20% - Accent2 5 2" xfId="22747" hidden="1"/>
    <cellStyle name="20% - Accent2 5 2" xfId="23470" hidden="1"/>
    <cellStyle name="20% - Accent2 5 2" xfId="23643" hidden="1"/>
    <cellStyle name="20% - Accent2 5 2" xfId="24036" hidden="1"/>
    <cellStyle name="20% - Accent2 5 2" xfId="24184" hidden="1"/>
    <cellStyle name="20% - Accent2 5 2" xfId="24522" hidden="1"/>
    <cellStyle name="20% - Accent2 5 2" xfId="24859" hidden="1"/>
    <cellStyle name="20% - Accent2 5 2" xfId="25424" hidden="1"/>
    <cellStyle name="20% - Accent2 5 2" xfId="25539" hidden="1"/>
    <cellStyle name="20% - Accent2 5 2" xfId="26262" hidden="1"/>
    <cellStyle name="20% - Accent2 5 2" xfId="26435" hidden="1"/>
    <cellStyle name="20% - Accent2 5 2" xfId="26828" hidden="1"/>
    <cellStyle name="20% - Accent2 5 2" xfId="26976" hidden="1"/>
    <cellStyle name="20% - Accent2 5 2" xfId="27314" hidden="1"/>
    <cellStyle name="20% - Accent2 5 2" xfId="27651" hidden="1"/>
    <cellStyle name="20% - Accent2 5 2" xfId="21952" hidden="1"/>
    <cellStyle name="20% - Accent2 5 2" xfId="16121" hidden="1"/>
    <cellStyle name="20% - Accent2 5 2" xfId="7302" hidden="1"/>
    <cellStyle name="20% - Accent2 5 2" xfId="6263" hidden="1"/>
    <cellStyle name="20% - Accent2 5 2" xfId="4515" hidden="1"/>
    <cellStyle name="20% - Accent2 5 2" xfId="3747" hidden="1"/>
    <cellStyle name="20% - Accent2 5 2" xfId="2182" hidden="1"/>
    <cellStyle name="20% - Accent2 5 2" xfId="695" hidden="1"/>
    <cellStyle name="20% - Accent2 5 2" xfId="28351" hidden="1"/>
    <cellStyle name="20% - Accent2 5 2" xfId="28466" hidden="1"/>
    <cellStyle name="20% - Accent2 5 2" xfId="29189" hidden="1"/>
    <cellStyle name="20% - Accent2 5 2" xfId="29362" hidden="1"/>
    <cellStyle name="20% - Accent2 5 2" xfId="29755" hidden="1"/>
    <cellStyle name="20% - Accent2 5 2" xfId="29903" hidden="1"/>
    <cellStyle name="20% - Accent2 5 2" xfId="30241" hidden="1"/>
    <cellStyle name="20% - Accent2 5 2" xfId="30578" hidden="1"/>
    <cellStyle name="20% - Accent2 5 2" xfId="31143" hidden="1"/>
    <cellStyle name="20% - Accent2 5 2" xfId="31258" hidden="1"/>
    <cellStyle name="20% - Accent2 5 2" xfId="31981" hidden="1"/>
    <cellStyle name="20% - Accent2 5 2" xfId="32154" hidden="1"/>
    <cellStyle name="20% - Accent2 5 2" xfId="32547" hidden="1"/>
    <cellStyle name="20% - Accent2 5 2" xfId="32695" hidden="1"/>
    <cellStyle name="20% - Accent2 5 2" xfId="33033" hidden="1"/>
    <cellStyle name="20% - Accent2 5 2" xfId="33370" hidden="1"/>
    <cellStyle name="20% - Accent2 7" xfId="126" hidden="1"/>
    <cellStyle name="20% - Accent2 7" xfId="120" hidden="1"/>
    <cellStyle name="20% - Accent2 7" xfId="285" hidden="1"/>
    <cellStyle name="20% - Accent2 7" xfId="437" hidden="1"/>
    <cellStyle name="20% - Accent2 7" xfId="2289" hidden="1"/>
    <cellStyle name="20% - Accent2 7" xfId="2458" hidden="1"/>
    <cellStyle name="20% - Accent2 7" xfId="2609" hidden="1"/>
    <cellStyle name="20% - Accent2 7" xfId="2079" hidden="1"/>
    <cellStyle name="20% - Accent2 7" xfId="2067" hidden="1"/>
    <cellStyle name="20% - Accent2 7" xfId="2028" hidden="1"/>
    <cellStyle name="20% - Accent2 7" xfId="4262" hidden="1"/>
    <cellStyle name="20% - Accent2 7" xfId="4438" hidden="1"/>
    <cellStyle name="20% - Accent2 7" xfId="4627" hidden="1"/>
    <cellStyle name="20% - Accent2 7" xfId="113" hidden="1"/>
    <cellStyle name="20% - Accent2 7" xfId="1719" hidden="1"/>
    <cellStyle name="20% - Accent2 7" xfId="2373" hidden="1"/>
    <cellStyle name="20% - Accent2 7" xfId="6299" hidden="1"/>
    <cellStyle name="20% - Accent2 7" xfId="6397" hidden="1"/>
    <cellStyle name="20% - Accent2 7" xfId="6507" hidden="1"/>
    <cellStyle name="20% - Accent2 7" xfId="7351" hidden="1"/>
    <cellStyle name="20% - Accent2 7" xfId="7580" hidden="1"/>
    <cellStyle name="20% - Accent2 7" xfId="7724" hidden="1"/>
    <cellStyle name="20% - Accent2 7" xfId="8501" hidden="1"/>
    <cellStyle name="20% - Accent2 7" xfId="8820" hidden="1"/>
    <cellStyle name="20% - Accent2 7" xfId="9817" hidden="1"/>
    <cellStyle name="20% - Accent2 7" xfId="9811" hidden="1"/>
    <cellStyle name="20% - Accent2 7" xfId="9970" hidden="1"/>
    <cellStyle name="20% - Accent2 7" xfId="10046" hidden="1"/>
    <cellStyle name="20% - Accent2 7" xfId="10625" hidden="1"/>
    <cellStyle name="20% - Accent2 7" xfId="10709" hidden="1"/>
    <cellStyle name="20% - Accent2 7" xfId="10785" hidden="1"/>
    <cellStyle name="20% - Accent2 7" xfId="10540" hidden="1"/>
    <cellStyle name="20% - Accent2 7" xfId="10529" hidden="1"/>
    <cellStyle name="20% - Accent2 7" xfId="10496" hidden="1"/>
    <cellStyle name="20% - Accent2 7" xfId="11240" hidden="1"/>
    <cellStyle name="20% - Accent2 7" xfId="11304" hidden="1"/>
    <cellStyle name="20% - Accent2 7" xfId="11380" hidden="1"/>
    <cellStyle name="20% - Accent2 7" xfId="9810" hidden="1"/>
    <cellStyle name="20% - Accent2 7" xfId="10396" hidden="1"/>
    <cellStyle name="20% - Accent2 7" xfId="10645" hidden="1"/>
    <cellStyle name="20% - Accent2 7" xfId="11776" hidden="1"/>
    <cellStyle name="20% - Accent2 7" xfId="11836" hidden="1"/>
    <cellStyle name="20% - Accent2 7" xfId="11912" hidden="1"/>
    <cellStyle name="20% - Accent2 7" xfId="12114" hidden="1"/>
    <cellStyle name="20% - Accent2 7" xfId="12173" hidden="1"/>
    <cellStyle name="20% - Accent2 7" xfId="12249" hidden="1"/>
    <cellStyle name="20% - Accent2 7" xfId="12451" hidden="1"/>
    <cellStyle name="20% - Accent2 7" xfId="12510" hidden="1"/>
    <cellStyle name="20% - Accent2 7" xfId="12609" hidden="1"/>
    <cellStyle name="20% - Accent2 7" xfId="12603" hidden="1"/>
    <cellStyle name="20% - Accent2 7" xfId="12762" hidden="1"/>
    <cellStyle name="20% - Accent2 7" xfId="12838" hidden="1"/>
    <cellStyle name="20% - Accent2 7" xfId="13417" hidden="1"/>
    <cellStyle name="20% - Accent2 7" xfId="13501" hidden="1"/>
    <cellStyle name="20% - Accent2 7" xfId="13577" hidden="1"/>
    <cellStyle name="20% - Accent2 7" xfId="13332" hidden="1"/>
    <cellStyle name="20% - Accent2 7" xfId="13321" hidden="1"/>
    <cellStyle name="20% - Accent2 7" xfId="13288" hidden="1"/>
    <cellStyle name="20% - Accent2 7" xfId="14032" hidden="1"/>
    <cellStyle name="20% - Accent2 7" xfId="14096" hidden="1"/>
    <cellStyle name="20% - Accent2 7" xfId="14172" hidden="1"/>
    <cellStyle name="20% - Accent2 7" xfId="12602" hidden="1"/>
    <cellStyle name="20% - Accent2 7" xfId="13188" hidden="1"/>
    <cellStyle name="20% - Accent2 7" xfId="13437" hidden="1"/>
    <cellStyle name="20% - Accent2 7" xfId="14568" hidden="1"/>
    <cellStyle name="20% - Accent2 7" xfId="14628" hidden="1"/>
    <cellStyle name="20% - Accent2 7" xfId="14704" hidden="1"/>
    <cellStyle name="20% - Accent2 7" xfId="14906" hidden="1"/>
    <cellStyle name="20% - Accent2 7" xfId="14965" hidden="1"/>
    <cellStyle name="20% - Accent2 7" xfId="15041" hidden="1"/>
    <cellStyle name="20% - Accent2 7" xfId="15243" hidden="1"/>
    <cellStyle name="20% - Accent2 7" xfId="15302" hidden="1"/>
    <cellStyle name="20% - Accent2 7" xfId="9644" hidden="1"/>
    <cellStyle name="20% - Accent2 7" xfId="9653" hidden="1"/>
    <cellStyle name="20% - Accent2 7" xfId="9440" hidden="1"/>
    <cellStyle name="20% - Accent2 7" xfId="9325" hidden="1"/>
    <cellStyle name="20% - Accent2 7" xfId="7178" hidden="1"/>
    <cellStyle name="20% - Accent2 7" xfId="6958" hidden="1"/>
    <cellStyle name="20% - Accent2 7" xfId="6871" hidden="1"/>
    <cellStyle name="20% - Accent2 7" xfId="7417" hidden="1"/>
    <cellStyle name="20% - Accent2 7" xfId="7434" hidden="1"/>
    <cellStyle name="20% - Accent2 7" xfId="7582" hidden="1"/>
    <cellStyle name="20% - Accent2 7" xfId="5014" hidden="1"/>
    <cellStyle name="20% - Accent2 7" xfId="4808" hidden="1"/>
    <cellStyle name="20% - Accent2 7" xfId="4640" hidden="1"/>
    <cellStyle name="20% - Accent2 7" xfId="9767" hidden="1"/>
    <cellStyle name="20% - Accent2 7" xfId="8006" hidden="1"/>
    <cellStyle name="20% - Accent2 7" xfId="7032" hidden="1"/>
    <cellStyle name="20% - Accent2 7" xfId="2982" hidden="1"/>
    <cellStyle name="20% - Accent2 7" xfId="2665" hidden="1"/>
    <cellStyle name="20% - Accent2 7" xfId="2474" hidden="1"/>
    <cellStyle name="20% - Accent2 7" xfId="1619" hidden="1"/>
    <cellStyle name="20% - Accent2 7" xfId="1327" hidden="1"/>
    <cellStyle name="20% - Accent2 7" xfId="1153" hidden="1"/>
    <cellStyle name="20% - Accent2 7" xfId="192" hidden="1"/>
    <cellStyle name="20% - Accent2 7" xfId="15449" hidden="1"/>
    <cellStyle name="20% - Accent2 7" xfId="16158" hidden="1"/>
    <cellStyle name="20% - Accent2 7" xfId="16152" hidden="1"/>
    <cellStyle name="20% - Accent2 7" xfId="16311" hidden="1"/>
    <cellStyle name="20% - Accent2 7" xfId="16387" hidden="1"/>
    <cellStyle name="20% - Accent2 7" xfId="16966" hidden="1"/>
    <cellStyle name="20% - Accent2 7" xfId="17050" hidden="1"/>
    <cellStyle name="20% - Accent2 7" xfId="17126" hidden="1"/>
    <cellStyle name="20% - Accent2 7" xfId="16881" hidden="1"/>
    <cellStyle name="20% - Accent2 7" xfId="16870" hidden="1"/>
    <cellStyle name="20% - Accent2 7" xfId="16837" hidden="1"/>
    <cellStyle name="20% - Accent2 7" xfId="17581" hidden="1"/>
    <cellStyle name="20% - Accent2 7" xfId="17645" hidden="1"/>
    <cellStyle name="20% - Accent2 7" xfId="17721" hidden="1"/>
    <cellStyle name="20% - Accent2 7" xfId="16151" hidden="1"/>
    <cellStyle name="20% - Accent2 7" xfId="16737" hidden="1"/>
    <cellStyle name="20% - Accent2 7" xfId="16986" hidden="1"/>
    <cellStyle name="20% - Accent2 7" xfId="18117" hidden="1"/>
    <cellStyle name="20% - Accent2 7" xfId="18177" hidden="1"/>
    <cellStyle name="20% - Accent2 7" xfId="18253" hidden="1"/>
    <cellStyle name="20% - Accent2 7" xfId="18455" hidden="1"/>
    <cellStyle name="20% - Accent2 7" xfId="18514" hidden="1"/>
    <cellStyle name="20% - Accent2 7" xfId="18590" hidden="1"/>
    <cellStyle name="20% - Accent2 7" xfId="18792" hidden="1"/>
    <cellStyle name="20% - Accent2 7" xfId="18851" hidden="1"/>
    <cellStyle name="20% - Accent2 7" xfId="18950" hidden="1"/>
    <cellStyle name="20% - Accent2 7" xfId="18944" hidden="1"/>
    <cellStyle name="20% - Accent2 7" xfId="19103" hidden="1"/>
    <cellStyle name="20% - Accent2 7" xfId="19179" hidden="1"/>
    <cellStyle name="20% - Accent2 7" xfId="19758" hidden="1"/>
    <cellStyle name="20% - Accent2 7" xfId="19842" hidden="1"/>
    <cellStyle name="20% - Accent2 7" xfId="19918" hidden="1"/>
    <cellStyle name="20% - Accent2 7" xfId="19673" hidden="1"/>
    <cellStyle name="20% - Accent2 7" xfId="19662" hidden="1"/>
    <cellStyle name="20% - Accent2 7" xfId="19629" hidden="1"/>
    <cellStyle name="20% - Accent2 7" xfId="20373" hidden="1"/>
    <cellStyle name="20% - Accent2 7" xfId="20437" hidden="1"/>
    <cellStyle name="20% - Accent2 7" xfId="20513" hidden="1"/>
    <cellStyle name="20% - Accent2 7" xfId="18943" hidden="1"/>
    <cellStyle name="20% - Accent2 7" xfId="19529" hidden="1"/>
    <cellStyle name="20% - Accent2 7" xfId="19778" hidden="1"/>
    <cellStyle name="20% - Accent2 7" xfId="20909" hidden="1"/>
    <cellStyle name="20% - Accent2 7" xfId="20969" hidden="1"/>
    <cellStyle name="20% - Accent2 7" xfId="21045" hidden="1"/>
    <cellStyle name="20% - Accent2 7" xfId="21247" hidden="1"/>
    <cellStyle name="20% - Accent2 7" xfId="21306" hidden="1"/>
    <cellStyle name="20% - Accent2 7" xfId="21382" hidden="1"/>
    <cellStyle name="20% - Accent2 7" xfId="21584" hidden="1"/>
    <cellStyle name="20% - Accent2 7" xfId="21643" hidden="1"/>
    <cellStyle name="20% - Accent2 7" xfId="16033" hidden="1"/>
    <cellStyle name="20% - Accent2 7" xfId="16039" hidden="1"/>
    <cellStyle name="20% - Accent2 7" xfId="15880" hidden="1"/>
    <cellStyle name="20% - Accent2 7" xfId="15799" hidden="1"/>
    <cellStyle name="20% - Accent2 7" xfId="8106" hidden="1"/>
    <cellStyle name="20% - Accent2 7" xfId="7923" hidden="1"/>
    <cellStyle name="20% - Accent2 7" xfId="7700" hidden="1"/>
    <cellStyle name="20% - Accent2 7" xfId="8368" hidden="1"/>
    <cellStyle name="20% - Accent2 7" xfId="8383" hidden="1"/>
    <cellStyle name="20% - Accent2 7" xfId="8471" hidden="1"/>
    <cellStyle name="20% - Accent2 7" xfId="5523" hidden="1"/>
    <cellStyle name="20% - Accent2 7" xfId="5260" hidden="1"/>
    <cellStyle name="20% - Accent2 7" xfId="5060" hidden="1"/>
    <cellStyle name="20% - Accent2 7" xfId="16140" hidden="1"/>
    <cellStyle name="20% - Accent2 7" xfId="8909" hidden="1"/>
    <cellStyle name="20% - Accent2 7" xfId="8030" hidden="1"/>
    <cellStyle name="20% - Accent2 7" xfId="3323" hidden="1"/>
    <cellStyle name="20% - Accent2 7" xfId="2986" hidden="1"/>
    <cellStyle name="20% - Accent2 7" xfId="2858" hidden="1"/>
    <cellStyle name="20% - Accent2 7" xfId="1713" hidden="1"/>
    <cellStyle name="20% - Accent2 7" xfId="1480" hidden="1"/>
    <cellStyle name="20% - Accent2 7" xfId="1293" hidden="1"/>
    <cellStyle name="20% - Accent2 7" xfId="191" hidden="1"/>
    <cellStyle name="20% - Accent2 7" xfId="21779" hidden="1"/>
    <cellStyle name="20% - Accent2 7" xfId="22309" hidden="1"/>
    <cellStyle name="20% - Accent2 7" xfId="22303" hidden="1"/>
    <cellStyle name="20% - Accent2 7" xfId="22462" hidden="1"/>
    <cellStyle name="20% - Accent2 7" xfId="22538" hidden="1"/>
    <cellStyle name="20% - Accent2 7" xfId="23117" hidden="1"/>
    <cellStyle name="20% - Accent2 7" xfId="23201" hidden="1"/>
    <cellStyle name="20% - Accent2 7" xfId="23277" hidden="1"/>
    <cellStyle name="20% - Accent2 7" xfId="23032" hidden="1"/>
    <cellStyle name="20% - Accent2 7" xfId="23021" hidden="1"/>
    <cellStyle name="20% - Accent2 7" xfId="22988" hidden="1"/>
    <cellStyle name="20% - Accent2 7" xfId="23732" hidden="1"/>
    <cellStyle name="20% - Accent2 7" xfId="23796" hidden="1"/>
    <cellStyle name="20% - Accent2 7" xfId="23872" hidden="1"/>
    <cellStyle name="20% - Accent2 7" xfId="22302" hidden="1"/>
    <cellStyle name="20% - Accent2 7" xfId="22888" hidden="1"/>
    <cellStyle name="20% - Accent2 7" xfId="23137" hidden="1"/>
    <cellStyle name="20% - Accent2 7" xfId="24268" hidden="1"/>
    <cellStyle name="20% - Accent2 7" xfId="24328" hidden="1"/>
    <cellStyle name="20% - Accent2 7" xfId="24404" hidden="1"/>
    <cellStyle name="20% - Accent2 7" xfId="24606" hidden="1"/>
    <cellStyle name="20% - Accent2 7" xfId="24665" hidden="1"/>
    <cellStyle name="20% - Accent2 7" xfId="24741" hidden="1"/>
    <cellStyle name="20% - Accent2 7" xfId="24943" hidden="1"/>
    <cellStyle name="20% - Accent2 7" xfId="25002" hidden="1"/>
    <cellStyle name="20% - Accent2 7" xfId="25101" hidden="1"/>
    <cellStyle name="20% - Accent2 7" xfId="25095" hidden="1"/>
    <cellStyle name="20% - Accent2 7" xfId="25254" hidden="1"/>
    <cellStyle name="20% - Accent2 7" xfId="25330" hidden="1"/>
    <cellStyle name="20% - Accent2 7" xfId="25909" hidden="1"/>
    <cellStyle name="20% - Accent2 7" xfId="25993" hidden="1"/>
    <cellStyle name="20% - Accent2 7" xfId="26069" hidden="1"/>
    <cellStyle name="20% - Accent2 7" xfId="25824" hidden="1"/>
    <cellStyle name="20% - Accent2 7" xfId="25813" hidden="1"/>
    <cellStyle name="20% - Accent2 7" xfId="25780" hidden="1"/>
    <cellStyle name="20% - Accent2 7" xfId="26524" hidden="1"/>
    <cellStyle name="20% - Accent2 7" xfId="26588" hidden="1"/>
    <cellStyle name="20% - Accent2 7" xfId="26664" hidden="1"/>
    <cellStyle name="20% - Accent2 7" xfId="25094" hidden="1"/>
    <cellStyle name="20% - Accent2 7" xfId="25680" hidden="1"/>
    <cellStyle name="20% - Accent2 7" xfId="25929" hidden="1"/>
    <cellStyle name="20% - Accent2 7" xfId="27060" hidden="1"/>
    <cellStyle name="20% - Accent2 7" xfId="27120" hidden="1"/>
    <cellStyle name="20% - Accent2 7" xfId="27196" hidden="1"/>
    <cellStyle name="20% - Accent2 7" xfId="27398" hidden="1"/>
    <cellStyle name="20% - Accent2 7" xfId="27457" hidden="1"/>
    <cellStyle name="20% - Accent2 7" xfId="27533" hidden="1"/>
    <cellStyle name="20% - Accent2 7" xfId="27735" hidden="1"/>
    <cellStyle name="20% - Accent2 7" xfId="27794" hidden="1"/>
    <cellStyle name="20% - Accent2 7" xfId="22286" hidden="1"/>
    <cellStyle name="20% - Accent2 7" xfId="22292" hidden="1"/>
    <cellStyle name="20% - Accent2 7" xfId="22133" hidden="1"/>
    <cellStyle name="20% - Accent2 7" xfId="22052" hidden="1"/>
    <cellStyle name="20% - Accent2 7" xfId="9038" hidden="1"/>
    <cellStyle name="20% - Accent2 7" xfId="8812" hidden="1"/>
    <cellStyle name="20% - Accent2 7" xfId="8527" hidden="1"/>
    <cellStyle name="20% - Accent2 7" xfId="9395" hidden="1"/>
    <cellStyle name="20% - Accent2 7" xfId="9416" hidden="1"/>
    <cellStyle name="20% - Accent2 7" xfId="9521" hidden="1"/>
    <cellStyle name="20% - Accent2 7" xfId="5914" hidden="1"/>
    <cellStyle name="20% - Accent2 7" xfId="5801" hidden="1"/>
    <cellStyle name="20% - Accent2 7" xfId="5566" hidden="1"/>
    <cellStyle name="20% - Accent2 7" xfId="22293" hidden="1"/>
    <cellStyle name="20% - Accent2 7" xfId="15489" hidden="1"/>
    <cellStyle name="20% - Accent2 7" xfId="8990" hidden="1"/>
    <cellStyle name="20% - Accent2 7" xfId="3622" hidden="1"/>
    <cellStyle name="20% - Accent2 7" xfId="3327" hidden="1"/>
    <cellStyle name="20% - Accent2 7" xfId="3138" hidden="1"/>
    <cellStyle name="20% - Accent2 7" xfId="1888" hidden="1"/>
    <cellStyle name="20% - Accent2 7" xfId="1623" hidden="1"/>
    <cellStyle name="20% - Accent2 7" xfId="1453" hidden="1"/>
    <cellStyle name="20% - Accent2 7" xfId="194" hidden="1"/>
    <cellStyle name="20% - Accent2 7" xfId="27929" hidden="1"/>
    <cellStyle name="20% - Accent2 7" xfId="28028" hidden="1"/>
    <cellStyle name="20% - Accent2 7" xfId="28022" hidden="1"/>
    <cellStyle name="20% - Accent2 7" xfId="28181" hidden="1"/>
    <cellStyle name="20% - Accent2 7" xfId="28257" hidden="1"/>
    <cellStyle name="20% - Accent2 7" xfId="28836" hidden="1"/>
    <cellStyle name="20% - Accent2 7" xfId="28920" hidden="1"/>
    <cellStyle name="20% - Accent2 7" xfId="28996" hidden="1"/>
    <cellStyle name="20% - Accent2 7" xfId="28751" hidden="1"/>
    <cellStyle name="20% - Accent2 7" xfId="28740" hidden="1"/>
    <cellStyle name="20% - Accent2 7" xfId="28707" hidden="1"/>
    <cellStyle name="20% - Accent2 7" xfId="29451" hidden="1"/>
    <cellStyle name="20% - Accent2 7" xfId="29515" hidden="1"/>
    <cellStyle name="20% - Accent2 7" xfId="29591" hidden="1"/>
    <cellStyle name="20% - Accent2 7" xfId="28021" hidden="1"/>
    <cellStyle name="20% - Accent2 7" xfId="28607" hidden="1"/>
    <cellStyle name="20% - Accent2 7" xfId="28856" hidden="1"/>
    <cellStyle name="20% - Accent2 7" xfId="29987" hidden="1"/>
    <cellStyle name="20% - Accent2 7" xfId="30047" hidden="1"/>
    <cellStyle name="20% - Accent2 7" xfId="30123" hidden="1"/>
    <cellStyle name="20% - Accent2 7" xfId="30325" hidden="1"/>
    <cellStyle name="20% - Accent2 7" xfId="30384" hidden="1"/>
    <cellStyle name="20% - Accent2 7" xfId="30460" hidden="1"/>
    <cellStyle name="20% - Accent2 7" xfId="30662" hidden="1"/>
    <cellStyle name="20% - Accent2 7" xfId="30721" hidden="1"/>
    <cellStyle name="20% - Accent2 7" xfId="30820" hidden="1"/>
    <cellStyle name="20% - Accent2 7" xfId="30814" hidden="1"/>
    <cellStyle name="20% - Accent2 7" xfId="30973" hidden="1"/>
    <cellStyle name="20% - Accent2 7" xfId="31049" hidden="1"/>
    <cellStyle name="20% - Accent2 7" xfId="31628" hidden="1"/>
    <cellStyle name="20% - Accent2 7" xfId="31712" hidden="1"/>
    <cellStyle name="20% - Accent2 7" xfId="31788" hidden="1"/>
    <cellStyle name="20% - Accent2 7" xfId="31543" hidden="1"/>
    <cellStyle name="20% - Accent2 7" xfId="31532" hidden="1"/>
    <cellStyle name="20% - Accent2 7" xfId="31499" hidden="1"/>
    <cellStyle name="20% - Accent2 7" xfId="32243" hidden="1"/>
    <cellStyle name="20% - Accent2 7" xfId="32307" hidden="1"/>
    <cellStyle name="20% - Accent2 7" xfId="32383" hidden="1"/>
    <cellStyle name="20% - Accent2 7" xfId="30813" hidden="1"/>
    <cellStyle name="20% - Accent2 7" xfId="31399" hidden="1"/>
    <cellStyle name="20% - Accent2 7" xfId="31648" hidden="1"/>
    <cellStyle name="20% - Accent2 7" xfId="32779" hidden="1"/>
    <cellStyle name="20% - Accent2 7" xfId="32839" hidden="1"/>
    <cellStyle name="20% - Accent2 7" xfId="32915" hidden="1"/>
    <cellStyle name="20% - Accent2 7" xfId="33117" hidden="1"/>
    <cellStyle name="20% - Accent2 7" xfId="33176" hidden="1"/>
    <cellStyle name="20% - Accent2 7" xfId="33252" hidden="1"/>
    <cellStyle name="20% - Accent2 7" xfId="33454" hidden="1"/>
    <cellStyle name="20% - Accent2 7" xfId="33513" hidden="1"/>
    <cellStyle name="20% - Accent2 8" xfId="142" hidden="1"/>
    <cellStyle name="20% - Accent2 8" xfId="231" hidden="1"/>
    <cellStyle name="20% - Accent2 8" xfId="310" hidden="1"/>
    <cellStyle name="20% - Accent2 8" xfId="633" hidden="1"/>
    <cellStyle name="20% - Accent2 8" xfId="2392" hidden="1"/>
    <cellStyle name="20% - Accent2 8" xfId="2538" hidden="1"/>
    <cellStyle name="20% - Accent2 8" xfId="2718" hidden="1"/>
    <cellStyle name="20% - Accent2 8" xfId="2031" hidden="1"/>
    <cellStyle name="20% - Accent2 8" xfId="2126" hidden="1"/>
    <cellStyle name="20% - Accent2 8" xfId="2241" hidden="1"/>
    <cellStyle name="20% - Accent2 8" xfId="4316" hidden="1"/>
    <cellStyle name="20% - Accent2 8" xfId="4557" hidden="1"/>
    <cellStyle name="20% - Accent2 8" xfId="4718" hidden="1"/>
    <cellStyle name="20% - Accent2 8" xfId="1702" hidden="1"/>
    <cellStyle name="20% - Accent2 8" xfId="3103" hidden="1"/>
    <cellStyle name="20% - Accent2 8" xfId="3786" hidden="1"/>
    <cellStyle name="20% - Accent2 8" xfId="6333" hidden="1"/>
    <cellStyle name="20% - Accent2 8" xfId="6441" hidden="1"/>
    <cellStyle name="20% - Accent2 8" xfId="6639" hidden="1"/>
    <cellStyle name="20% - Accent2 8" xfId="7485" hidden="1"/>
    <cellStyle name="20% - Accent2 8" xfId="7644" hidden="1"/>
    <cellStyle name="20% - Accent2 8" xfId="7827" hidden="1"/>
    <cellStyle name="20% - Accent2 8" xfId="8739" hidden="1"/>
    <cellStyle name="20% - Accent2 8" xfId="8916" hidden="1"/>
    <cellStyle name="20% - Accent2 8" xfId="9833" hidden="1"/>
    <cellStyle name="20% - Accent2 8" xfId="9916" hidden="1"/>
    <cellStyle name="20% - Accent2 8" xfId="9992" hidden="1"/>
    <cellStyle name="20% - Accent2 8" xfId="10070" hidden="1"/>
    <cellStyle name="20% - Accent2 8" xfId="10655" hidden="1"/>
    <cellStyle name="20% - Accent2 8" xfId="10731" hidden="1"/>
    <cellStyle name="20% - Accent2 8" xfId="10810" hidden="1"/>
    <cellStyle name="20% - Accent2 8" xfId="10499" hidden="1"/>
    <cellStyle name="20% - Accent2 8" xfId="10554" hidden="1"/>
    <cellStyle name="20% - Accent2 8" xfId="10589" hidden="1"/>
    <cellStyle name="20% - Accent2 8" xfId="11250" hidden="1"/>
    <cellStyle name="20% - Accent2 8" xfId="11326" hidden="1"/>
    <cellStyle name="20% - Accent2 8" xfId="11404" hidden="1"/>
    <cellStyle name="20% - Accent2 8" xfId="10383" hidden="1"/>
    <cellStyle name="20% - Accent2 8" xfId="10926" hidden="1"/>
    <cellStyle name="20% - Accent2 8" xfId="11071" hidden="1"/>
    <cellStyle name="20% - Accent2 8" xfId="11782" hidden="1"/>
    <cellStyle name="20% - Accent2 8" xfId="11858" hidden="1"/>
    <cellStyle name="20% - Accent2 8" xfId="11936" hidden="1"/>
    <cellStyle name="20% - Accent2 8" xfId="12119" hidden="1"/>
    <cellStyle name="20% - Accent2 8" xfId="12195" hidden="1"/>
    <cellStyle name="20% - Accent2 8" xfId="12273" hidden="1"/>
    <cellStyle name="20% - Accent2 8" xfId="12456" hidden="1"/>
    <cellStyle name="20% - Accent2 8" xfId="12532" hidden="1"/>
    <cellStyle name="20% - Accent2 8" xfId="12625" hidden="1"/>
    <cellStyle name="20% - Accent2 8" xfId="12708" hidden="1"/>
    <cellStyle name="20% - Accent2 8" xfId="12784" hidden="1"/>
    <cellStyle name="20% - Accent2 8" xfId="12862" hidden="1"/>
    <cellStyle name="20% - Accent2 8" xfId="13447" hidden="1"/>
    <cellStyle name="20% - Accent2 8" xfId="13523" hidden="1"/>
    <cellStyle name="20% - Accent2 8" xfId="13602" hidden="1"/>
    <cellStyle name="20% - Accent2 8" xfId="13291" hidden="1"/>
    <cellStyle name="20% - Accent2 8" xfId="13346" hidden="1"/>
    <cellStyle name="20% - Accent2 8" xfId="13381" hidden="1"/>
    <cellStyle name="20% - Accent2 8" xfId="14042" hidden="1"/>
    <cellStyle name="20% - Accent2 8" xfId="14118" hidden="1"/>
    <cellStyle name="20% - Accent2 8" xfId="14196" hidden="1"/>
    <cellStyle name="20% - Accent2 8" xfId="13175" hidden="1"/>
    <cellStyle name="20% - Accent2 8" xfId="13718" hidden="1"/>
    <cellStyle name="20% - Accent2 8" xfId="13863" hidden="1"/>
    <cellStyle name="20% - Accent2 8" xfId="14574" hidden="1"/>
    <cellStyle name="20% - Accent2 8" xfId="14650" hidden="1"/>
    <cellStyle name="20% - Accent2 8" xfId="14728" hidden="1"/>
    <cellStyle name="20% - Accent2 8" xfId="14911" hidden="1"/>
    <cellStyle name="20% - Accent2 8" xfId="14987" hidden="1"/>
    <cellStyle name="20% - Accent2 8" xfId="15065" hidden="1"/>
    <cellStyle name="20% - Accent2 8" xfId="15248" hidden="1"/>
    <cellStyle name="20% - Accent2 8" xfId="15324" hidden="1"/>
    <cellStyle name="20% - Accent2 8" xfId="9627" hidden="1"/>
    <cellStyle name="20% - Accent2 8" xfId="9507" hidden="1"/>
    <cellStyle name="20% - Accent2 8" xfId="9391" hidden="1"/>
    <cellStyle name="20% - Accent2 8" xfId="9283" hidden="1"/>
    <cellStyle name="20% - Accent2 8" xfId="7020" hidden="1"/>
    <cellStyle name="20% - Accent2 8" xfId="6931" hidden="1"/>
    <cellStyle name="20% - Accent2 8" xfId="6837" hidden="1"/>
    <cellStyle name="20% - Accent2 8" xfId="7568" hidden="1"/>
    <cellStyle name="20% - Accent2 8" xfId="7391" hidden="1"/>
    <cellStyle name="20% - Accent2 8" xfId="7326" hidden="1"/>
    <cellStyle name="20% - Accent2 8" xfId="4885" hidden="1"/>
    <cellStyle name="20% - Accent2 8" xfId="4714" hidden="1"/>
    <cellStyle name="20% - Accent2 8" xfId="4522" hidden="1"/>
    <cellStyle name="20% - Accent2 8" xfId="8038" hidden="1"/>
    <cellStyle name="20% - Accent2 8" xfId="6408" hidden="1"/>
    <cellStyle name="20% - Accent2 8" xfId="5753" hidden="1"/>
    <cellStyle name="20% - Accent2 8" xfId="2802" hidden="1"/>
    <cellStyle name="20% - Accent2 8" xfId="2553" hidden="1"/>
    <cellStyle name="20% - Accent2 8" xfId="2371" hidden="1"/>
    <cellStyle name="20% - Accent2 8" xfId="1421" hidden="1"/>
    <cellStyle name="20% - Accent2 8" xfId="1228" hidden="1"/>
    <cellStyle name="20% - Accent2 8" xfId="1070" hidden="1"/>
    <cellStyle name="20% - Accent2 8" xfId="107" hidden="1"/>
    <cellStyle name="20% - Accent2 8" xfId="15492" hidden="1"/>
    <cellStyle name="20% - Accent2 8" xfId="16174" hidden="1"/>
    <cellStyle name="20% - Accent2 8" xfId="16257" hidden="1"/>
    <cellStyle name="20% - Accent2 8" xfId="16333" hidden="1"/>
    <cellStyle name="20% - Accent2 8" xfId="16411" hidden="1"/>
    <cellStyle name="20% - Accent2 8" xfId="16996" hidden="1"/>
    <cellStyle name="20% - Accent2 8" xfId="17072" hidden="1"/>
    <cellStyle name="20% - Accent2 8" xfId="17151" hidden="1"/>
    <cellStyle name="20% - Accent2 8" xfId="16840" hidden="1"/>
    <cellStyle name="20% - Accent2 8" xfId="16895" hidden="1"/>
    <cellStyle name="20% - Accent2 8" xfId="16930" hidden="1"/>
    <cellStyle name="20% - Accent2 8" xfId="17591" hidden="1"/>
    <cellStyle name="20% - Accent2 8" xfId="17667" hidden="1"/>
    <cellStyle name="20% - Accent2 8" xfId="17745" hidden="1"/>
    <cellStyle name="20% - Accent2 8" xfId="16724" hidden="1"/>
    <cellStyle name="20% - Accent2 8" xfId="17267" hidden="1"/>
    <cellStyle name="20% - Accent2 8" xfId="17412" hidden="1"/>
    <cellStyle name="20% - Accent2 8" xfId="18123" hidden="1"/>
    <cellStyle name="20% - Accent2 8" xfId="18199" hidden="1"/>
    <cellStyle name="20% - Accent2 8" xfId="18277" hidden="1"/>
    <cellStyle name="20% - Accent2 8" xfId="18460" hidden="1"/>
    <cellStyle name="20% - Accent2 8" xfId="18536" hidden="1"/>
    <cellStyle name="20% - Accent2 8" xfId="18614" hidden="1"/>
    <cellStyle name="20% - Accent2 8" xfId="18797" hidden="1"/>
    <cellStyle name="20% - Accent2 8" xfId="18873" hidden="1"/>
    <cellStyle name="20% - Accent2 8" xfId="18966" hidden="1"/>
    <cellStyle name="20% - Accent2 8" xfId="19049" hidden="1"/>
    <cellStyle name="20% - Accent2 8" xfId="19125" hidden="1"/>
    <cellStyle name="20% - Accent2 8" xfId="19203" hidden="1"/>
    <cellStyle name="20% - Accent2 8" xfId="19788" hidden="1"/>
    <cellStyle name="20% - Accent2 8" xfId="19864" hidden="1"/>
    <cellStyle name="20% - Accent2 8" xfId="19943" hidden="1"/>
    <cellStyle name="20% - Accent2 8" xfId="19632" hidden="1"/>
    <cellStyle name="20% - Accent2 8" xfId="19687" hidden="1"/>
    <cellStyle name="20% - Accent2 8" xfId="19722" hidden="1"/>
    <cellStyle name="20% - Accent2 8" xfId="20383" hidden="1"/>
    <cellStyle name="20% - Accent2 8" xfId="20459" hidden="1"/>
    <cellStyle name="20% - Accent2 8" xfId="20537" hidden="1"/>
    <cellStyle name="20% - Accent2 8" xfId="19516" hidden="1"/>
    <cellStyle name="20% - Accent2 8" xfId="20059" hidden="1"/>
    <cellStyle name="20% - Accent2 8" xfId="20204" hidden="1"/>
    <cellStyle name="20% - Accent2 8" xfId="20915" hidden="1"/>
    <cellStyle name="20% - Accent2 8" xfId="20991" hidden="1"/>
    <cellStyle name="20% - Accent2 8" xfId="21069" hidden="1"/>
    <cellStyle name="20% - Accent2 8" xfId="21252" hidden="1"/>
    <cellStyle name="20% - Accent2 8" xfId="21328" hidden="1"/>
    <cellStyle name="20% - Accent2 8" xfId="21406" hidden="1"/>
    <cellStyle name="20% - Accent2 8" xfId="21589" hidden="1"/>
    <cellStyle name="20% - Accent2 8" xfId="21665" hidden="1"/>
    <cellStyle name="20% - Accent2 8" xfId="16017" hidden="1"/>
    <cellStyle name="20% - Accent2 8" xfId="15934" hidden="1"/>
    <cellStyle name="20% - Accent2 8" xfId="15856" hidden="1"/>
    <cellStyle name="20% - Accent2 8" xfId="15771" hidden="1"/>
    <cellStyle name="20% - Accent2 8" xfId="8005" hidden="1"/>
    <cellStyle name="20% - Accent2 8" xfId="7807" hidden="1"/>
    <cellStyle name="20% - Accent2 8" xfId="7561" hidden="1"/>
    <cellStyle name="20% - Accent2 8" xfId="8466" hidden="1"/>
    <cellStyle name="20% - Accent2 8" xfId="8241" hidden="1"/>
    <cellStyle name="20% - Accent2 8" xfId="8177" hidden="1"/>
    <cellStyle name="20% - Accent2 8" xfId="5320" hidden="1"/>
    <cellStyle name="20% - Accent2 8" xfId="5120" hidden="1"/>
    <cellStyle name="20% - Accent2 8" xfId="5015" hidden="1"/>
    <cellStyle name="20% - Accent2 8" xfId="8992" hidden="1"/>
    <cellStyle name="20% - Accent2 8" xfId="7057" hidden="1"/>
    <cellStyle name="20% - Accent2 8" xfId="6250" hidden="1"/>
    <cellStyle name="20% - Accent2 8" xfId="3087" hidden="1"/>
    <cellStyle name="20% - Accent2 8" xfId="2929" hidden="1"/>
    <cellStyle name="20% - Accent2 8" xfId="2797" hidden="1"/>
    <cellStyle name="20% - Accent2 8" xfId="1570" hidden="1"/>
    <cellStyle name="20% - Accent2 8" xfId="1420" hidden="1"/>
    <cellStyle name="20% - Accent2 8" xfId="1150" hidden="1"/>
    <cellStyle name="20% - Accent2 8" xfId="9785" hidden="1"/>
    <cellStyle name="20% - Accent2 8" xfId="21803" hidden="1"/>
    <cellStyle name="20% - Accent2 8" xfId="22325" hidden="1"/>
    <cellStyle name="20% - Accent2 8" xfId="22408" hidden="1"/>
    <cellStyle name="20% - Accent2 8" xfId="22484" hidden="1"/>
    <cellStyle name="20% - Accent2 8" xfId="22562" hidden="1"/>
    <cellStyle name="20% - Accent2 8" xfId="23147" hidden="1"/>
    <cellStyle name="20% - Accent2 8" xfId="23223" hidden="1"/>
    <cellStyle name="20% - Accent2 8" xfId="23302" hidden="1"/>
    <cellStyle name="20% - Accent2 8" xfId="22991" hidden="1"/>
    <cellStyle name="20% - Accent2 8" xfId="23046" hidden="1"/>
    <cellStyle name="20% - Accent2 8" xfId="23081" hidden="1"/>
    <cellStyle name="20% - Accent2 8" xfId="23742" hidden="1"/>
    <cellStyle name="20% - Accent2 8" xfId="23818" hidden="1"/>
    <cellStyle name="20% - Accent2 8" xfId="23896" hidden="1"/>
    <cellStyle name="20% - Accent2 8" xfId="22875" hidden="1"/>
    <cellStyle name="20% - Accent2 8" xfId="23418" hidden="1"/>
    <cellStyle name="20% - Accent2 8" xfId="23563" hidden="1"/>
    <cellStyle name="20% - Accent2 8" xfId="24274" hidden="1"/>
    <cellStyle name="20% - Accent2 8" xfId="24350" hidden="1"/>
    <cellStyle name="20% - Accent2 8" xfId="24428" hidden="1"/>
    <cellStyle name="20% - Accent2 8" xfId="24611" hidden="1"/>
    <cellStyle name="20% - Accent2 8" xfId="24687" hidden="1"/>
    <cellStyle name="20% - Accent2 8" xfId="24765" hidden="1"/>
    <cellStyle name="20% - Accent2 8" xfId="24948" hidden="1"/>
    <cellStyle name="20% - Accent2 8" xfId="25024" hidden="1"/>
    <cellStyle name="20% - Accent2 8" xfId="25117" hidden="1"/>
    <cellStyle name="20% - Accent2 8" xfId="25200" hidden="1"/>
    <cellStyle name="20% - Accent2 8" xfId="25276" hidden="1"/>
    <cellStyle name="20% - Accent2 8" xfId="25354" hidden="1"/>
    <cellStyle name="20% - Accent2 8" xfId="25939" hidden="1"/>
    <cellStyle name="20% - Accent2 8" xfId="26015" hidden="1"/>
    <cellStyle name="20% - Accent2 8" xfId="26094" hidden="1"/>
    <cellStyle name="20% - Accent2 8" xfId="25783" hidden="1"/>
    <cellStyle name="20% - Accent2 8" xfId="25838" hidden="1"/>
    <cellStyle name="20% - Accent2 8" xfId="25873" hidden="1"/>
    <cellStyle name="20% - Accent2 8" xfId="26534" hidden="1"/>
    <cellStyle name="20% - Accent2 8" xfId="26610" hidden="1"/>
    <cellStyle name="20% - Accent2 8" xfId="26688" hidden="1"/>
    <cellStyle name="20% - Accent2 8" xfId="25667" hidden="1"/>
    <cellStyle name="20% - Accent2 8" xfId="26210" hidden="1"/>
    <cellStyle name="20% - Accent2 8" xfId="26355" hidden="1"/>
    <cellStyle name="20% - Accent2 8" xfId="27066" hidden="1"/>
    <cellStyle name="20% - Accent2 8" xfId="27142" hidden="1"/>
    <cellStyle name="20% - Accent2 8" xfId="27220" hidden="1"/>
    <cellStyle name="20% - Accent2 8" xfId="27403" hidden="1"/>
    <cellStyle name="20% - Accent2 8" xfId="27479" hidden="1"/>
    <cellStyle name="20% - Accent2 8" xfId="27557" hidden="1"/>
    <cellStyle name="20% - Accent2 8" xfId="27740" hidden="1"/>
    <cellStyle name="20% - Accent2 8" xfId="27816" hidden="1"/>
    <cellStyle name="20% - Accent2 8" xfId="22270" hidden="1"/>
    <cellStyle name="20% - Accent2 8" xfId="22187" hidden="1"/>
    <cellStyle name="20% - Accent2 8" xfId="22109" hidden="1"/>
    <cellStyle name="20% - Accent2 8" xfId="22024" hidden="1"/>
    <cellStyle name="20% - Accent2 8" xfId="8914" hidden="1"/>
    <cellStyle name="20% - Accent2 8" xfId="8704" hidden="1"/>
    <cellStyle name="20% - Accent2 8" xfId="8470" hidden="1"/>
    <cellStyle name="20% - Accent2 8" xfId="9518" hidden="1"/>
    <cellStyle name="20% - Accent2 8" xfId="9319" hidden="1"/>
    <cellStyle name="20% - Accent2 8" xfId="9101" hidden="1"/>
    <cellStyle name="20% - Accent2 8" xfId="5874" hidden="1"/>
    <cellStyle name="20% - Accent2 8" xfId="5628" hidden="1"/>
    <cellStyle name="20% - Accent2 8" xfId="5532" hidden="1"/>
    <cellStyle name="20% - Accent2 8" xfId="15559" hidden="1"/>
    <cellStyle name="20% - Accent2 8" xfId="8074" hidden="1"/>
    <cellStyle name="20% - Accent2 8" xfId="6764" hidden="1"/>
    <cellStyle name="20% - Accent2 8" xfId="3392" hidden="1"/>
    <cellStyle name="20% - Accent2 8" xfId="3298" hidden="1"/>
    <cellStyle name="20% - Accent2 8" xfId="3092" hidden="1"/>
    <cellStyle name="20% - Accent2 8" xfId="1691" hidden="1"/>
    <cellStyle name="20% - Accent2 8" xfId="1575" hidden="1"/>
    <cellStyle name="20% - Accent2 8" xfId="1299" hidden="1"/>
    <cellStyle name="20% - Accent2 8" xfId="22295" hidden="1"/>
    <cellStyle name="20% - Accent2 8" xfId="27951" hidden="1"/>
    <cellStyle name="20% - Accent2 8" xfId="28044" hidden="1"/>
    <cellStyle name="20% - Accent2 8" xfId="28127" hidden="1"/>
    <cellStyle name="20% - Accent2 8" xfId="28203" hidden="1"/>
    <cellStyle name="20% - Accent2 8" xfId="28281" hidden="1"/>
    <cellStyle name="20% - Accent2 8" xfId="28866" hidden="1"/>
    <cellStyle name="20% - Accent2 8" xfId="28942" hidden="1"/>
    <cellStyle name="20% - Accent2 8" xfId="29021" hidden="1"/>
    <cellStyle name="20% - Accent2 8" xfId="28710" hidden="1"/>
    <cellStyle name="20% - Accent2 8" xfId="28765" hidden="1"/>
    <cellStyle name="20% - Accent2 8" xfId="28800" hidden="1"/>
    <cellStyle name="20% - Accent2 8" xfId="29461" hidden="1"/>
    <cellStyle name="20% - Accent2 8" xfId="29537" hidden="1"/>
    <cellStyle name="20% - Accent2 8" xfId="29615" hidden="1"/>
    <cellStyle name="20% - Accent2 8" xfId="28594" hidden="1"/>
    <cellStyle name="20% - Accent2 8" xfId="29137" hidden="1"/>
    <cellStyle name="20% - Accent2 8" xfId="29282" hidden="1"/>
    <cellStyle name="20% - Accent2 8" xfId="29993" hidden="1"/>
    <cellStyle name="20% - Accent2 8" xfId="30069" hidden="1"/>
    <cellStyle name="20% - Accent2 8" xfId="30147" hidden="1"/>
    <cellStyle name="20% - Accent2 8" xfId="30330" hidden="1"/>
    <cellStyle name="20% - Accent2 8" xfId="30406" hidden="1"/>
    <cellStyle name="20% - Accent2 8" xfId="30484" hidden="1"/>
    <cellStyle name="20% - Accent2 8" xfId="30667" hidden="1"/>
    <cellStyle name="20% - Accent2 8" xfId="30743" hidden="1"/>
    <cellStyle name="20% - Accent2 8" xfId="30836" hidden="1"/>
    <cellStyle name="20% - Accent2 8" xfId="30919" hidden="1"/>
    <cellStyle name="20% - Accent2 8" xfId="30995" hidden="1"/>
    <cellStyle name="20% - Accent2 8" xfId="31073" hidden="1"/>
    <cellStyle name="20% - Accent2 8" xfId="31658" hidden="1"/>
    <cellStyle name="20% - Accent2 8" xfId="31734" hidden="1"/>
    <cellStyle name="20% - Accent2 8" xfId="31813" hidden="1"/>
    <cellStyle name="20% - Accent2 8" xfId="31502" hidden="1"/>
    <cellStyle name="20% - Accent2 8" xfId="31557" hidden="1"/>
    <cellStyle name="20% - Accent2 8" xfId="31592" hidden="1"/>
    <cellStyle name="20% - Accent2 8" xfId="32253" hidden="1"/>
    <cellStyle name="20% - Accent2 8" xfId="32329" hidden="1"/>
    <cellStyle name="20% - Accent2 8" xfId="32407" hidden="1"/>
    <cellStyle name="20% - Accent2 8" xfId="31386" hidden="1"/>
    <cellStyle name="20% - Accent2 8" xfId="31929" hidden="1"/>
    <cellStyle name="20% - Accent2 8" xfId="32074" hidden="1"/>
    <cellStyle name="20% - Accent2 8" xfId="32785" hidden="1"/>
    <cellStyle name="20% - Accent2 8" xfId="32861" hidden="1"/>
    <cellStyle name="20% - Accent2 8" xfId="32939" hidden="1"/>
    <cellStyle name="20% - Accent2 8" xfId="33122" hidden="1"/>
    <cellStyle name="20% - Accent2 8" xfId="33198" hidden="1"/>
    <cellStyle name="20% - Accent2 8" xfId="33276" hidden="1"/>
    <cellStyle name="20% - Accent2 8" xfId="33459" hidden="1"/>
    <cellStyle name="20% - Accent2 8" xfId="33535" hidden="1"/>
    <cellStyle name="20% - Accent2 9" xfId="155" hidden="1"/>
    <cellStyle name="20% - Accent2 9" xfId="235" hidden="1"/>
    <cellStyle name="20% - Accent2 9" xfId="314" hidden="1"/>
    <cellStyle name="20% - Accent2 9" xfId="645" hidden="1"/>
    <cellStyle name="20% - Accent2 9" xfId="2396" hidden="1"/>
    <cellStyle name="20% - Accent2 9" xfId="2546" hidden="1"/>
    <cellStyle name="20% - Accent2 9" xfId="2725" hidden="1"/>
    <cellStyle name="20% - Accent2 9" xfId="3107" hidden="1"/>
    <cellStyle name="20% - Accent2 9" xfId="1676" hidden="1"/>
    <cellStyle name="20% - Accent2 9" xfId="2058" hidden="1"/>
    <cellStyle name="20% - Accent2 9" xfId="4320" hidden="1"/>
    <cellStyle name="20% - Accent2 9" xfId="4564" hidden="1"/>
    <cellStyle name="20% - Accent2 9" xfId="4723" hidden="1"/>
    <cellStyle name="20% - Accent2 9" xfId="4954" hidden="1"/>
    <cellStyle name="20% - Accent2 9" xfId="1991" hidden="1"/>
    <cellStyle name="20% - Accent2 9" xfId="2039" hidden="1"/>
    <cellStyle name="20% - Accent2 9" xfId="6338" hidden="1"/>
    <cellStyle name="20% - Accent2 9" xfId="6445" hidden="1"/>
    <cellStyle name="20% - Accent2 9" xfId="6644" hidden="1"/>
    <cellStyle name="20% - Accent2 9" xfId="7495" hidden="1"/>
    <cellStyle name="20% - Accent2 9" xfId="7649" hidden="1"/>
    <cellStyle name="20% - Accent2 9" xfId="7832" hidden="1"/>
    <cellStyle name="20% - Accent2 9" xfId="8743" hidden="1"/>
    <cellStyle name="20% - Accent2 9" xfId="8922" hidden="1"/>
    <cellStyle name="20% - Accent2 9" xfId="9846" hidden="1"/>
    <cellStyle name="20% - Accent2 9" xfId="9920" hidden="1"/>
    <cellStyle name="20% - Accent2 9" xfId="9996" hidden="1"/>
    <cellStyle name="20% - Accent2 9" xfId="10074" hidden="1"/>
    <cellStyle name="20% - Accent2 9" xfId="10659" hidden="1"/>
    <cellStyle name="20% - Accent2 9" xfId="10735" hidden="1"/>
    <cellStyle name="20% - Accent2 9" xfId="10814" hidden="1"/>
    <cellStyle name="20% - Accent2 9" xfId="10927" hidden="1"/>
    <cellStyle name="20% - Accent2 9" xfId="10371" hidden="1"/>
    <cellStyle name="20% - Accent2 9" xfId="10523" hidden="1"/>
    <cellStyle name="20% - Accent2 9" xfId="11254" hidden="1"/>
    <cellStyle name="20% - Accent2 9" xfId="11330" hidden="1"/>
    <cellStyle name="20% - Accent2 9" xfId="11408" hidden="1"/>
    <cellStyle name="20% - Accent2 9" xfId="11503" hidden="1"/>
    <cellStyle name="20% - Accent2 9" xfId="10487" hidden="1"/>
    <cellStyle name="20% - Accent2 9" xfId="10506" hidden="1"/>
    <cellStyle name="20% - Accent2 9" xfId="11786" hidden="1"/>
    <cellStyle name="20% - Accent2 9" xfId="11862" hidden="1"/>
    <cellStyle name="20% - Accent2 9" xfId="11940" hidden="1"/>
    <cellStyle name="20% - Accent2 9" xfId="12123" hidden="1"/>
    <cellStyle name="20% - Accent2 9" xfId="12199" hidden="1"/>
    <cellStyle name="20% - Accent2 9" xfId="12277" hidden="1"/>
    <cellStyle name="20% - Accent2 9" xfId="12460" hidden="1"/>
    <cellStyle name="20% - Accent2 9" xfId="12536" hidden="1"/>
    <cellStyle name="20% - Accent2 9" xfId="12638" hidden="1"/>
    <cellStyle name="20% - Accent2 9" xfId="12712" hidden="1"/>
    <cellStyle name="20% - Accent2 9" xfId="12788" hidden="1"/>
    <cellStyle name="20% - Accent2 9" xfId="12866" hidden="1"/>
    <cellStyle name="20% - Accent2 9" xfId="13451" hidden="1"/>
    <cellStyle name="20% - Accent2 9" xfId="13527" hidden="1"/>
    <cellStyle name="20% - Accent2 9" xfId="13606" hidden="1"/>
    <cellStyle name="20% - Accent2 9" xfId="13719" hidden="1"/>
    <cellStyle name="20% - Accent2 9" xfId="13163" hidden="1"/>
    <cellStyle name="20% - Accent2 9" xfId="13315" hidden="1"/>
    <cellStyle name="20% - Accent2 9" xfId="14046" hidden="1"/>
    <cellStyle name="20% - Accent2 9" xfId="14122" hidden="1"/>
    <cellStyle name="20% - Accent2 9" xfId="14200" hidden="1"/>
    <cellStyle name="20% - Accent2 9" xfId="14295" hidden="1"/>
    <cellStyle name="20% - Accent2 9" xfId="13279" hidden="1"/>
    <cellStyle name="20% - Accent2 9" xfId="13298" hidden="1"/>
    <cellStyle name="20% - Accent2 9" xfId="14578" hidden="1"/>
    <cellStyle name="20% - Accent2 9" xfId="14654" hidden="1"/>
    <cellStyle name="20% - Accent2 9" xfId="14732" hidden="1"/>
    <cellStyle name="20% - Accent2 9" xfId="14915" hidden="1"/>
    <cellStyle name="20% - Accent2 9" xfId="14991" hidden="1"/>
    <cellStyle name="20% - Accent2 9" xfId="15069" hidden="1"/>
    <cellStyle name="20% - Accent2 9" xfId="15252" hidden="1"/>
    <cellStyle name="20% - Accent2 9" xfId="15328" hidden="1"/>
    <cellStyle name="20% - Accent2 9" xfId="9612" hidden="1"/>
    <cellStyle name="20% - Accent2 9" xfId="9502" hidden="1"/>
    <cellStyle name="20% - Accent2 9" xfId="9384" hidden="1"/>
    <cellStyle name="20% - Accent2 9" xfId="9276" hidden="1"/>
    <cellStyle name="20% - Accent2 9" xfId="7015" hidden="1"/>
    <cellStyle name="20% - Accent2 9" xfId="6927" hidden="1"/>
    <cellStyle name="20% - Accent2 9" xfId="6833" hidden="1"/>
    <cellStyle name="20% - Accent2 9" xfId="6400" hidden="1"/>
    <cellStyle name="20% - Accent2 9" xfId="8071" hidden="1"/>
    <cellStyle name="20% - Accent2 9" xfId="7450" hidden="1"/>
    <cellStyle name="20% - Accent2 9" xfId="4880" hidden="1"/>
    <cellStyle name="20% - Accent2 9" xfId="4709" hidden="1"/>
    <cellStyle name="20% - Accent2 9" xfId="4510" hidden="1"/>
    <cellStyle name="20% - Accent2 9" xfId="4247" hidden="1"/>
    <cellStyle name="20% - Accent2 9" xfId="7612" hidden="1"/>
    <cellStyle name="20% - Accent2 9" xfId="7512" hidden="1"/>
    <cellStyle name="20% - Accent2 9" xfId="2792" hidden="1"/>
    <cellStyle name="20% - Accent2 9" xfId="2539" hidden="1"/>
    <cellStyle name="20% - Accent2 9" xfId="2366" hidden="1"/>
    <cellStyle name="20% - Accent2 9" xfId="1414" hidden="1"/>
    <cellStyle name="20% - Accent2 9" xfId="1223" hidden="1"/>
    <cellStyle name="20% - Accent2 9" xfId="1066" hidden="1"/>
    <cellStyle name="20% - Accent2 9" xfId="98" hidden="1"/>
    <cellStyle name="20% - Accent2 9" xfId="15497" hidden="1"/>
    <cellStyle name="20% - Accent2 9" xfId="16187" hidden="1"/>
    <cellStyle name="20% - Accent2 9" xfId="16261" hidden="1"/>
    <cellStyle name="20% - Accent2 9" xfId="16337" hidden="1"/>
    <cellStyle name="20% - Accent2 9" xfId="16415" hidden="1"/>
    <cellStyle name="20% - Accent2 9" xfId="17000" hidden="1"/>
    <cellStyle name="20% - Accent2 9" xfId="17076" hidden="1"/>
    <cellStyle name="20% - Accent2 9" xfId="17155" hidden="1"/>
    <cellStyle name="20% - Accent2 9" xfId="17268" hidden="1"/>
    <cellStyle name="20% - Accent2 9" xfId="16712" hidden="1"/>
    <cellStyle name="20% - Accent2 9" xfId="16864" hidden="1"/>
    <cellStyle name="20% - Accent2 9" xfId="17595" hidden="1"/>
    <cellStyle name="20% - Accent2 9" xfId="17671" hidden="1"/>
    <cellStyle name="20% - Accent2 9" xfId="17749" hidden="1"/>
    <cellStyle name="20% - Accent2 9" xfId="17844" hidden="1"/>
    <cellStyle name="20% - Accent2 9" xfId="16828" hidden="1"/>
    <cellStyle name="20% - Accent2 9" xfId="16847" hidden="1"/>
    <cellStyle name="20% - Accent2 9" xfId="18127" hidden="1"/>
    <cellStyle name="20% - Accent2 9" xfId="18203" hidden="1"/>
    <cellStyle name="20% - Accent2 9" xfId="18281" hidden="1"/>
    <cellStyle name="20% - Accent2 9" xfId="18464" hidden="1"/>
    <cellStyle name="20% - Accent2 9" xfId="18540" hidden="1"/>
    <cellStyle name="20% - Accent2 9" xfId="18618" hidden="1"/>
    <cellStyle name="20% - Accent2 9" xfId="18801" hidden="1"/>
    <cellStyle name="20% - Accent2 9" xfId="18877" hidden="1"/>
    <cellStyle name="20% - Accent2 9" xfId="18979" hidden="1"/>
    <cellStyle name="20% - Accent2 9" xfId="19053" hidden="1"/>
    <cellStyle name="20% - Accent2 9" xfId="19129" hidden="1"/>
    <cellStyle name="20% - Accent2 9" xfId="19207" hidden="1"/>
    <cellStyle name="20% - Accent2 9" xfId="19792" hidden="1"/>
    <cellStyle name="20% - Accent2 9" xfId="19868" hidden="1"/>
    <cellStyle name="20% - Accent2 9" xfId="19947" hidden="1"/>
    <cellStyle name="20% - Accent2 9" xfId="20060" hidden="1"/>
    <cellStyle name="20% - Accent2 9" xfId="19504" hidden="1"/>
    <cellStyle name="20% - Accent2 9" xfId="19656" hidden="1"/>
    <cellStyle name="20% - Accent2 9" xfId="20387" hidden="1"/>
    <cellStyle name="20% - Accent2 9" xfId="20463" hidden="1"/>
    <cellStyle name="20% - Accent2 9" xfId="20541" hidden="1"/>
    <cellStyle name="20% - Accent2 9" xfId="20636" hidden="1"/>
    <cellStyle name="20% - Accent2 9" xfId="19620" hidden="1"/>
    <cellStyle name="20% - Accent2 9" xfId="19639" hidden="1"/>
    <cellStyle name="20% - Accent2 9" xfId="20919" hidden="1"/>
    <cellStyle name="20% - Accent2 9" xfId="20995" hidden="1"/>
    <cellStyle name="20% - Accent2 9" xfId="21073" hidden="1"/>
    <cellStyle name="20% - Accent2 9" xfId="21256" hidden="1"/>
    <cellStyle name="20% - Accent2 9" xfId="21332" hidden="1"/>
    <cellStyle name="20% - Accent2 9" xfId="21410" hidden="1"/>
    <cellStyle name="20% - Accent2 9" xfId="21593" hidden="1"/>
    <cellStyle name="20% - Accent2 9" xfId="21669" hidden="1"/>
    <cellStyle name="20% - Accent2 9" xfId="16004" hidden="1"/>
    <cellStyle name="20% - Accent2 9" xfId="15930" hidden="1"/>
    <cellStyle name="20% - Accent2 9" xfId="15851" hidden="1"/>
    <cellStyle name="20% - Accent2 9" xfId="15767" hidden="1"/>
    <cellStyle name="20% - Accent2 9" xfId="7999" hidden="1"/>
    <cellStyle name="20% - Accent2 9" xfId="7798" hidden="1"/>
    <cellStyle name="20% - Accent2 9" xfId="7549" hidden="1"/>
    <cellStyle name="20% - Accent2 9" xfId="7056" hidden="1"/>
    <cellStyle name="20% - Accent2 9" xfId="9017" hidden="1"/>
    <cellStyle name="20% - Accent2 9" xfId="8394" hidden="1"/>
    <cellStyle name="20% - Accent2 9" xfId="5316" hidden="1"/>
    <cellStyle name="20% - Accent2 9" xfId="5116" hidden="1"/>
    <cellStyle name="20% - Accent2 9" xfId="5010" hidden="1"/>
    <cellStyle name="20% - Accent2 9" xfId="4682" hidden="1"/>
    <cellStyle name="20% - Accent2 9" xfId="8486" hidden="1"/>
    <cellStyle name="20% - Accent2 9" xfId="8439" hidden="1"/>
    <cellStyle name="20% - Accent2 9" xfId="3076" hidden="1"/>
    <cellStyle name="20% - Accent2 9" xfId="2925" hidden="1"/>
    <cellStyle name="20% - Accent2 9" xfId="2768" hidden="1"/>
    <cellStyle name="20% - Accent2 9" xfId="1562" hidden="1"/>
    <cellStyle name="20% - Accent2 9" xfId="1409" hidden="1"/>
    <cellStyle name="20% - Accent2 9" xfId="1144" hidden="1"/>
    <cellStyle name="20% - Accent2 9" xfId="21737" hidden="1"/>
    <cellStyle name="20% - Accent2 9" xfId="21807" hidden="1"/>
    <cellStyle name="20% - Accent2 9" xfId="22338" hidden="1"/>
    <cellStyle name="20% - Accent2 9" xfId="22412" hidden="1"/>
    <cellStyle name="20% - Accent2 9" xfId="22488" hidden="1"/>
    <cellStyle name="20% - Accent2 9" xfId="22566" hidden="1"/>
    <cellStyle name="20% - Accent2 9" xfId="23151" hidden="1"/>
    <cellStyle name="20% - Accent2 9" xfId="23227" hidden="1"/>
    <cellStyle name="20% - Accent2 9" xfId="23306" hidden="1"/>
    <cellStyle name="20% - Accent2 9" xfId="23419" hidden="1"/>
    <cellStyle name="20% - Accent2 9" xfId="22863" hidden="1"/>
    <cellStyle name="20% - Accent2 9" xfId="23015" hidden="1"/>
    <cellStyle name="20% - Accent2 9" xfId="23746" hidden="1"/>
    <cellStyle name="20% - Accent2 9" xfId="23822" hidden="1"/>
    <cellStyle name="20% - Accent2 9" xfId="23900" hidden="1"/>
    <cellStyle name="20% - Accent2 9" xfId="23995" hidden="1"/>
    <cellStyle name="20% - Accent2 9" xfId="22979" hidden="1"/>
    <cellStyle name="20% - Accent2 9" xfId="22998" hidden="1"/>
    <cellStyle name="20% - Accent2 9" xfId="24278" hidden="1"/>
    <cellStyle name="20% - Accent2 9" xfId="24354" hidden="1"/>
    <cellStyle name="20% - Accent2 9" xfId="24432" hidden="1"/>
    <cellStyle name="20% - Accent2 9" xfId="24615" hidden="1"/>
    <cellStyle name="20% - Accent2 9" xfId="24691" hidden="1"/>
    <cellStyle name="20% - Accent2 9" xfId="24769" hidden="1"/>
    <cellStyle name="20% - Accent2 9" xfId="24952" hidden="1"/>
    <cellStyle name="20% - Accent2 9" xfId="25028" hidden="1"/>
    <cellStyle name="20% - Accent2 9" xfId="25130" hidden="1"/>
    <cellStyle name="20% - Accent2 9" xfId="25204" hidden="1"/>
    <cellStyle name="20% - Accent2 9" xfId="25280" hidden="1"/>
    <cellStyle name="20% - Accent2 9" xfId="25358" hidden="1"/>
    <cellStyle name="20% - Accent2 9" xfId="25943" hidden="1"/>
    <cellStyle name="20% - Accent2 9" xfId="26019" hidden="1"/>
    <cellStyle name="20% - Accent2 9" xfId="26098" hidden="1"/>
    <cellStyle name="20% - Accent2 9" xfId="26211" hidden="1"/>
    <cellStyle name="20% - Accent2 9" xfId="25655" hidden="1"/>
    <cellStyle name="20% - Accent2 9" xfId="25807" hidden="1"/>
    <cellStyle name="20% - Accent2 9" xfId="26538" hidden="1"/>
    <cellStyle name="20% - Accent2 9" xfId="26614" hidden="1"/>
    <cellStyle name="20% - Accent2 9" xfId="26692" hidden="1"/>
    <cellStyle name="20% - Accent2 9" xfId="26787" hidden="1"/>
    <cellStyle name="20% - Accent2 9" xfId="25771" hidden="1"/>
    <cellStyle name="20% - Accent2 9" xfId="25790" hidden="1"/>
    <cellStyle name="20% - Accent2 9" xfId="27070" hidden="1"/>
    <cellStyle name="20% - Accent2 9" xfId="27146" hidden="1"/>
    <cellStyle name="20% - Accent2 9" xfId="27224" hidden="1"/>
    <cellStyle name="20% - Accent2 9" xfId="27407" hidden="1"/>
    <cellStyle name="20% - Accent2 9" xfId="27483" hidden="1"/>
    <cellStyle name="20% - Accent2 9" xfId="27561" hidden="1"/>
    <cellStyle name="20% - Accent2 9" xfId="27744" hidden="1"/>
    <cellStyle name="20% - Accent2 9" xfId="27820" hidden="1"/>
    <cellStyle name="20% - Accent2 9" xfId="22257" hidden="1"/>
    <cellStyle name="20% - Accent2 9" xfId="22183" hidden="1"/>
    <cellStyle name="20% - Accent2 9" xfId="22104" hidden="1"/>
    <cellStyle name="20% - Accent2 9" xfId="22020" hidden="1"/>
    <cellStyle name="20% - Accent2 9" xfId="8906" hidden="1"/>
    <cellStyle name="20% - Accent2 9" xfId="8697" hidden="1"/>
    <cellStyle name="20% - Accent2 9" xfId="8462" hidden="1"/>
    <cellStyle name="20% - Accent2 9" xfId="8067" hidden="1"/>
    <cellStyle name="20% - Accent2 9" xfId="15572" hidden="1"/>
    <cellStyle name="20% - Accent2 9" xfId="9427" hidden="1"/>
    <cellStyle name="20% - Accent2 9" xfId="5870" hidden="1"/>
    <cellStyle name="20% - Accent2 9" xfId="5624" hidden="1"/>
    <cellStyle name="20% - Accent2 9" xfId="5526" hidden="1"/>
    <cellStyle name="20% - Accent2 9" xfId="5103" hidden="1"/>
    <cellStyle name="20% - Accent2 9" xfId="9537" hidden="1"/>
    <cellStyle name="20% - Accent2 9" xfId="9492" hidden="1"/>
    <cellStyle name="20% - Accent2 9" xfId="3388" hidden="1"/>
    <cellStyle name="20% - Accent2 9" xfId="3294" hidden="1"/>
    <cellStyle name="20% - Accent2 9" xfId="3081" hidden="1"/>
    <cellStyle name="20% - Accent2 9" xfId="1687" hidden="1"/>
    <cellStyle name="20% - Accent2 9" xfId="1569" hidden="1"/>
    <cellStyle name="20% - Accent2 9" xfId="1288" hidden="1"/>
    <cellStyle name="20% - Accent2 9" xfId="22297" hidden="1"/>
    <cellStyle name="20% - Accent2 9" xfId="27955" hidden="1"/>
    <cellStyle name="20% - Accent2 9" xfId="28057" hidden="1"/>
    <cellStyle name="20% - Accent2 9" xfId="28131" hidden="1"/>
    <cellStyle name="20% - Accent2 9" xfId="28207" hidden="1"/>
    <cellStyle name="20% - Accent2 9" xfId="28285" hidden="1"/>
    <cellStyle name="20% - Accent2 9" xfId="28870" hidden="1"/>
    <cellStyle name="20% - Accent2 9" xfId="28946" hidden="1"/>
    <cellStyle name="20% - Accent2 9" xfId="29025" hidden="1"/>
    <cellStyle name="20% - Accent2 9" xfId="29138" hidden="1"/>
    <cellStyle name="20% - Accent2 9" xfId="28582" hidden="1"/>
    <cellStyle name="20% - Accent2 9" xfId="28734" hidden="1"/>
    <cellStyle name="20% - Accent2 9" xfId="29465" hidden="1"/>
    <cellStyle name="20% - Accent2 9" xfId="29541" hidden="1"/>
    <cellStyle name="20% - Accent2 9" xfId="29619" hidden="1"/>
    <cellStyle name="20% - Accent2 9" xfId="29714" hidden="1"/>
    <cellStyle name="20% - Accent2 9" xfId="28698" hidden="1"/>
    <cellStyle name="20% - Accent2 9" xfId="28717" hidden="1"/>
    <cellStyle name="20% - Accent2 9" xfId="29997" hidden="1"/>
    <cellStyle name="20% - Accent2 9" xfId="30073" hidden="1"/>
    <cellStyle name="20% - Accent2 9" xfId="30151" hidden="1"/>
    <cellStyle name="20% - Accent2 9" xfId="30334" hidden="1"/>
    <cellStyle name="20% - Accent2 9" xfId="30410" hidden="1"/>
    <cellStyle name="20% - Accent2 9" xfId="30488" hidden="1"/>
    <cellStyle name="20% - Accent2 9" xfId="30671" hidden="1"/>
    <cellStyle name="20% - Accent2 9" xfId="30747" hidden="1"/>
    <cellStyle name="20% - Accent2 9" xfId="30849" hidden="1"/>
    <cellStyle name="20% - Accent2 9" xfId="30923" hidden="1"/>
    <cellStyle name="20% - Accent2 9" xfId="30999" hidden="1"/>
    <cellStyle name="20% - Accent2 9" xfId="31077" hidden="1"/>
    <cellStyle name="20% - Accent2 9" xfId="31662" hidden="1"/>
    <cellStyle name="20% - Accent2 9" xfId="31738" hidden="1"/>
    <cellStyle name="20% - Accent2 9" xfId="31817" hidden="1"/>
    <cellStyle name="20% - Accent2 9" xfId="31930" hidden="1"/>
    <cellStyle name="20% - Accent2 9" xfId="31374" hidden="1"/>
    <cellStyle name="20% - Accent2 9" xfId="31526" hidden="1"/>
    <cellStyle name="20% - Accent2 9" xfId="32257" hidden="1"/>
    <cellStyle name="20% - Accent2 9" xfId="32333" hidden="1"/>
    <cellStyle name="20% - Accent2 9" xfId="32411" hidden="1"/>
    <cellStyle name="20% - Accent2 9" xfId="32506" hidden="1"/>
    <cellStyle name="20% - Accent2 9" xfId="31490" hidden="1"/>
    <cellStyle name="20% - Accent2 9" xfId="31509" hidden="1"/>
    <cellStyle name="20% - Accent2 9" xfId="32789" hidden="1"/>
    <cellStyle name="20% - Accent2 9" xfId="32865" hidden="1"/>
    <cellStyle name="20% - Accent2 9" xfId="32943" hidden="1"/>
    <cellStyle name="20% - Accent2 9" xfId="33126" hidden="1"/>
    <cellStyle name="20% - Accent2 9" xfId="33202" hidden="1"/>
    <cellStyle name="20% - Accent2 9" xfId="33280" hidden="1"/>
    <cellStyle name="20% - Accent2 9" xfId="33463" hidden="1"/>
    <cellStyle name="20% - Accent2 9" xfId="33539" hidden="1"/>
    <cellStyle name="20% - Accent3" xfId="31" builtinId="38" hidden="1"/>
    <cellStyle name="20% - Accent3" xfId="75" builtinId="38" hidden="1" customBuiltin="1"/>
    <cellStyle name="20% - Accent3 10" xfId="170" hidden="1"/>
    <cellStyle name="20% - Accent3 10" xfId="250" hidden="1"/>
    <cellStyle name="20% - Accent3 10" xfId="350" hidden="1"/>
    <cellStyle name="20% - Accent3 10" xfId="684" hidden="1"/>
    <cellStyle name="20% - Accent3 10" xfId="2414" hidden="1"/>
    <cellStyle name="20% - Accent3 10" xfId="2565" hidden="1"/>
    <cellStyle name="20% - Accent3 10" xfId="2755" hidden="1"/>
    <cellStyle name="20% - Accent3 10" xfId="3101" hidden="1"/>
    <cellStyle name="20% - Accent3 10" xfId="2271" hidden="1"/>
    <cellStyle name="20% - Accent3 10" xfId="1891" hidden="1"/>
    <cellStyle name="20% - Accent3 10" xfId="4352" hidden="1"/>
    <cellStyle name="20% - Accent3 10" xfId="4580" hidden="1"/>
    <cellStyle name="20% - Accent3 10" xfId="4744" hidden="1"/>
    <cellStyle name="20% - Accent3 10" xfId="4951" hidden="1"/>
    <cellStyle name="20% - Accent3 10" xfId="2041" hidden="1"/>
    <cellStyle name="20% - Accent3 10" xfId="1938" hidden="1"/>
    <cellStyle name="20% - Accent3 10" xfId="6358" hidden="1"/>
    <cellStyle name="20% - Accent3 10" xfId="6464" hidden="1"/>
    <cellStyle name="20% - Accent3 10" xfId="6661" hidden="1"/>
    <cellStyle name="20% - Accent3 10" xfId="7522" hidden="1"/>
    <cellStyle name="20% - Accent3 10" xfId="7673" hidden="1"/>
    <cellStyle name="20% - Accent3 10" xfId="7851" hidden="1"/>
    <cellStyle name="20% - Accent3 10" xfId="8765" hidden="1"/>
    <cellStyle name="20% - Accent3 10" xfId="8942" hidden="1"/>
    <cellStyle name="20% - Accent3 10" xfId="9861" hidden="1"/>
    <cellStyle name="20% - Accent3 10" xfId="9935" hidden="1"/>
    <cellStyle name="20% - Accent3 10" xfId="10011" hidden="1"/>
    <cellStyle name="20% - Accent3 10" xfId="10089" hidden="1"/>
    <cellStyle name="20% - Accent3 10" xfId="10674" hidden="1"/>
    <cellStyle name="20% - Accent3 10" xfId="10750" hidden="1"/>
    <cellStyle name="20% - Accent3 10" xfId="10829" hidden="1"/>
    <cellStyle name="20% - Accent3 10" xfId="10924" hidden="1"/>
    <cellStyle name="20% - Accent3 10" xfId="10610" hidden="1"/>
    <cellStyle name="20% - Accent3 10" xfId="10463" hidden="1"/>
    <cellStyle name="20% - Accent3 10" xfId="11269" hidden="1"/>
    <cellStyle name="20% - Accent3 10" xfId="11345" hidden="1"/>
    <cellStyle name="20% - Accent3 10" xfId="11423" hidden="1"/>
    <cellStyle name="20% - Accent3 10" xfId="11502" hidden="1"/>
    <cellStyle name="20% - Accent3 10" xfId="10507" hidden="1"/>
    <cellStyle name="20% - Accent3 10" xfId="10478" hidden="1"/>
    <cellStyle name="20% - Accent3 10" xfId="11801" hidden="1"/>
    <cellStyle name="20% - Accent3 10" xfId="11877" hidden="1"/>
    <cellStyle name="20% - Accent3 10" xfId="11955" hidden="1"/>
    <cellStyle name="20% - Accent3 10" xfId="12138" hidden="1"/>
    <cellStyle name="20% - Accent3 10" xfId="12214" hidden="1"/>
    <cellStyle name="20% - Accent3 10" xfId="12292" hidden="1"/>
    <cellStyle name="20% - Accent3 10" xfId="12475" hidden="1"/>
    <cellStyle name="20% - Accent3 10" xfId="12551" hidden="1"/>
    <cellStyle name="20% - Accent3 10" xfId="12653" hidden="1"/>
    <cellStyle name="20% - Accent3 10" xfId="12727" hidden="1"/>
    <cellStyle name="20% - Accent3 10" xfId="12803" hidden="1"/>
    <cellStyle name="20% - Accent3 10" xfId="12881" hidden="1"/>
    <cellStyle name="20% - Accent3 10" xfId="13466" hidden="1"/>
    <cellStyle name="20% - Accent3 10" xfId="13542" hidden="1"/>
    <cellStyle name="20% - Accent3 10" xfId="13621" hidden="1"/>
    <cellStyle name="20% - Accent3 10" xfId="13716" hidden="1"/>
    <cellStyle name="20% - Accent3 10" xfId="13402" hidden="1"/>
    <cellStyle name="20% - Accent3 10" xfId="13255" hidden="1"/>
    <cellStyle name="20% - Accent3 10" xfId="14061" hidden="1"/>
    <cellStyle name="20% - Accent3 10" xfId="14137" hidden="1"/>
    <cellStyle name="20% - Accent3 10" xfId="14215" hidden="1"/>
    <cellStyle name="20% - Accent3 10" xfId="14294" hidden="1"/>
    <cellStyle name="20% - Accent3 10" xfId="13299" hidden="1"/>
    <cellStyle name="20% - Accent3 10" xfId="13270" hidden="1"/>
    <cellStyle name="20% - Accent3 10" xfId="14593" hidden="1"/>
    <cellStyle name="20% - Accent3 10" xfId="14669" hidden="1"/>
    <cellStyle name="20% - Accent3 10" xfId="14747" hidden="1"/>
    <cellStyle name="20% - Accent3 10" xfId="14930" hidden="1"/>
    <cellStyle name="20% - Accent3 10" xfId="15006" hidden="1"/>
    <cellStyle name="20% - Accent3 10" xfId="15084" hidden="1"/>
    <cellStyle name="20% - Accent3 10" xfId="15267" hidden="1"/>
    <cellStyle name="20% - Accent3 10" xfId="15343" hidden="1"/>
    <cellStyle name="20% - Accent3 10" xfId="9594" hidden="1"/>
    <cellStyle name="20% - Accent3 10" xfId="9483" hidden="1"/>
    <cellStyle name="20% - Accent3 10" xfId="9366" hidden="1"/>
    <cellStyle name="20% - Accent3 10" xfId="9257" hidden="1"/>
    <cellStyle name="20% - Accent3 10" xfId="6996" hidden="1"/>
    <cellStyle name="20% - Accent3 10" xfId="6910" hidden="1"/>
    <cellStyle name="20% - Accent3 10" xfId="6816" hidden="1"/>
    <cellStyle name="20% - Accent3 10" xfId="6412" hidden="1"/>
    <cellStyle name="20% - Accent3 10" xfId="7198" hidden="1"/>
    <cellStyle name="20% - Accent3 10" xfId="7735" hidden="1"/>
    <cellStyle name="20% - Accent3 10" xfId="4858" hidden="1"/>
    <cellStyle name="20% - Accent3 10" xfId="4688" hidden="1"/>
    <cellStyle name="20% - Accent3 10" xfId="4466" hidden="1"/>
    <cellStyle name="20% - Accent3 10" xfId="4249" hidden="1"/>
    <cellStyle name="20% - Accent3 10" xfId="7500" hidden="1"/>
    <cellStyle name="20% - Accent3 10" xfId="7630" hidden="1"/>
    <cellStyle name="20% - Accent3 10" xfId="2740" hidden="1"/>
    <cellStyle name="20% - Accent3 10" xfId="2519" hidden="1"/>
    <cellStyle name="20% - Accent3 10" xfId="2345" hidden="1"/>
    <cellStyle name="20% - Accent3 10" xfId="1385" hidden="1"/>
    <cellStyle name="20% - Accent3 10" xfId="1196" hidden="1"/>
    <cellStyle name="20% - Accent3 10" xfId="960" hidden="1"/>
    <cellStyle name="20% - Accent3 10" xfId="15404" hidden="1"/>
    <cellStyle name="20% - Accent3 10" xfId="15516" hidden="1"/>
    <cellStyle name="20% - Accent3 10" xfId="16202" hidden="1"/>
    <cellStyle name="20% - Accent3 10" xfId="16276" hidden="1"/>
    <cellStyle name="20% - Accent3 10" xfId="16352" hidden="1"/>
    <cellStyle name="20% - Accent3 10" xfId="16430" hidden="1"/>
    <cellStyle name="20% - Accent3 10" xfId="17015" hidden="1"/>
    <cellStyle name="20% - Accent3 10" xfId="17091" hidden="1"/>
    <cellStyle name="20% - Accent3 10" xfId="17170" hidden="1"/>
    <cellStyle name="20% - Accent3 10" xfId="17265" hidden="1"/>
    <cellStyle name="20% - Accent3 10" xfId="16951" hidden="1"/>
    <cellStyle name="20% - Accent3 10" xfId="16804" hidden="1"/>
    <cellStyle name="20% - Accent3 10" xfId="17610" hidden="1"/>
    <cellStyle name="20% - Accent3 10" xfId="17686" hidden="1"/>
    <cellStyle name="20% - Accent3 10" xfId="17764" hidden="1"/>
    <cellStyle name="20% - Accent3 10" xfId="17843" hidden="1"/>
    <cellStyle name="20% - Accent3 10" xfId="16848" hidden="1"/>
    <cellStyle name="20% - Accent3 10" xfId="16819" hidden="1"/>
    <cellStyle name="20% - Accent3 10" xfId="18142" hidden="1"/>
    <cellStyle name="20% - Accent3 10" xfId="18218" hidden="1"/>
    <cellStyle name="20% - Accent3 10" xfId="18296" hidden="1"/>
    <cellStyle name="20% - Accent3 10" xfId="18479" hidden="1"/>
    <cellStyle name="20% - Accent3 10" xfId="18555" hidden="1"/>
    <cellStyle name="20% - Accent3 10" xfId="18633" hidden="1"/>
    <cellStyle name="20% - Accent3 10" xfId="18816" hidden="1"/>
    <cellStyle name="20% - Accent3 10" xfId="18892" hidden="1"/>
    <cellStyle name="20% - Accent3 10" xfId="18994" hidden="1"/>
    <cellStyle name="20% - Accent3 10" xfId="19068" hidden="1"/>
    <cellStyle name="20% - Accent3 10" xfId="19144" hidden="1"/>
    <cellStyle name="20% - Accent3 10" xfId="19222" hidden="1"/>
    <cellStyle name="20% - Accent3 10" xfId="19807" hidden="1"/>
    <cellStyle name="20% - Accent3 10" xfId="19883" hidden="1"/>
    <cellStyle name="20% - Accent3 10" xfId="19962" hidden="1"/>
    <cellStyle name="20% - Accent3 10" xfId="20057" hidden="1"/>
    <cellStyle name="20% - Accent3 10" xfId="19743" hidden="1"/>
    <cellStyle name="20% - Accent3 10" xfId="19596" hidden="1"/>
    <cellStyle name="20% - Accent3 10" xfId="20402" hidden="1"/>
    <cellStyle name="20% - Accent3 10" xfId="20478" hidden="1"/>
    <cellStyle name="20% - Accent3 10" xfId="20556" hidden="1"/>
    <cellStyle name="20% - Accent3 10" xfId="20635" hidden="1"/>
    <cellStyle name="20% - Accent3 10" xfId="19640" hidden="1"/>
    <cellStyle name="20% - Accent3 10" xfId="19611" hidden="1"/>
    <cellStyle name="20% - Accent3 10" xfId="20934" hidden="1"/>
    <cellStyle name="20% - Accent3 10" xfId="21010" hidden="1"/>
    <cellStyle name="20% - Accent3 10" xfId="21088" hidden="1"/>
    <cellStyle name="20% - Accent3 10" xfId="21271" hidden="1"/>
    <cellStyle name="20% - Accent3 10" xfId="21347" hidden="1"/>
    <cellStyle name="20% - Accent3 10" xfId="21425" hidden="1"/>
    <cellStyle name="20% - Accent3 10" xfId="21608" hidden="1"/>
    <cellStyle name="20% - Accent3 10" xfId="21684" hidden="1"/>
    <cellStyle name="20% - Accent3 10" xfId="15989" hidden="1"/>
    <cellStyle name="20% - Accent3 10" xfId="15915" hidden="1"/>
    <cellStyle name="20% - Accent3 10" xfId="15835" hidden="1"/>
    <cellStyle name="20% - Accent3 10" xfId="15752" hidden="1"/>
    <cellStyle name="20% - Accent3 10" xfId="7976" hidden="1"/>
    <cellStyle name="20% - Accent3 10" xfId="7774" hidden="1"/>
    <cellStyle name="20% - Accent3 10" xfId="7507" hidden="1"/>
    <cellStyle name="20% - Accent3 10" xfId="7059" hidden="1"/>
    <cellStyle name="20% - Accent3 10" xfId="8136" hidden="1"/>
    <cellStyle name="20% - Accent3 10" xfId="8542" hidden="1"/>
    <cellStyle name="20% - Accent3 10" xfId="5297" hidden="1"/>
    <cellStyle name="20% - Accent3 10" xfId="5096" hidden="1"/>
    <cellStyle name="20% - Accent3 10" xfId="4993" hidden="1"/>
    <cellStyle name="20% - Accent3 10" xfId="4712" hidden="1"/>
    <cellStyle name="20% - Accent3 10" xfId="8433" hidden="1"/>
    <cellStyle name="20% - Accent3 10" xfId="8500" hidden="1"/>
    <cellStyle name="20% - Accent3 10" xfId="3049" hidden="1"/>
    <cellStyle name="20% - Accent3 10" xfId="2907" hidden="1"/>
    <cellStyle name="20% - Accent3 10" xfId="2711" hidden="1"/>
    <cellStyle name="20% - Accent3 10" xfId="1537" hidden="1"/>
    <cellStyle name="20% - Accent3 10" xfId="1372" hidden="1"/>
    <cellStyle name="20% - Accent3 10" xfId="1118" hidden="1"/>
    <cellStyle name="20% - Accent3 10" xfId="21744" hidden="1"/>
    <cellStyle name="20% - Accent3 10" xfId="21823" hidden="1"/>
    <cellStyle name="20% - Accent3 10" xfId="22353" hidden="1"/>
    <cellStyle name="20% - Accent3 10" xfId="22427" hidden="1"/>
    <cellStyle name="20% - Accent3 10" xfId="22503" hidden="1"/>
    <cellStyle name="20% - Accent3 10" xfId="22581" hidden="1"/>
    <cellStyle name="20% - Accent3 10" xfId="23166" hidden="1"/>
    <cellStyle name="20% - Accent3 10" xfId="23242" hidden="1"/>
    <cellStyle name="20% - Accent3 10" xfId="23321" hidden="1"/>
    <cellStyle name="20% - Accent3 10" xfId="23416" hidden="1"/>
    <cellStyle name="20% - Accent3 10" xfId="23102" hidden="1"/>
    <cellStyle name="20% - Accent3 10" xfId="22955" hidden="1"/>
    <cellStyle name="20% - Accent3 10" xfId="23761" hidden="1"/>
    <cellStyle name="20% - Accent3 10" xfId="23837" hidden="1"/>
    <cellStyle name="20% - Accent3 10" xfId="23915" hidden="1"/>
    <cellStyle name="20% - Accent3 10" xfId="23994" hidden="1"/>
    <cellStyle name="20% - Accent3 10" xfId="22999" hidden="1"/>
    <cellStyle name="20% - Accent3 10" xfId="22970" hidden="1"/>
    <cellStyle name="20% - Accent3 10" xfId="24293" hidden="1"/>
    <cellStyle name="20% - Accent3 10" xfId="24369" hidden="1"/>
    <cellStyle name="20% - Accent3 10" xfId="24447" hidden="1"/>
    <cellStyle name="20% - Accent3 10" xfId="24630" hidden="1"/>
    <cellStyle name="20% - Accent3 10" xfId="24706" hidden="1"/>
    <cellStyle name="20% - Accent3 10" xfId="24784" hidden="1"/>
    <cellStyle name="20% - Accent3 10" xfId="24967" hidden="1"/>
    <cellStyle name="20% - Accent3 10" xfId="25043" hidden="1"/>
    <cellStyle name="20% - Accent3 10" xfId="25145" hidden="1"/>
    <cellStyle name="20% - Accent3 10" xfId="25219" hidden="1"/>
    <cellStyle name="20% - Accent3 10" xfId="25295" hidden="1"/>
    <cellStyle name="20% - Accent3 10" xfId="25373" hidden="1"/>
    <cellStyle name="20% - Accent3 10" xfId="25958" hidden="1"/>
    <cellStyle name="20% - Accent3 10" xfId="26034" hidden="1"/>
    <cellStyle name="20% - Accent3 10" xfId="26113" hidden="1"/>
    <cellStyle name="20% - Accent3 10" xfId="26208" hidden="1"/>
    <cellStyle name="20% - Accent3 10" xfId="25894" hidden="1"/>
    <cellStyle name="20% - Accent3 10" xfId="25747" hidden="1"/>
    <cellStyle name="20% - Accent3 10" xfId="26553" hidden="1"/>
    <cellStyle name="20% - Accent3 10" xfId="26629" hidden="1"/>
    <cellStyle name="20% - Accent3 10" xfId="26707" hidden="1"/>
    <cellStyle name="20% - Accent3 10" xfId="26786" hidden="1"/>
    <cellStyle name="20% - Accent3 10" xfId="25791" hidden="1"/>
    <cellStyle name="20% - Accent3 10" xfId="25762" hidden="1"/>
    <cellStyle name="20% - Accent3 10" xfId="27085" hidden="1"/>
    <cellStyle name="20% - Accent3 10" xfId="27161" hidden="1"/>
    <cellStyle name="20% - Accent3 10" xfId="27239" hidden="1"/>
    <cellStyle name="20% - Accent3 10" xfId="27422" hidden="1"/>
    <cellStyle name="20% - Accent3 10" xfId="27498" hidden="1"/>
    <cellStyle name="20% - Accent3 10" xfId="27576" hidden="1"/>
    <cellStyle name="20% - Accent3 10" xfId="27759" hidden="1"/>
    <cellStyle name="20% - Accent3 10" xfId="27835" hidden="1"/>
    <cellStyle name="20% - Accent3 10" xfId="22242" hidden="1"/>
    <cellStyle name="20% - Accent3 10" xfId="22168" hidden="1"/>
    <cellStyle name="20% - Accent3 10" xfId="22088" hidden="1"/>
    <cellStyle name="20% - Accent3 10" xfId="22005" hidden="1"/>
    <cellStyle name="20% - Accent3 10" xfId="8879" hidden="1"/>
    <cellStyle name="20% - Accent3 10" xfId="8676" hidden="1"/>
    <cellStyle name="20% - Accent3 10" xfId="8442" hidden="1"/>
    <cellStyle name="20% - Accent3 10" xfId="8077" hidden="1"/>
    <cellStyle name="20% - Accent3 10" xfId="9071" hidden="1"/>
    <cellStyle name="20% - Accent3 10" xfId="9654" hidden="1"/>
    <cellStyle name="20% - Accent3 10" xfId="5853" hidden="1"/>
    <cellStyle name="20% - Accent3 10" xfId="5605" hidden="1"/>
    <cellStyle name="20% - Accent3 10" xfId="5509" hidden="1"/>
    <cellStyle name="20% - Accent3 10" xfId="5122" hidden="1"/>
    <cellStyle name="20% - Accent3 10" xfId="9491" hidden="1"/>
    <cellStyle name="20% - Accent3 10" xfId="9567" hidden="1"/>
    <cellStyle name="20% - Accent3 10" xfId="3370" hidden="1"/>
    <cellStyle name="20% - Accent3 10" xfId="3176" hidden="1"/>
    <cellStyle name="20% - Accent3 10" xfId="3033" hidden="1"/>
    <cellStyle name="20% - Accent3 10" xfId="1663" hidden="1"/>
    <cellStyle name="20% - Accent3 10" xfId="1532" hidden="1"/>
    <cellStyle name="20% - Accent3 10" xfId="1262" hidden="1"/>
    <cellStyle name="20% - Accent3 10" xfId="27894" hidden="1"/>
    <cellStyle name="20% - Accent3 10" xfId="27970" hidden="1"/>
    <cellStyle name="20% - Accent3 10" xfId="28072" hidden="1"/>
    <cellStyle name="20% - Accent3 10" xfId="28146" hidden="1"/>
    <cellStyle name="20% - Accent3 10" xfId="28222" hidden="1"/>
    <cellStyle name="20% - Accent3 10" xfId="28300" hidden="1"/>
    <cellStyle name="20% - Accent3 10" xfId="28885" hidden="1"/>
    <cellStyle name="20% - Accent3 10" xfId="28961" hidden="1"/>
    <cellStyle name="20% - Accent3 10" xfId="29040" hidden="1"/>
    <cellStyle name="20% - Accent3 10" xfId="29135" hidden="1"/>
    <cellStyle name="20% - Accent3 10" xfId="28821" hidden="1"/>
    <cellStyle name="20% - Accent3 10" xfId="28674" hidden="1"/>
    <cellStyle name="20% - Accent3 10" xfId="29480" hidden="1"/>
    <cellStyle name="20% - Accent3 10" xfId="29556" hidden="1"/>
    <cellStyle name="20% - Accent3 10" xfId="29634" hidden="1"/>
    <cellStyle name="20% - Accent3 10" xfId="29713" hidden="1"/>
    <cellStyle name="20% - Accent3 10" xfId="28718" hidden="1"/>
    <cellStyle name="20% - Accent3 10" xfId="28689" hidden="1"/>
    <cellStyle name="20% - Accent3 10" xfId="30012" hidden="1"/>
    <cellStyle name="20% - Accent3 10" xfId="30088" hidden="1"/>
    <cellStyle name="20% - Accent3 10" xfId="30166" hidden="1"/>
    <cellStyle name="20% - Accent3 10" xfId="30349" hidden="1"/>
    <cellStyle name="20% - Accent3 10" xfId="30425" hidden="1"/>
    <cellStyle name="20% - Accent3 10" xfId="30503" hidden="1"/>
    <cellStyle name="20% - Accent3 10" xfId="30686" hidden="1"/>
    <cellStyle name="20% - Accent3 10" xfId="30762" hidden="1"/>
    <cellStyle name="20% - Accent3 10" xfId="30864" hidden="1"/>
    <cellStyle name="20% - Accent3 10" xfId="30938" hidden="1"/>
    <cellStyle name="20% - Accent3 10" xfId="31014" hidden="1"/>
    <cellStyle name="20% - Accent3 10" xfId="31092" hidden="1"/>
    <cellStyle name="20% - Accent3 10" xfId="31677" hidden="1"/>
    <cellStyle name="20% - Accent3 10" xfId="31753" hidden="1"/>
    <cellStyle name="20% - Accent3 10" xfId="31832" hidden="1"/>
    <cellStyle name="20% - Accent3 10" xfId="31927" hidden="1"/>
    <cellStyle name="20% - Accent3 10" xfId="31613" hidden="1"/>
    <cellStyle name="20% - Accent3 10" xfId="31466" hidden="1"/>
    <cellStyle name="20% - Accent3 10" xfId="32272" hidden="1"/>
    <cellStyle name="20% - Accent3 10" xfId="32348" hidden="1"/>
    <cellStyle name="20% - Accent3 10" xfId="32426" hidden="1"/>
    <cellStyle name="20% - Accent3 10" xfId="32505" hidden="1"/>
    <cellStyle name="20% - Accent3 10" xfId="31510" hidden="1"/>
    <cellStyle name="20% - Accent3 10" xfId="31481" hidden="1"/>
    <cellStyle name="20% - Accent3 10" xfId="32804" hidden="1"/>
    <cellStyle name="20% - Accent3 10" xfId="32880" hidden="1"/>
    <cellStyle name="20% - Accent3 10" xfId="32958" hidden="1"/>
    <cellStyle name="20% - Accent3 10" xfId="33141" hidden="1"/>
    <cellStyle name="20% - Accent3 10" xfId="33217" hidden="1"/>
    <cellStyle name="20% - Accent3 10" xfId="33295" hidden="1"/>
    <cellStyle name="20% - Accent3 10" xfId="33478" hidden="1"/>
    <cellStyle name="20% - Accent3 10" xfId="33554" hidden="1"/>
    <cellStyle name="20% - Accent3 11" xfId="183" hidden="1"/>
    <cellStyle name="20% - Accent3 11" xfId="263" hidden="1"/>
    <cellStyle name="20% - Accent3 11" xfId="386" hidden="1"/>
    <cellStyle name="20% - Accent3 11" xfId="713" hidden="1"/>
    <cellStyle name="20% - Accent3 11" xfId="2430" hidden="1"/>
    <cellStyle name="20% - Accent3 11" xfId="2582" hidden="1"/>
    <cellStyle name="20% - Accent3 11" xfId="2783" hidden="1"/>
    <cellStyle name="20% - Accent3 11" xfId="2886" hidden="1"/>
    <cellStyle name="20% - Accent3 11" xfId="2235" hidden="1"/>
    <cellStyle name="20% - Accent3 11" xfId="1904" hidden="1"/>
    <cellStyle name="20% - Accent3 11" xfId="4388" hidden="1"/>
    <cellStyle name="20% - Accent3 11" xfId="4599" hidden="1"/>
    <cellStyle name="20% - Accent3 11" xfId="4763" hidden="1"/>
    <cellStyle name="20% - Accent3 11" xfId="4866" hidden="1"/>
    <cellStyle name="20% - Accent3 11" xfId="4309" hidden="1"/>
    <cellStyle name="20% - Accent3 11" xfId="2282" hidden="1"/>
    <cellStyle name="20% - Accent3 11" xfId="6373" hidden="1"/>
    <cellStyle name="20% - Accent3 11" xfId="6478" hidden="1"/>
    <cellStyle name="20% - Accent3 11" xfId="6675" hidden="1"/>
    <cellStyle name="20% - Accent3 11" xfId="7547" hidden="1"/>
    <cellStyle name="20% - Accent3 11" xfId="7690" hidden="1"/>
    <cellStyle name="20% - Accent3 11" xfId="7869" hidden="1"/>
    <cellStyle name="20% - Accent3 11" xfId="8785" hidden="1"/>
    <cellStyle name="20% - Accent3 11" xfId="8959" hidden="1"/>
    <cellStyle name="20% - Accent3 11" xfId="9874" hidden="1"/>
    <cellStyle name="20% - Accent3 11" xfId="9948" hidden="1"/>
    <cellStyle name="20% - Accent3 11" xfId="10024" hidden="1"/>
    <cellStyle name="20% - Accent3 11" xfId="10102" hidden="1"/>
    <cellStyle name="20% - Accent3 11" xfId="10687" hidden="1"/>
    <cellStyle name="20% - Accent3 11" xfId="10763" hidden="1"/>
    <cellStyle name="20% - Accent3 11" xfId="10842" hidden="1"/>
    <cellStyle name="20% - Accent3 11" xfId="10886" hidden="1"/>
    <cellStyle name="20% - Accent3 11" xfId="10584" hidden="1"/>
    <cellStyle name="20% - Accent3 11" xfId="10473" hidden="1"/>
    <cellStyle name="20% - Accent3 11" xfId="11282" hidden="1"/>
    <cellStyle name="20% - Accent3 11" xfId="11358" hidden="1"/>
    <cellStyle name="20% - Accent3 11" xfId="11436" hidden="1"/>
    <cellStyle name="20% - Accent3 11" xfId="11474" hidden="1"/>
    <cellStyle name="20% - Accent3 11" xfId="11248" hidden="1"/>
    <cellStyle name="20% - Accent3 11" xfId="10620" hidden="1"/>
    <cellStyle name="20% - Accent3 11" xfId="11814" hidden="1"/>
    <cellStyle name="20% - Accent3 11" xfId="11890" hidden="1"/>
    <cellStyle name="20% - Accent3 11" xfId="11968" hidden="1"/>
    <cellStyle name="20% - Accent3 11" xfId="12151" hidden="1"/>
    <cellStyle name="20% - Accent3 11" xfId="12227" hidden="1"/>
    <cellStyle name="20% - Accent3 11" xfId="12305" hidden="1"/>
    <cellStyle name="20% - Accent3 11" xfId="12488" hidden="1"/>
    <cellStyle name="20% - Accent3 11" xfId="12564" hidden="1"/>
    <cellStyle name="20% - Accent3 11" xfId="12666" hidden="1"/>
    <cellStyle name="20% - Accent3 11" xfId="12740" hidden="1"/>
    <cellStyle name="20% - Accent3 11" xfId="12816" hidden="1"/>
    <cellStyle name="20% - Accent3 11" xfId="12894" hidden="1"/>
    <cellStyle name="20% - Accent3 11" xfId="13479" hidden="1"/>
    <cellStyle name="20% - Accent3 11" xfId="13555" hidden="1"/>
    <cellStyle name="20% - Accent3 11" xfId="13634" hidden="1"/>
    <cellStyle name="20% - Accent3 11" xfId="13678" hidden="1"/>
    <cellStyle name="20% - Accent3 11" xfId="13376" hidden="1"/>
    <cellStyle name="20% - Accent3 11" xfId="13265" hidden="1"/>
    <cellStyle name="20% - Accent3 11" xfId="14074" hidden="1"/>
    <cellStyle name="20% - Accent3 11" xfId="14150" hidden="1"/>
    <cellStyle name="20% - Accent3 11" xfId="14228" hidden="1"/>
    <cellStyle name="20% - Accent3 11" xfId="14266" hidden="1"/>
    <cellStyle name="20% - Accent3 11" xfId="14040" hidden="1"/>
    <cellStyle name="20% - Accent3 11" xfId="13412" hidden="1"/>
    <cellStyle name="20% - Accent3 11" xfId="14606" hidden="1"/>
    <cellStyle name="20% - Accent3 11" xfId="14682" hidden="1"/>
    <cellStyle name="20% - Accent3 11" xfId="14760" hidden="1"/>
    <cellStyle name="20% - Accent3 11" xfId="14943" hidden="1"/>
    <cellStyle name="20% - Accent3 11" xfId="15019" hidden="1"/>
    <cellStyle name="20% - Accent3 11" xfId="15097" hidden="1"/>
    <cellStyle name="20% - Accent3 11" xfId="15280" hidden="1"/>
    <cellStyle name="20% - Accent3 11" xfId="15356" hidden="1"/>
    <cellStyle name="20% - Accent3 11" xfId="9577" hidden="1"/>
    <cellStyle name="20% - Accent3 11" xfId="9463" hidden="1"/>
    <cellStyle name="20% - Accent3 11" xfId="9352" hidden="1"/>
    <cellStyle name="20% - Accent3 11" xfId="9236" hidden="1"/>
    <cellStyle name="20% - Accent3 11" xfId="6983" hidden="1"/>
    <cellStyle name="20% - Accent3 11" xfId="6896" hidden="1"/>
    <cellStyle name="20% - Accent3 11" xfId="6802" hidden="1"/>
    <cellStyle name="20% - Accent3 11" xfId="6710" hidden="1"/>
    <cellStyle name="20% - Accent3 11" xfId="7332" hidden="1"/>
    <cellStyle name="20% - Accent3 11" xfId="7645" hidden="1"/>
    <cellStyle name="20% - Accent3 11" xfId="4837" hidden="1"/>
    <cellStyle name="20% - Accent3 11" xfId="4671" hidden="1"/>
    <cellStyle name="20% - Accent3 11" xfId="4410" hidden="1"/>
    <cellStyle name="20% - Accent3 11" xfId="4292" hidden="1"/>
    <cellStyle name="20% - Accent3 11" xfId="4899" hidden="1"/>
    <cellStyle name="20% - Accent3 11" xfId="7184" hidden="1"/>
    <cellStyle name="20% - Accent3 11" xfId="2704" hidden="1"/>
    <cellStyle name="20% - Accent3 11" xfId="2503" hidden="1"/>
    <cellStyle name="20% - Accent3 11" xfId="2324" hidden="1"/>
    <cellStyle name="20% - Accent3 11" xfId="1361" hidden="1"/>
    <cellStyle name="20% - Accent3 11" xfId="1178" hidden="1"/>
    <cellStyle name="20% - Accent3 11" xfId="935" hidden="1"/>
    <cellStyle name="20% - Accent3 11" xfId="15422" hidden="1"/>
    <cellStyle name="20% - Accent3 11" xfId="15531" hidden="1"/>
    <cellStyle name="20% - Accent3 11" xfId="16215" hidden="1"/>
    <cellStyle name="20% - Accent3 11" xfId="16289" hidden="1"/>
    <cellStyle name="20% - Accent3 11" xfId="16365" hidden="1"/>
    <cellStyle name="20% - Accent3 11" xfId="16443" hidden="1"/>
    <cellStyle name="20% - Accent3 11" xfId="17028" hidden="1"/>
    <cellStyle name="20% - Accent3 11" xfId="17104" hidden="1"/>
    <cellStyle name="20% - Accent3 11" xfId="17183" hidden="1"/>
    <cellStyle name="20% - Accent3 11" xfId="17227" hidden="1"/>
    <cellStyle name="20% - Accent3 11" xfId="16925" hidden="1"/>
    <cellStyle name="20% - Accent3 11" xfId="16814" hidden="1"/>
    <cellStyle name="20% - Accent3 11" xfId="17623" hidden="1"/>
    <cellStyle name="20% - Accent3 11" xfId="17699" hidden="1"/>
    <cellStyle name="20% - Accent3 11" xfId="17777" hidden="1"/>
    <cellStyle name="20% - Accent3 11" xfId="17815" hidden="1"/>
    <cellStyle name="20% - Accent3 11" xfId="17589" hidden="1"/>
    <cellStyle name="20% - Accent3 11" xfId="16961" hidden="1"/>
    <cellStyle name="20% - Accent3 11" xfId="18155" hidden="1"/>
    <cellStyle name="20% - Accent3 11" xfId="18231" hidden="1"/>
    <cellStyle name="20% - Accent3 11" xfId="18309" hidden="1"/>
    <cellStyle name="20% - Accent3 11" xfId="18492" hidden="1"/>
    <cellStyle name="20% - Accent3 11" xfId="18568" hidden="1"/>
    <cellStyle name="20% - Accent3 11" xfId="18646" hidden="1"/>
    <cellStyle name="20% - Accent3 11" xfId="18829" hidden="1"/>
    <cellStyle name="20% - Accent3 11" xfId="18905" hidden="1"/>
    <cellStyle name="20% - Accent3 11" xfId="19007" hidden="1"/>
    <cellStyle name="20% - Accent3 11" xfId="19081" hidden="1"/>
    <cellStyle name="20% - Accent3 11" xfId="19157" hidden="1"/>
    <cellStyle name="20% - Accent3 11" xfId="19235" hidden="1"/>
    <cellStyle name="20% - Accent3 11" xfId="19820" hidden="1"/>
    <cellStyle name="20% - Accent3 11" xfId="19896" hidden="1"/>
    <cellStyle name="20% - Accent3 11" xfId="19975" hidden="1"/>
    <cellStyle name="20% - Accent3 11" xfId="20019" hidden="1"/>
    <cellStyle name="20% - Accent3 11" xfId="19717" hidden="1"/>
    <cellStyle name="20% - Accent3 11" xfId="19606" hidden="1"/>
    <cellStyle name="20% - Accent3 11" xfId="20415" hidden="1"/>
    <cellStyle name="20% - Accent3 11" xfId="20491" hidden="1"/>
    <cellStyle name="20% - Accent3 11" xfId="20569" hidden="1"/>
    <cellStyle name="20% - Accent3 11" xfId="20607" hidden="1"/>
    <cellStyle name="20% - Accent3 11" xfId="20381" hidden="1"/>
    <cellStyle name="20% - Accent3 11" xfId="19753" hidden="1"/>
    <cellStyle name="20% - Accent3 11" xfId="20947" hidden="1"/>
    <cellStyle name="20% - Accent3 11" xfId="21023" hidden="1"/>
    <cellStyle name="20% - Accent3 11" xfId="21101" hidden="1"/>
    <cellStyle name="20% - Accent3 11" xfId="21284" hidden="1"/>
    <cellStyle name="20% - Accent3 11" xfId="21360" hidden="1"/>
    <cellStyle name="20% - Accent3 11" xfId="21438" hidden="1"/>
    <cellStyle name="20% - Accent3 11" xfId="21621" hidden="1"/>
    <cellStyle name="20% - Accent3 11" xfId="21697" hidden="1"/>
    <cellStyle name="20% - Accent3 11" xfId="15976" hidden="1"/>
    <cellStyle name="20% - Accent3 11" xfId="15902" hidden="1"/>
    <cellStyle name="20% - Accent3 11" xfId="15821" hidden="1"/>
    <cellStyle name="20% - Accent3 11" xfId="15736" hidden="1"/>
    <cellStyle name="20% - Accent3 11" xfId="7955" hidden="1"/>
    <cellStyle name="20% - Accent3 11" xfId="7751" hidden="1"/>
    <cellStyle name="20% - Accent3 11" xfId="7470" hidden="1"/>
    <cellStyle name="20% - Accent3 11" xfId="7380" hidden="1"/>
    <cellStyle name="20% - Accent3 11" xfId="8184" hidden="1"/>
    <cellStyle name="20% - Accent3 11" xfId="8509" hidden="1"/>
    <cellStyle name="20% - Accent3 11" xfId="5284" hidden="1"/>
    <cellStyle name="20% - Accent3 11" xfId="5083" hidden="1"/>
    <cellStyle name="20% - Accent3 11" xfId="4976" hidden="1"/>
    <cellStyle name="20% - Accent3 11" xfId="4915" hidden="1"/>
    <cellStyle name="20% - Accent3 11" xfId="5330" hidden="1"/>
    <cellStyle name="20% - Accent3 11" xfId="8113" hidden="1"/>
    <cellStyle name="20% - Accent3 11" xfId="3019" hidden="1"/>
    <cellStyle name="20% - Accent3 11" xfId="2890" hidden="1"/>
    <cellStyle name="20% - Accent3 11" xfId="2662" hidden="1"/>
    <cellStyle name="20% - Accent3 11" xfId="1515" hidden="1"/>
    <cellStyle name="20% - Accent3 11" xfId="1331" hidden="1"/>
    <cellStyle name="20% - Accent3 11" xfId="1101" hidden="1"/>
    <cellStyle name="20% - Accent3 11" xfId="21757" hidden="1"/>
    <cellStyle name="20% - Accent3 11" xfId="21837" hidden="1"/>
    <cellStyle name="20% - Accent3 11" xfId="22366" hidden="1"/>
    <cellStyle name="20% - Accent3 11" xfId="22440" hidden="1"/>
    <cellStyle name="20% - Accent3 11" xfId="22516" hidden="1"/>
    <cellStyle name="20% - Accent3 11" xfId="22594" hidden="1"/>
    <cellStyle name="20% - Accent3 11" xfId="23179" hidden="1"/>
    <cellStyle name="20% - Accent3 11" xfId="23255" hidden="1"/>
    <cellStyle name="20% - Accent3 11" xfId="23334" hidden="1"/>
    <cellStyle name="20% - Accent3 11" xfId="23378" hidden="1"/>
    <cellStyle name="20% - Accent3 11" xfId="23076" hidden="1"/>
    <cellStyle name="20% - Accent3 11" xfId="22965" hidden="1"/>
    <cellStyle name="20% - Accent3 11" xfId="23774" hidden="1"/>
    <cellStyle name="20% - Accent3 11" xfId="23850" hidden="1"/>
    <cellStyle name="20% - Accent3 11" xfId="23928" hidden="1"/>
    <cellStyle name="20% - Accent3 11" xfId="23966" hidden="1"/>
    <cellStyle name="20% - Accent3 11" xfId="23740" hidden="1"/>
    <cellStyle name="20% - Accent3 11" xfId="23112" hidden="1"/>
    <cellStyle name="20% - Accent3 11" xfId="24306" hidden="1"/>
    <cellStyle name="20% - Accent3 11" xfId="24382" hidden="1"/>
    <cellStyle name="20% - Accent3 11" xfId="24460" hidden="1"/>
    <cellStyle name="20% - Accent3 11" xfId="24643" hidden="1"/>
    <cellStyle name="20% - Accent3 11" xfId="24719" hidden="1"/>
    <cellStyle name="20% - Accent3 11" xfId="24797" hidden="1"/>
    <cellStyle name="20% - Accent3 11" xfId="24980" hidden="1"/>
    <cellStyle name="20% - Accent3 11" xfId="25056" hidden="1"/>
    <cellStyle name="20% - Accent3 11" xfId="25158" hidden="1"/>
    <cellStyle name="20% - Accent3 11" xfId="25232" hidden="1"/>
    <cellStyle name="20% - Accent3 11" xfId="25308" hidden="1"/>
    <cellStyle name="20% - Accent3 11" xfId="25386" hidden="1"/>
    <cellStyle name="20% - Accent3 11" xfId="25971" hidden="1"/>
    <cellStyle name="20% - Accent3 11" xfId="26047" hidden="1"/>
    <cellStyle name="20% - Accent3 11" xfId="26126" hidden="1"/>
    <cellStyle name="20% - Accent3 11" xfId="26170" hidden="1"/>
    <cellStyle name="20% - Accent3 11" xfId="25868" hidden="1"/>
    <cellStyle name="20% - Accent3 11" xfId="25757" hidden="1"/>
    <cellStyle name="20% - Accent3 11" xfId="26566" hidden="1"/>
    <cellStyle name="20% - Accent3 11" xfId="26642" hidden="1"/>
    <cellStyle name="20% - Accent3 11" xfId="26720" hidden="1"/>
    <cellStyle name="20% - Accent3 11" xfId="26758" hidden="1"/>
    <cellStyle name="20% - Accent3 11" xfId="26532" hidden="1"/>
    <cellStyle name="20% - Accent3 11" xfId="25904" hidden="1"/>
    <cellStyle name="20% - Accent3 11" xfId="27098" hidden="1"/>
    <cellStyle name="20% - Accent3 11" xfId="27174" hidden="1"/>
    <cellStyle name="20% - Accent3 11" xfId="27252" hidden="1"/>
    <cellStyle name="20% - Accent3 11" xfId="27435" hidden="1"/>
    <cellStyle name="20% - Accent3 11" xfId="27511" hidden="1"/>
    <cellStyle name="20% - Accent3 11" xfId="27589" hidden="1"/>
    <cellStyle name="20% - Accent3 11" xfId="27772" hidden="1"/>
    <cellStyle name="20% - Accent3 11" xfId="27848" hidden="1"/>
    <cellStyle name="20% - Accent3 11" xfId="22229" hidden="1"/>
    <cellStyle name="20% - Accent3 11" xfId="22155" hidden="1"/>
    <cellStyle name="20% - Accent3 11" xfId="22074" hidden="1"/>
    <cellStyle name="20% - Accent3 11" xfId="21991" hidden="1"/>
    <cellStyle name="20% - Accent3 11" xfId="8858" hidden="1"/>
    <cellStyle name="20% - Accent3 11" xfId="8559" hidden="1"/>
    <cellStyle name="20% - Accent3 11" xfId="8418" hidden="1"/>
    <cellStyle name="20% - Accent3 11" xfId="8234" hidden="1"/>
    <cellStyle name="20% - Accent3 11" xfId="9208" hidden="1"/>
    <cellStyle name="20% - Accent3 11" xfId="9590" hidden="1"/>
    <cellStyle name="20% - Accent3 11" xfId="5833" hidden="1"/>
    <cellStyle name="20% - Accent3 11" xfId="5590" hidden="1"/>
    <cellStyle name="20% - Accent3 11" xfId="5494" hidden="1"/>
    <cellStyle name="20% - Accent3 11" xfId="5347" hidden="1"/>
    <cellStyle name="20% - Accent3 11" xfId="5882" hidden="1"/>
    <cellStyle name="20% - Accent3 11" xfId="9046" hidden="1"/>
    <cellStyle name="20% - Accent3 11" xfId="3353" hidden="1"/>
    <cellStyle name="20% - Accent3 11" xfId="3160" hidden="1"/>
    <cellStyle name="20% - Accent3 11" xfId="2998" hidden="1"/>
    <cellStyle name="20% - Accent3 11" xfId="1649" hidden="1"/>
    <cellStyle name="20% - Accent3 11" xfId="1500" hidden="1"/>
    <cellStyle name="20% - Accent3 11" xfId="1239" hidden="1"/>
    <cellStyle name="20% - Accent3 11" xfId="27907" hidden="1"/>
    <cellStyle name="20% - Accent3 11" xfId="27983" hidden="1"/>
    <cellStyle name="20% - Accent3 11" xfId="28085" hidden="1"/>
    <cellStyle name="20% - Accent3 11" xfId="28159" hidden="1"/>
    <cellStyle name="20% - Accent3 11" xfId="28235" hidden="1"/>
    <cellStyle name="20% - Accent3 11" xfId="28313" hidden="1"/>
    <cellStyle name="20% - Accent3 11" xfId="28898" hidden="1"/>
    <cellStyle name="20% - Accent3 11" xfId="28974" hidden="1"/>
    <cellStyle name="20% - Accent3 11" xfId="29053" hidden="1"/>
    <cellStyle name="20% - Accent3 11" xfId="29097" hidden="1"/>
    <cellStyle name="20% - Accent3 11" xfId="28795" hidden="1"/>
    <cellStyle name="20% - Accent3 11" xfId="28684" hidden="1"/>
    <cellStyle name="20% - Accent3 11" xfId="29493" hidden="1"/>
    <cellStyle name="20% - Accent3 11" xfId="29569" hidden="1"/>
    <cellStyle name="20% - Accent3 11" xfId="29647" hidden="1"/>
    <cellStyle name="20% - Accent3 11" xfId="29685" hidden="1"/>
    <cellStyle name="20% - Accent3 11" xfId="29459" hidden="1"/>
    <cellStyle name="20% - Accent3 11" xfId="28831" hidden="1"/>
    <cellStyle name="20% - Accent3 11" xfId="30025" hidden="1"/>
    <cellStyle name="20% - Accent3 11" xfId="30101" hidden="1"/>
    <cellStyle name="20% - Accent3 11" xfId="30179" hidden="1"/>
    <cellStyle name="20% - Accent3 11" xfId="30362" hidden="1"/>
    <cellStyle name="20% - Accent3 11" xfId="30438" hidden="1"/>
    <cellStyle name="20% - Accent3 11" xfId="30516" hidden="1"/>
    <cellStyle name="20% - Accent3 11" xfId="30699" hidden="1"/>
    <cellStyle name="20% - Accent3 11" xfId="30775" hidden="1"/>
    <cellStyle name="20% - Accent3 11" xfId="30877" hidden="1"/>
    <cellStyle name="20% - Accent3 11" xfId="30951" hidden="1"/>
    <cellStyle name="20% - Accent3 11" xfId="31027" hidden="1"/>
    <cellStyle name="20% - Accent3 11" xfId="31105" hidden="1"/>
    <cellStyle name="20% - Accent3 11" xfId="31690" hidden="1"/>
    <cellStyle name="20% - Accent3 11" xfId="31766" hidden="1"/>
    <cellStyle name="20% - Accent3 11" xfId="31845" hidden="1"/>
    <cellStyle name="20% - Accent3 11" xfId="31889" hidden="1"/>
    <cellStyle name="20% - Accent3 11" xfId="31587" hidden="1"/>
    <cellStyle name="20% - Accent3 11" xfId="31476" hidden="1"/>
    <cellStyle name="20% - Accent3 11" xfId="32285" hidden="1"/>
    <cellStyle name="20% - Accent3 11" xfId="32361" hidden="1"/>
    <cellStyle name="20% - Accent3 11" xfId="32439" hidden="1"/>
    <cellStyle name="20% - Accent3 11" xfId="32477" hidden="1"/>
    <cellStyle name="20% - Accent3 11" xfId="32251" hidden="1"/>
    <cellStyle name="20% - Accent3 11" xfId="31623" hidden="1"/>
    <cellStyle name="20% - Accent3 11" xfId="32817" hidden="1"/>
    <cellStyle name="20% - Accent3 11" xfId="32893" hidden="1"/>
    <cellStyle name="20% - Accent3 11" xfId="32971" hidden="1"/>
    <cellStyle name="20% - Accent3 11" xfId="33154" hidden="1"/>
    <cellStyle name="20% - Accent3 11" xfId="33230" hidden="1"/>
    <cellStyle name="20% - Accent3 11" xfId="33308" hidden="1"/>
    <cellStyle name="20% - Accent3 11" xfId="33491" hidden="1"/>
    <cellStyle name="20% - Accent3 11" xfId="33567" hidden="1"/>
    <cellStyle name="20% - Accent3 12" xfId="199" hidden="1"/>
    <cellStyle name="20% - Accent3 12" xfId="277" hidden="1"/>
    <cellStyle name="20% - Accent3 12" xfId="420" hidden="1"/>
    <cellStyle name="20% - Accent3 12" xfId="733" hidden="1"/>
    <cellStyle name="20% - Accent3 12" xfId="2447" hidden="1"/>
    <cellStyle name="20% - Accent3 12" xfId="2599" hidden="1"/>
    <cellStyle name="20% - Accent3 12" xfId="2807" hidden="1"/>
    <cellStyle name="20% - Accent3 12" xfId="3080" hidden="1"/>
    <cellStyle name="20% - Accent3 12" xfId="2262" hidden="1"/>
    <cellStyle name="20% - Accent3 12" xfId="2238" hidden="1"/>
    <cellStyle name="20% - Accent3 12" xfId="4423" hidden="1"/>
    <cellStyle name="20% - Accent3 12" xfId="4616" hidden="1"/>
    <cellStyle name="20% - Accent3 12" xfId="4777" hidden="1"/>
    <cellStyle name="20% - Accent3 12" xfId="4940" hidden="1"/>
    <cellStyle name="20% - Accent3 12" xfId="1997" hidden="1"/>
    <cellStyle name="20% - Accent3 12" xfId="1604" hidden="1"/>
    <cellStyle name="20% - Accent3 12" xfId="6389" hidden="1"/>
    <cellStyle name="20% - Accent3 12" xfId="6493" hidden="1"/>
    <cellStyle name="20% - Accent3 12" xfId="6691" hidden="1"/>
    <cellStyle name="20% - Accent3 12" xfId="7569" hidden="1"/>
    <cellStyle name="20% - Accent3 12" xfId="7711" hidden="1"/>
    <cellStyle name="20% - Accent3 12" xfId="7886" hidden="1"/>
    <cellStyle name="20% - Accent3 12" xfId="8808" hidden="1"/>
    <cellStyle name="20% - Accent3 12" xfId="8977" hidden="1"/>
    <cellStyle name="20% - Accent3 12" xfId="9887" hidden="1"/>
    <cellStyle name="20% - Accent3 12" xfId="9962" hidden="1"/>
    <cellStyle name="20% - Accent3 12" xfId="10037" hidden="1"/>
    <cellStyle name="20% - Accent3 12" xfId="10115" hidden="1"/>
    <cellStyle name="20% - Accent3 12" xfId="10701" hidden="1"/>
    <cellStyle name="20% - Accent3 12" xfId="10776" hidden="1"/>
    <cellStyle name="20% - Accent3 12" xfId="10855" hidden="1"/>
    <cellStyle name="20% - Accent3 12" xfId="10915" hidden="1"/>
    <cellStyle name="20% - Accent3 12" xfId="10603" hidden="1"/>
    <cellStyle name="20% - Accent3 12" xfId="10586" hidden="1"/>
    <cellStyle name="20% - Accent3 12" xfId="11296" hidden="1"/>
    <cellStyle name="20% - Accent3 12" xfId="11371" hidden="1"/>
    <cellStyle name="20% - Accent3 12" xfId="11449" hidden="1"/>
    <cellStyle name="20% - Accent3 12" xfId="11496" hidden="1"/>
    <cellStyle name="20% - Accent3 12" xfId="10488" hidden="1"/>
    <cellStyle name="20% - Accent3 12" xfId="10356" hidden="1"/>
    <cellStyle name="20% - Accent3 12" xfId="11828" hidden="1"/>
    <cellStyle name="20% - Accent3 12" xfId="11903" hidden="1"/>
    <cellStyle name="20% - Accent3 12" xfId="11981" hidden="1"/>
    <cellStyle name="20% - Accent3 12" xfId="12165" hidden="1"/>
    <cellStyle name="20% - Accent3 12" xfId="12240" hidden="1"/>
    <cellStyle name="20% - Accent3 12" xfId="12318" hidden="1"/>
    <cellStyle name="20% - Accent3 12" xfId="12502" hidden="1"/>
    <cellStyle name="20% - Accent3 12" xfId="12577" hidden="1"/>
    <cellStyle name="20% - Accent3 12" xfId="12679" hidden="1"/>
    <cellStyle name="20% - Accent3 12" xfId="12754" hidden="1"/>
    <cellStyle name="20% - Accent3 12" xfId="12829" hidden="1"/>
    <cellStyle name="20% - Accent3 12" xfId="12907" hidden="1"/>
    <cellStyle name="20% - Accent3 12" xfId="13493" hidden="1"/>
    <cellStyle name="20% - Accent3 12" xfId="13568" hidden="1"/>
    <cellStyle name="20% - Accent3 12" xfId="13647" hidden="1"/>
    <cellStyle name="20% - Accent3 12" xfId="13707" hidden="1"/>
    <cellStyle name="20% - Accent3 12" xfId="13395" hidden="1"/>
    <cellStyle name="20% - Accent3 12" xfId="13378" hidden="1"/>
    <cellStyle name="20% - Accent3 12" xfId="14088" hidden="1"/>
    <cellStyle name="20% - Accent3 12" xfId="14163" hidden="1"/>
    <cellStyle name="20% - Accent3 12" xfId="14241" hidden="1"/>
    <cellStyle name="20% - Accent3 12" xfId="14288" hidden="1"/>
    <cellStyle name="20% - Accent3 12" xfId="13280" hidden="1"/>
    <cellStyle name="20% - Accent3 12" xfId="13148" hidden="1"/>
    <cellStyle name="20% - Accent3 12" xfId="14620" hidden="1"/>
    <cellStyle name="20% - Accent3 12" xfId="14695" hidden="1"/>
    <cellStyle name="20% - Accent3 12" xfId="14773" hidden="1"/>
    <cellStyle name="20% - Accent3 12" xfId="14957" hidden="1"/>
    <cellStyle name="20% - Accent3 12" xfId="15032" hidden="1"/>
    <cellStyle name="20% - Accent3 12" xfId="15110" hidden="1"/>
    <cellStyle name="20% - Accent3 12" xfId="15294" hidden="1"/>
    <cellStyle name="20% - Accent3 12" xfId="15369" hidden="1"/>
    <cellStyle name="20% - Accent3 12" xfId="9561" hidden="1"/>
    <cellStyle name="20% - Accent3 12" xfId="9448" hidden="1"/>
    <cellStyle name="20% - Accent3 12" xfId="9336" hidden="1"/>
    <cellStyle name="20% - Accent3 12" xfId="9218" hidden="1"/>
    <cellStyle name="20% - Accent3 12" xfId="6967" hidden="1"/>
    <cellStyle name="20% - Accent3 12" xfId="6882" hidden="1"/>
    <cellStyle name="20% - Accent3 12" xfId="6787" hidden="1"/>
    <cellStyle name="20% - Accent3 12" xfId="6430" hidden="1"/>
    <cellStyle name="20% - Accent3 12" xfId="7221" hidden="1"/>
    <cellStyle name="20% - Accent3 12" xfId="7329" hidden="1"/>
    <cellStyle name="20% - Accent3 12" xfId="4818" hidden="1"/>
    <cellStyle name="20% - Accent3 12" xfId="4653" hidden="1"/>
    <cellStyle name="20% - Accent3 12" xfId="4358" hidden="1"/>
    <cellStyle name="20% - Accent3 12" xfId="4259" hidden="1"/>
    <cellStyle name="20% - Accent3 12" xfId="7610" hidden="1"/>
    <cellStyle name="20% - Accent3 12" xfId="8129" hidden="1"/>
    <cellStyle name="20% - Accent3 12" xfId="2678" hidden="1"/>
    <cellStyle name="20% - Accent3 12" xfId="2486" hidden="1"/>
    <cellStyle name="20% - Accent3 12" xfId="2310" hidden="1"/>
    <cellStyle name="20% - Accent3 12" xfId="1340" hidden="1"/>
    <cellStyle name="20% - Accent3 12" xfId="1162" hidden="1"/>
    <cellStyle name="20% - Accent3 12" xfId="921" hidden="1"/>
    <cellStyle name="20% - Accent3 12" xfId="15440" hidden="1"/>
    <cellStyle name="20% - Accent3 12" xfId="15548" hidden="1"/>
    <cellStyle name="20% - Accent3 12" xfId="16228" hidden="1"/>
    <cellStyle name="20% - Accent3 12" xfId="16303" hidden="1"/>
    <cellStyle name="20% - Accent3 12" xfId="16378" hidden="1"/>
    <cellStyle name="20% - Accent3 12" xfId="16456" hidden="1"/>
    <cellStyle name="20% - Accent3 12" xfId="17042" hidden="1"/>
    <cellStyle name="20% - Accent3 12" xfId="17117" hidden="1"/>
    <cellStyle name="20% - Accent3 12" xfId="17196" hidden="1"/>
    <cellStyle name="20% - Accent3 12" xfId="17256" hidden="1"/>
    <cellStyle name="20% - Accent3 12" xfId="16944" hidden="1"/>
    <cellStyle name="20% - Accent3 12" xfId="16927" hidden="1"/>
    <cellStyle name="20% - Accent3 12" xfId="17637" hidden="1"/>
    <cellStyle name="20% - Accent3 12" xfId="17712" hidden="1"/>
    <cellStyle name="20% - Accent3 12" xfId="17790" hidden="1"/>
    <cellStyle name="20% - Accent3 12" xfId="17837" hidden="1"/>
    <cellStyle name="20% - Accent3 12" xfId="16829" hidden="1"/>
    <cellStyle name="20% - Accent3 12" xfId="16697" hidden="1"/>
    <cellStyle name="20% - Accent3 12" xfId="18169" hidden="1"/>
    <cellStyle name="20% - Accent3 12" xfId="18244" hidden="1"/>
    <cellStyle name="20% - Accent3 12" xfId="18322" hidden="1"/>
    <cellStyle name="20% - Accent3 12" xfId="18506" hidden="1"/>
    <cellStyle name="20% - Accent3 12" xfId="18581" hidden="1"/>
    <cellStyle name="20% - Accent3 12" xfId="18659" hidden="1"/>
    <cellStyle name="20% - Accent3 12" xfId="18843" hidden="1"/>
    <cellStyle name="20% - Accent3 12" xfId="18918" hidden="1"/>
    <cellStyle name="20% - Accent3 12" xfId="19020" hidden="1"/>
    <cellStyle name="20% - Accent3 12" xfId="19095" hidden="1"/>
    <cellStyle name="20% - Accent3 12" xfId="19170" hidden="1"/>
    <cellStyle name="20% - Accent3 12" xfId="19248" hidden="1"/>
    <cellStyle name="20% - Accent3 12" xfId="19834" hidden="1"/>
    <cellStyle name="20% - Accent3 12" xfId="19909" hidden="1"/>
    <cellStyle name="20% - Accent3 12" xfId="19988" hidden="1"/>
    <cellStyle name="20% - Accent3 12" xfId="20048" hidden="1"/>
    <cellStyle name="20% - Accent3 12" xfId="19736" hidden="1"/>
    <cellStyle name="20% - Accent3 12" xfId="19719" hidden="1"/>
    <cellStyle name="20% - Accent3 12" xfId="20429" hidden="1"/>
    <cellStyle name="20% - Accent3 12" xfId="20504" hidden="1"/>
    <cellStyle name="20% - Accent3 12" xfId="20582" hidden="1"/>
    <cellStyle name="20% - Accent3 12" xfId="20629" hidden="1"/>
    <cellStyle name="20% - Accent3 12" xfId="19621" hidden="1"/>
    <cellStyle name="20% - Accent3 12" xfId="19489" hidden="1"/>
    <cellStyle name="20% - Accent3 12" xfId="20961" hidden="1"/>
    <cellStyle name="20% - Accent3 12" xfId="21036" hidden="1"/>
    <cellStyle name="20% - Accent3 12" xfId="21114" hidden="1"/>
    <cellStyle name="20% - Accent3 12" xfId="21298" hidden="1"/>
    <cellStyle name="20% - Accent3 12" xfId="21373" hidden="1"/>
    <cellStyle name="20% - Accent3 12" xfId="21451" hidden="1"/>
    <cellStyle name="20% - Accent3 12" xfId="21635" hidden="1"/>
    <cellStyle name="20% - Accent3 12" xfId="21710" hidden="1"/>
    <cellStyle name="20% - Accent3 12" xfId="15963" hidden="1"/>
    <cellStyle name="20% - Accent3 12" xfId="15888" hidden="1"/>
    <cellStyle name="20% - Accent3 12" xfId="15808" hidden="1"/>
    <cellStyle name="20% - Accent3 12" xfId="15722" hidden="1"/>
    <cellStyle name="20% - Accent3 12" xfId="7935" hidden="1"/>
    <cellStyle name="20% - Accent3 12" xfId="7720" hidden="1"/>
    <cellStyle name="20% - Accent3 12" xfId="7449" hidden="1"/>
    <cellStyle name="20% - Accent3 12" xfId="7167" hidden="1"/>
    <cellStyle name="20% - Accent3 12" xfId="8156" hidden="1"/>
    <cellStyle name="20% - Accent3 12" xfId="8180" hidden="1"/>
    <cellStyle name="20% - Accent3 12" xfId="5269" hidden="1"/>
    <cellStyle name="20% - Accent3 12" xfId="5070" hidden="1"/>
    <cellStyle name="20% - Accent3 12" xfId="4962" hidden="1"/>
    <cellStyle name="20% - Accent3 12" xfId="4761" hidden="1"/>
    <cellStyle name="20% - Accent3 12" xfId="8483" hidden="1"/>
    <cellStyle name="20% - Accent3 12" xfId="9057" hidden="1"/>
    <cellStyle name="20% - Accent3 12" xfId="2997" hidden="1"/>
    <cellStyle name="20% - Accent3 12" xfId="2872" hidden="1"/>
    <cellStyle name="20% - Accent3 12" xfId="2638" hidden="1"/>
    <cellStyle name="20% - Accent3 12" xfId="1492" hidden="1"/>
    <cellStyle name="20% - Accent3 12" xfId="1306" hidden="1"/>
    <cellStyle name="20% - Accent3 12" xfId="1084" hidden="1"/>
    <cellStyle name="20% - Accent3 12" xfId="21771" hidden="1"/>
    <cellStyle name="20% - Accent3 12" xfId="21850" hidden="1"/>
    <cellStyle name="20% - Accent3 12" xfId="22379" hidden="1"/>
    <cellStyle name="20% - Accent3 12" xfId="22454" hidden="1"/>
    <cellStyle name="20% - Accent3 12" xfId="22529" hidden="1"/>
    <cellStyle name="20% - Accent3 12" xfId="22607" hidden="1"/>
    <cellStyle name="20% - Accent3 12" xfId="23193" hidden="1"/>
    <cellStyle name="20% - Accent3 12" xfId="23268" hidden="1"/>
    <cellStyle name="20% - Accent3 12" xfId="23347" hidden="1"/>
    <cellStyle name="20% - Accent3 12" xfId="23407" hidden="1"/>
    <cellStyle name="20% - Accent3 12" xfId="23095" hidden="1"/>
    <cellStyle name="20% - Accent3 12" xfId="23078" hidden="1"/>
    <cellStyle name="20% - Accent3 12" xfId="23788" hidden="1"/>
    <cellStyle name="20% - Accent3 12" xfId="23863" hidden="1"/>
    <cellStyle name="20% - Accent3 12" xfId="23941" hidden="1"/>
    <cellStyle name="20% - Accent3 12" xfId="23988" hidden="1"/>
    <cellStyle name="20% - Accent3 12" xfId="22980" hidden="1"/>
    <cellStyle name="20% - Accent3 12" xfId="22848" hidden="1"/>
    <cellStyle name="20% - Accent3 12" xfId="24320" hidden="1"/>
    <cellStyle name="20% - Accent3 12" xfId="24395" hidden="1"/>
    <cellStyle name="20% - Accent3 12" xfId="24473" hidden="1"/>
    <cellStyle name="20% - Accent3 12" xfId="24657" hidden="1"/>
    <cellStyle name="20% - Accent3 12" xfId="24732" hidden="1"/>
    <cellStyle name="20% - Accent3 12" xfId="24810" hidden="1"/>
    <cellStyle name="20% - Accent3 12" xfId="24994" hidden="1"/>
    <cellStyle name="20% - Accent3 12" xfId="25069" hidden="1"/>
    <cellStyle name="20% - Accent3 12" xfId="25171" hidden="1"/>
    <cellStyle name="20% - Accent3 12" xfId="25246" hidden="1"/>
    <cellStyle name="20% - Accent3 12" xfId="25321" hidden="1"/>
    <cellStyle name="20% - Accent3 12" xfId="25399" hidden="1"/>
    <cellStyle name="20% - Accent3 12" xfId="25985" hidden="1"/>
    <cellStyle name="20% - Accent3 12" xfId="26060" hidden="1"/>
    <cellStyle name="20% - Accent3 12" xfId="26139" hidden="1"/>
    <cellStyle name="20% - Accent3 12" xfId="26199" hidden="1"/>
    <cellStyle name="20% - Accent3 12" xfId="25887" hidden="1"/>
    <cellStyle name="20% - Accent3 12" xfId="25870" hidden="1"/>
    <cellStyle name="20% - Accent3 12" xfId="26580" hidden="1"/>
    <cellStyle name="20% - Accent3 12" xfId="26655" hidden="1"/>
    <cellStyle name="20% - Accent3 12" xfId="26733" hidden="1"/>
    <cellStyle name="20% - Accent3 12" xfId="26780" hidden="1"/>
    <cellStyle name="20% - Accent3 12" xfId="25772" hidden="1"/>
    <cellStyle name="20% - Accent3 12" xfId="25640" hidden="1"/>
    <cellStyle name="20% - Accent3 12" xfId="27112" hidden="1"/>
    <cellStyle name="20% - Accent3 12" xfId="27187" hidden="1"/>
    <cellStyle name="20% - Accent3 12" xfId="27265" hidden="1"/>
    <cellStyle name="20% - Accent3 12" xfId="27449" hidden="1"/>
    <cellStyle name="20% - Accent3 12" xfId="27524" hidden="1"/>
    <cellStyle name="20% - Accent3 12" xfId="27602" hidden="1"/>
    <cellStyle name="20% - Accent3 12" xfId="27786" hidden="1"/>
    <cellStyle name="20% - Accent3 12" xfId="27861" hidden="1"/>
    <cellStyle name="20% - Accent3 12" xfId="22216" hidden="1"/>
    <cellStyle name="20% - Accent3 12" xfId="22141" hidden="1"/>
    <cellStyle name="20% - Accent3 12" xfId="22061" hidden="1"/>
    <cellStyle name="20% - Accent3 12" xfId="21978" hidden="1"/>
    <cellStyle name="20% - Accent3 12" xfId="8831" hidden="1"/>
    <cellStyle name="20% - Accent3 12" xfId="8539" hidden="1"/>
    <cellStyle name="20% - Accent3 12" xfId="8402" hidden="1"/>
    <cellStyle name="20% - Accent3 12" xfId="8092" hidden="1"/>
    <cellStyle name="20% - Accent3 12" xfId="9083" hidden="1"/>
    <cellStyle name="20% - Accent3 12" xfId="9104" hidden="1"/>
    <cellStyle name="20% - Accent3 12" xfId="5812" hidden="1"/>
    <cellStyle name="20% - Accent3 12" xfId="5575" hidden="1"/>
    <cellStyle name="20% - Accent3 12" xfId="5481" hidden="1"/>
    <cellStyle name="20% - Accent3 12" xfId="5135" hidden="1"/>
    <cellStyle name="20% - Accent3 12" xfId="9536" hidden="1"/>
    <cellStyle name="20% - Accent3 12" xfId="15593" hidden="1"/>
    <cellStyle name="20% - Accent3 12" xfId="3335" hidden="1"/>
    <cellStyle name="20% - Accent3 12" xfId="3147" hidden="1"/>
    <cellStyle name="20% - Accent3 12" xfId="2968" hidden="1"/>
    <cellStyle name="20% - Accent3 12" xfId="1631" hidden="1"/>
    <cellStyle name="20% - Accent3 12" xfId="1464" hidden="1"/>
    <cellStyle name="20% - Accent3 12" xfId="1208" hidden="1"/>
    <cellStyle name="20% - Accent3 12" xfId="27921" hidden="1"/>
    <cellStyle name="20% - Accent3 12" xfId="27996" hidden="1"/>
    <cellStyle name="20% - Accent3 12" xfId="28098" hidden="1"/>
    <cellStyle name="20% - Accent3 12" xfId="28173" hidden="1"/>
    <cellStyle name="20% - Accent3 12" xfId="28248" hidden="1"/>
    <cellStyle name="20% - Accent3 12" xfId="28326" hidden="1"/>
    <cellStyle name="20% - Accent3 12" xfId="28912" hidden="1"/>
    <cellStyle name="20% - Accent3 12" xfId="28987" hidden="1"/>
    <cellStyle name="20% - Accent3 12" xfId="29066" hidden="1"/>
    <cellStyle name="20% - Accent3 12" xfId="29126" hidden="1"/>
    <cellStyle name="20% - Accent3 12" xfId="28814" hidden="1"/>
    <cellStyle name="20% - Accent3 12" xfId="28797" hidden="1"/>
    <cellStyle name="20% - Accent3 12" xfId="29507" hidden="1"/>
    <cellStyle name="20% - Accent3 12" xfId="29582" hidden="1"/>
    <cellStyle name="20% - Accent3 12" xfId="29660" hidden="1"/>
    <cellStyle name="20% - Accent3 12" xfId="29707" hidden="1"/>
    <cellStyle name="20% - Accent3 12" xfId="28699" hidden="1"/>
    <cellStyle name="20% - Accent3 12" xfId="28567" hidden="1"/>
    <cellStyle name="20% - Accent3 12" xfId="30039" hidden="1"/>
    <cellStyle name="20% - Accent3 12" xfId="30114" hidden="1"/>
    <cellStyle name="20% - Accent3 12" xfId="30192" hidden="1"/>
    <cellStyle name="20% - Accent3 12" xfId="30376" hidden="1"/>
    <cellStyle name="20% - Accent3 12" xfId="30451" hidden="1"/>
    <cellStyle name="20% - Accent3 12" xfId="30529" hidden="1"/>
    <cellStyle name="20% - Accent3 12" xfId="30713" hidden="1"/>
    <cellStyle name="20% - Accent3 12" xfId="30788" hidden="1"/>
    <cellStyle name="20% - Accent3 12" xfId="30890" hidden="1"/>
    <cellStyle name="20% - Accent3 12" xfId="30965" hidden="1"/>
    <cellStyle name="20% - Accent3 12" xfId="31040" hidden="1"/>
    <cellStyle name="20% - Accent3 12" xfId="31118" hidden="1"/>
    <cellStyle name="20% - Accent3 12" xfId="31704" hidden="1"/>
    <cellStyle name="20% - Accent3 12" xfId="31779" hidden="1"/>
    <cellStyle name="20% - Accent3 12" xfId="31858" hidden="1"/>
    <cellStyle name="20% - Accent3 12" xfId="31918" hidden="1"/>
    <cellStyle name="20% - Accent3 12" xfId="31606" hidden="1"/>
    <cellStyle name="20% - Accent3 12" xfId="31589" hidden="1"/>
    <cellStyle name="20% - Accent3 12" xfId="32299" hidden="1"/>
    <cellStyle name="20% - Accent3 12" xfId="32374" hidden="1"/>
    <cellStyle name="20% - Accent3 12" xfId="32452" hidden="1"/>
    <cellStyle name="20% - Accent3 12" xfId="32499" hidden="1"/>
    <cellStyle name="20% - Accent3 12" xfId="31491" hidden="1"/>
    <cellStyle name="20% - Accent3 12" xfId="31359" hidden="1"/>
    <cellStyle name="20% - Accent3 12" xfId="32831" hidden="1"/>
    <cellStyle name="20% - Accent3 12" xfId="32906" hidden="1"/>
    <cellStyle name="20% - Accent3 12" xfId="32984" hidden="1"/>
    <cellStyle name="20% - Accent3 12" xfId="33168" hidden="1"/>
    <cellStyle name="20% - Accent3 12" xfId="33243" hidden="1"/>
    <cellStyle name="20% - Accent3 12" xfId="33321" hidden="1"/>
    <cellStyle name="20% - Accent3 12" xfId="33505" hidden="1"/>
    <cellStyle name="20% - Accent3 12" xfId="33580" hidden="1"/>
    <cellStyle name="20% - Accent3 13" xfId="746" hidden="1"/>
    <cellStyle name="20% - Accent3 13" xfId="950" hidden="1"/>
    <cellStyle name="20% - Accent3 13" xfId="3519" hidden="1"/>
    <cellStyle name="20% - Accent3 13" xfId="4034" hidden="1"/>
    <cellStyle name="20% - Accent3 13" xfId="5353" hidden="1"/>
    <cellStyle name="20% - Accent3 13" xfId="6050" hidden="1"/>
    <cellStyle name="20% - Accent3 13" xfId="7066" hidden="1"/>
    <cellStyle name="20% - Accent3 13" xfId="8269" hidden="1"/>
    <cellStyle name="20% - Accent3 13" xfId="10128" hidden="1"/>
    <cellStyle name="20% - Accent3 13" xfId="10243" hidden="1"/>
    <cellStyle name="20% - Accent3 13" xfId="10966" hidden="1"/>
    <cellStyle name="20% - Accent3 13" xfId="11139" hidden="1"/>
    <cellStyle name="20% - Accent3 13" xfId="11532" hidden="1"/>
    <cellStyle name="20% - Accent3 13" xfId="11680" hidden="1"/>
    <cellStyle name="20% - Accent3 13" xfId="12018" hidden="1"/>
    <cellStyle name="20% - Accent3 13" xfId="12355" hidden="1"/>
    <cellStyle name="20% - Accent3 13" xfId="12920" hidden="1"/>
    <cellStyle name="20% - Accent3 13" xfId="13035" hidden="1"/>
    <cellStyle name="20% - Accent3 13" xfId="13758" hidden="1"/>
    <cellStyle name="20% - Accent3 13" xfId="13931" hidden="1"/>
    <cellStyle name="20% - Accent3 13" xfId="14324" hidden="1"/>
    <cellStyle name="20% - Accent3 13" xfId="14472" hidden="1"/>
    <cellStyle name="20% - Accent3 13" xfId="14810" hidden="1"/>
    <cellStyle name="20% - Accent3 13" xfId="15147" hidden="1"/>
    <cellStyle name="20% - Accent3 13" xfId="9201" hidden="1"/>
    <cellStyle name="20% - Accent3 13" xfId="8659" hidden="1"/>
    <cellStyle name="20% - Accent3 13" xfId="6028" hidden="1"/>
    <cellStyle name="20% - Accent3 13" xfId="5237" hidden="1"/>
    <cellStyle name="20% - Accent3 13" xfId="3955" hidden="1"/>
    <cellStyle name="20% - Accent3 13" xfId="3277" hidden="1"/>
    <cellStyle name="20% - Accent3 13" xfId="1842" hidden="1"/>
    <cellStyle name="20% - Accent3 13" xfId="473" hidden="1"/>
    <cellStyle name="20% - Accent3 13" xfId="16469" hidden="1"/>
    <cellStyle name="20% - Accent3 13" xfId="16584" hidden="1"/>
    <cellStyle name="20% - Accent3 13" xfId="17307" hidden="1"/>
    <cellStyle name="20% - Accent3 13" xfId="17480" hidden="1"/>
    <cellStyle name="20% - Accent3 13" xfId="17873" hidden="1"/>
    <cellStyle name="20% - Accent3 13" xfId="18021" hidden="1"/>
    <cellStyle name="20% - Accent3 13" xfId="18359" hidden="1"/>
    <cellStyle name="20% - Accent3 13" xfId="18696" hidden="1"/>
    <cellStyle name="20% - Accent3 13" xfId="19261" hidden="1"/>
    <cellStyle name="20% - Accent3 13" xfId="19376" hidden="1"/>
    <cellStyle name="20% - Accent3 13" xfId="20099" hidden="1"/>
    <cellStyle name="20% - Accent3 13" xfId="20272" hidden="1"/>
    <cellStyle name="20% - Accent3 13" xfId="20665" hidden="1"/>
    <cellStyle name="20% - Accent3 13" xfId="20813" hidden="1"/>
    <cellStyle name="20% - Accent3 13" xfId="21151" hidden="1"/>
    <cellStyle name="20% - Accent3 13" xfId="21488" hidden="1"/>
    <cellStyle name="20% - Accent3 13" xfId="15709" hidden="1"/>
    <cellStyle name="20% - Accent3 13" xfId="9753" hidden="1"/>
    <cellStyle name="20% - Accent3 13" xfId="6614" hidden="1"/>
    <cellStyle name="20% - Accent3 13" xfId="5770" hidden="1"/>
    <cellStyle name="20% - Accent3 13" xfId="4222" hidden="1"/>
    <cellStyle name="20% - Accent3 13" xfId="3504" hidden="1"/>
    <cellStyle name="20% - Accent3 13" xfId="2015" hidden="1"/>
    <cellStyle name="20% - Accent3 13" xfId="577" hidden="1"/>
    <cellStyle name="20% - Accent3 13" xfId="22620" hidden="1"/>
    <cellStyle name="20% - Accent3 13" xfId="22735" hidden="1"/>
    <cellStyle name="20% - Accent3 13" xfId="23458" hidden="1"/>
    <cellStyle name="20% - Accent3 13" xfId="23631" hidden="1"/>
    <cellStyle name="20% - Accent3 13" xfId="24024" hidden="1"/>
    <cellStyle name="20% - Accent3 13" xfId="24172" hidden="1"/>
    <cellStyle name="20% - Accent3 13" xfId="24510" hidden="1"/>
    <cellStyle name="20% - Accent3 13" xfId="24847" hidden="1"/>
    <cellStyle name="20% - Accent3 13" xfId="25412" hidden="1"/>
    <cellStyle name="20% - Accent3 13" xfId="25527" hidden="1"/>
    <cellStyle name="20% - Accent3 13" xfId="26250" hidden="1"/>
    <cellStyle name="20% - Accent3 13" xfId="26423" hidden="1"/>
    <cellStyle name="20% - Accent3 13" xfId="26816" hidden="1"/>
    <cellStyle name="20% - Accent3 13" xfId="26964" hidden="1"/>
    <cellStyle name="20% - Accent3 13" xfId="27302" hidden="1"/>
    <cellStyle name="20% - Accent3 13" xfId="27639" hidden="1"/>
    <cellStyle name="20% - Accent3 13" xfId="21965" hidden="1"/>
    <cellStyle name="20% - Accent3 13" xfId="16133" hidden="1"/>
    <cellStyle name="20% - Accent3 13" xfId="7316" hidden="1"/>
    <cellStyle name="20% - Accent3 13" xfId="6279" hidden="1"/>
    <cellStyle name="20% - Accent3 13" xfId="4535" hidden="1"/>
    <cellStyle name="20% - Accent3 13" xfId="3759" hidden="1"/>
    <cellStyle name="20% - Accent3 13" xfId="2196" hidden="1"/>
    <cellStyle name="20% - Accent3 13" xfId="716" hidden="1"/>
    <cellStyle name="20% - Accent3 13" xfId="28339" hidden="1"/>
    <cellStyle name="20% - Accent3 13" xfId="28454" hidden="1"/>
    <cellStyle name="20% - Accent3 13" xfId="29177" hidden="1"/>
    <cellStyle name="20% - Accent3 13" xfId="29350" hidden="1"/>
    <cellStyle name="20% - Accent3 13" xfId="29743" hidden="1"/>
    <cellStyle name="20% - Accent3 13" xfId="29891" hidden="1"/>
    <cellStyle name="20% - Accent3 13" xfId="30229" hidden="1"/>
    <cellStyle name="20% - Accent3 13" xfId="30566" hidden="1"/>
    <cellStyle name="20% - Accent3 13" xfId="31131" hidden="1"/>
    <cellStyle name="20% - Accent3 13" xfId="31246" hidden="1"/>
    <cellStyle name="20% - Accent3 13" xfId="31969" hidden="1"/>
    <cellStyle name="20% - Accent3 13" xfId="32142" hidden="1"/>
    <cellStyle name="20% - Accent3 13" xfId="32535" hidden="1"/>
    <cellStyle name="20% - Accent3 13" xfId="32683" hidden="1"/>
    <cellStyle name="20% - Accent3 13" xfId="33021" hidden="1"/>
    <cellStyle name="20% - Accent3 13" xfId="33358" hidden="1"/>
    <cellStyle name="20% - Accent3 3 2 3 2" xfId="823" hidden="1"/>
    <cellStyle name="20% - Accent3 3 2 3 2" xfId="1031" hidden="1"/>
    <cellStyle name="20% - Accent3 3 2 3 2" xfId="3595" hidden="1"/>
    <cellStyle name="20% - Accent3 3 2 3 2" xfId="4110" hidden="1"/>
    <cellStyle name="20% - Accent3 3 2 3 2" xfId="5429" hidden="1"/>
    <cellStyle name="20% - Accent3 3 2 3 2" xfId="6126" hidden="1"/>
    <cellStyle name="20% - Accent3 3 2 3 2" xfId="7143" hidden="1"/>
    <cellStyle name="20% - Accent3 3 2 3 2" xfId="8347" hidden="1"/>
    <cellStyle name="20% - Accent3 3 2 3 2" xfId="10204" hidden="1"/>
    <cellStyle name="20% - Accent3 3 2 3 2" xfId="10319" hidden="1"/>
    <cellStyle name="20% - Accent3 3 2 3 2" xfId="11042" hidden="1"/>
    <cellStyle name="20% - Accent3 3 2 3 2" xfId="11215" hidden="1"/>
    <cellStyle name="20% - Accent3 3 2 3 2" xfId="11608" hidden="1"/>
    <cellStyle name="20% - Accent3 3 2 3 2" xfId="11756" hidden="1"/>
    <cellStyle name="20% - Accent3 3 2 3 2" xfId="12094" hidden="1"/>
    <cellStyle name="20% - Accent3 3 2 3 2" xfId="12431" hidden="1"/>
    <cellStyle name="20% - Accent3 3 2 3 2" xfId="12996" hidden="1"/>
    <cellStyle name="20% - Accent3 3 2 3 2" xfId="13111" hidden="1"/>
    <cellStyle name="20% - Accent3 3 2 3 2" xfId="13834" hidden="1"/>
    <cellStyle name="20% - Accent3 3 2 3 2" xfId="14007" hidden="1"/>
    <cellStyle name="20% - Accent3 3 2 3 2" xfId="14400" hidden="1"/>
    <cellStyle name="20% - Accent3 3 2 3 2" xfId="14548" hidden="1"/>
    <cellStyle name="20% - Accent3 3 2 3 2" xfId="14886" hidden="1"/>
    <cellStyle name="20% - Accent3 3 2 3 2" xfId="15223" hidden="1"/>
    <cellStyle name="20% - Accent3 3 2 3 2" xfId="9123" hidden="1"/>
    <cellStyle name="20% - Accent3 3 2 3 2" xfId="8579" hidden="1"/>
    <cellStyle name="20% - Accent3 3 2 3 2" xfId="5951" hidden="1"/>
    <cellStyle name="20% - Accent3 3 2 3 2" xfId="5160" hidden="1"/>
    <cellStyle name="20% - Accent3 3 2 3 2" xfId="3875" hidden="1"/>
    <cellStyle name="20% - Accent3 3 2 3 2" xfId="3196" hidden="1"/>
    <cellStyle name="20% - Accent3 3 2 3 2" xfId="1754" hidden="1"/>
    <cellStyle name="20% - Accent3 3 2 3 2" xfId="349" hidden="1"/>
    <cellStyle name="20% - Accent3 3 2 3 2" xfId="16545" hidden="1"/>
    <cellStyle name="20% - Accent3 3 2 3 2" xfId="16660" hidden="1"/>
    <cellStyle name="20% - Accent3 3 2 3 2" xfId="17383" hidden="1"/>
    <cellStyle name="20% - Accent3 3 2 3 2" xfId="17556" hidden="1"/>
    <cellStyle name="20% - Accent3 3 2 3 2" xfId="17949" hidden="1"/>
    <cellStyle name="20% - Accent3 3 2 3 2" xfId="18097" hidden="1"/>
    <cellStyle name="20% - Accent3 3 2 3 2" xfId="18435" hidden="1"/>
    <cellStyle name="20% - Accent3 3 2 3 2" xfId="18772" hidden="1"/>
    <cellStyle name="20% - Accent3 3 2 3 2" xfId="19337" hidden="1"/>
    <cellStyle name="20% - Accent3 3 2 3 2" xfId="19452" hidden="1"/>
    <cellStyle name="20% - Accent3 3 2 3 2" xfId="20175" hidden="1"/>
    <cellStyle name="20% - Accent3 3 2 3 2" xfId="20348" hidden="1"/>
    <cellStyle name="20% - Accent3 3 2 3 2" xfId="20741" hidden="1"/>
    <cellStyle name="20% - Accent3 3 2 3 2" xfId="20889" hidden="1"/>
    <cellStyle name="20% - Accent3 3 2 3 2" xfId="21227" hidden="1"/>
    <cellStyle name="20% - Accent3 3 2 3 2" xfId="21564" hidden="1"/>
    <cellStyle name="20% - Accent3 3 2 3 2" xfId="15631" hidden="1"/>
    <cellStyle name="20% - Accent3 3 2 3 2" xfId="9676" hidden="1"/>
    <cellStyle name="20% - Accent3 3 2 3 2" xfId="6522" hidden="1"/>
    <cellStyle name="20% - Accent3 3 2 3 2" xfId="5674" hidden="1"/>
    <cellStyle name="20% - Accent3 3 2 3 2" xfId="4145" hidden="1"/>
    <cellStyle name="20% - Accent3 3 2 3 2" xfId="3424" hidden="1"/>
    <cellStyle name="20% - Accent3 3 2 3 2" xfId="1927" hidden="1"/>
    <cellStyle name="20% - Accent3 3 2 3 2" xfId="489" hidden="1"/>
    <cellStyle name="20% - Accent3 3 2 3 2" xfId="22696" hidden="1"/>
    <cellStyle name="20% - Accent3 3 2 3 2" xfId="22811" hidden="1"/>
    <cellStyle name="20% - Accent3 3 2 3 2" xfId="23534" hidden="1"/>
    <cellStyle name="20% - Accent3 3 2 3 2" xfId="23707" hidden="1"/>
    <cellStyle name="20% - Accent3 3 2 3 2" xfId="24100" hidden="1"/>
    <cellStyle name="20% - Accent3 3 2 3 2" xfId="24248" hidden="1"/>
    <cellStyle name="20% - Accent3 3 2 3 2" xfId="24586" hidden="1"/>
    <cellStyle name="20% - Accent3 3 2 3 2" xfId="24923" hidden="1"/>
    <cellStyle name="20% - Accent3 3 2 3 2" xfId="25488" hidden="1"/>
    <cellStyle name="20% - Accent3 3 2 3 2" xfId="25603" hidden="1"/>
    <cellStyle name="20% - Accent3 3 2 3 2" xfId="26326" hidden="1"/>
    <cellStyle name="20% - Accent3 3 2 3 2" xfId="26499" hidden="1"/>
    <cellStyle name="20% - Accent3 3 2 3 2" xfId="26892" hidden="1"/>
    <cellStyle name="20% - Accent3 3 2 3 2" xfId="27040" hidden="1"/>
    <cellStyle name="20% - Accent3 3 2 3 2" xfId="27378" hidden="1"/>
    <cellStyle name="20% - Accent3 3 2 3 2" xfId="27715" hidden="1"/>
    <cellStyle name="20% - Accent3 3 2 3 2" xfId="21887" hidden="1"/>
    <cellStyle name="20% - Accent3 3 2 3 2" xfId="16057" hidden="1"/>
    <cellStyle name="20% - Accent3 3 2 3 2" xfId="7227" hidden="1"/>
    <cellStyle name="20% - Accent3 3 2 3 2" xfId="6182" hidden="1"/>
    <cellStyle name="20% - Accent3 3 2 3 2" xfId="4374" hidden="1"/>
    <cellStyle name="20% - Accent3 3 2 3 2" xfId="3680" hidden="1"/>
    <cellStyle name="20% - Accent3 3 2 3 2" xfId="2113" hidden="1"/>
    <cellStyle name="20% - Accent3 3 2 3 2" xfId="601" hidden="1"/>
    <cellStyle name="20% - Accent3 3 2 3 2" xfId="28415" hidden="1"/>
    <cellStyle name="20% - Accent3 3 2 3 2" xfId="28530" hidden="1"/>
    <cellStyle name="20% - Accent3 3 2 3 2" xfId="29253" hidden="1"/>
    <cellStyle name="20% - Accent3 3 2 3 2" xfId="29426" hidden="1"/>
    <cellStyle name="20% - Accent3 3 2 3 2" xfId="29819" hidden="1"/>
    <cellStyle name="20% - Accent3 3 2 3 2" xfId="29967" hidden="1"/>
    <cellStyle name="20% - Accent3 3 2 3 2" xfId="30305" hidden="1"/>
    <cellStyle name="20% - Accent3 3 2 3 2" xfId="30642" hidden="1"/>
    <cellStyle name="20% - Accent3 3 2 3 2" xfId="31207" hidden="1"/>
    <cellStyle name="20% - Accent3 3 2 3 2" xfId="31322" hidden="1"/>
    <cellStyle name="20% - Accent3 3 2 3 2" xfId="32045" hidden="1"/>
    <cellStyle name="20% - Accent3 3 2 3 2" xfId="32218" hidden="1"/>
    <cellStyle name="20% - Accent3 3 2 3 2" xfId="32611" hidden="1"/>
    <cellStyle name="20% - Accent3 3 2 3 2" xfId="32759" hidden="1"/>
    <cellStyle name="20% - Accent3 3 2 3 2" xfId="33097" hidden="1"/>
    <cellStyle name="20% - Accent3 3 2 3 2" xfId="33434" hidden="1"/>
    <cellStyle name="20% - Accent3 3 2 4 2" xfId="778" hidden="1"/>
    <cellStyle name="20% - Accent3 3 2 4 2" xfId="986" hidden="1"/>
    <cellStyle name="20% - Accent3 3 2 4 2" xfId="3550" hidden="1"/>
    <cellStyle name="20% - Accent3 3 2 4 2" xfId="4065" hidden="1"/>
    <cellStyle name="20% - Accent3 3 2 4 2" xfId="5384" hidden="1"/>
    <cellStyle name="20% - Accent3 3 2 4 2" xfId="6081" hidden="1"/>
    <cellStyle name="20% - Accent3 3 2 4 2" xfId="7098" hidden="1"/>
    <cellStyle name="20% - Accent3 3 2 4 2" xfId="8302" hidden="1"/>
    <cellStyle name="20% - Accent3 3 2 4 2" xfId="10159" hidden="1"/>
    <cellStyle name="20% - Accent3 3 2 4 2" xfId="10274" hidden="1"/>
    <cellStyle name="20% - Accent3 3 2 4 2" xfId="10997" hidden="1"/>
    <cellStyle name="20% - Accent3 3 2 4 2" xfId="11170" hidden="1"/>
    <cellStyle name="20% - Accent3 3 2 4 2" xfId="11563" hidden="1"/>
    <cellStyle name="20% - Accent3 3 2 4 2" xfId="11711" hidden="1"/>
    <cellStyle name="20% - Accent3 3 2 4 2" xfId="12049" hidden="1"/>
    <cellStyle name="20% - Accent3 3 2 4 2" xfId="12386" hidden="1"/>
    <cellStyle name="20% - Accent3 3 2 4 2" xfId="12951" hidden="1"/>
    <cellStyle name="20% - Accent3 3 2 4 2" xfId="13066" hidden="1"/>
    <cellStyle name="20% - Accent3 3 2 4 2" xfId="13789" hidden="1"/>
    <cellStyle name="20% - Accent3 3 2 4 2" xfId="13962" hidden="1"/>
    <cellStyle name="20% - Accent3 3 2 4 2" xfId="14355" hidden="1"/>
    <cellStyle name="20% - Accent3 3 2 4 2" xfId="14503" hidden="1"/>
    <cellStyle name="20% - Accent3 3 2 4 2" xfId="14841" hidden="1"/>
    <cellStyle name="20% - Accent3 3 2 4 2" xfId="15178" hidden="1"/>
    <cellStyle name="20% - Accent3 3 2 4 2" xfId="9169" hidden="1"/>
    <cellStyle name="20% - Accent3 3 2 4 2" xfId="8624" hidden="1"/>
    <cellStyle name="20% - Accent3 3 2 4 2" xfId="5996" hidden="1"/>
    <cellStyle name="20% - Accent3 3 2 4 2" xfId="5205" hidden="1"/>
    <cellStyle name="20% - Accent3 3 2 4 2" xfId="3922" hidden="1"/>
    <cellStyle name="20% - Accent3 3 2 4 2" xfId="3242" hidden="1"/>
    <cellStyle name="20% - Accent3 3 2 4 2" xfId="1804" hidden="1"/>
    <cellStyle name="20% - Accent3 3 2 4 2" xfId="422" hidden="1"/>
    <cellStyle name="20% - Accent3 3 2 4 2" xfId="16500" hidden="1"/>
    <cellStyle name="20% - Accent3 3 2 4 2" xfId="16615" hidden="1"/>
    <cellStyle name="20% - Accent3 3 2 4 2" xfId="17338" hidden="1"/>
    <cellStyle name="20% - Accent3 3 2 4 2" xfId="17511" hidden="1"/>
    <cellStyle name="20% - Accent3 3 2 4 2" xfId="17904" hidden="1"/>
    <cellStyle name="20% - Accent3 3 2 4 2" xfId="18052" hidden="1"/>
    <cellStyle name="20% - Accent3 3 2 4 2" xfId="18390" hidden="1"/>
    <cellStyle name="20% - Accent3 3 2 4 2" xfId="18727" hidden="1"/>
    <cellStyle name="20% - Accent3 3 2 4 2" xfId="19292" hidden="1"/>
    <cellStyle name="20% - Accent3 3 2 4 2" xfId="19407" hidden="1"/>
    <cellStyle name="20% - Accent3 3 2 4 2" xfId="20130" hidden="1"/>
    <cellStyle name="20% - Accent3 3 2 4 2" xfId="20303" hidden="1"/>
    <cellStyle name="20% - Accent3 3 2 4 2" xfId="20696" hidden="1"/>
    <cellStyle name="20% - Accent3 3 2 4 2" xfId="20844" hidden="1"/>
    <cellStyle name="20% - Accent3 3 2 4 2" xfId="21182" hidden="1"/>
    <cellStyle name="20% - Accent3 3 2 4 2" xfId="21519" hidden="1"/>
    <cellStyle name="20% - Accent3 3 2 4 2" xfId="15677" hidden="1"/>
    <cellStyle name="20% - Accent3 3 2 4 2" xfId="9721" hidden="1"/>
    <cellStyle name="20% - Accent3 3 2 4 2" xfId="6578" hidden="1"/>
    <cellStyle name="20% - Accent3 3 2 4 2" xfId="5729" hidden="1"/>
    <cellStyle name="20% - Accent3 3 2 4 2" xfId="4191" hidden="1"/>
    <cellStyle name="20% - Accent3 3 2 4 2" xfId="3472" hidden="1"/>
    <cellStyle name="20% - Accent3 3 2 4 2" xfId="1981" hidden="1"/>
    <cellStyle name="20% - Accent3 3 2 4 2" xfId="539" hidden="1"/>
    <cellStyle name="20% - Accent3 3 2 4 2" xfId="22651" hidden="1"/>
    <cellStyle name="20% - Accent3 3 2 4 2" xfId="22766" hidden="1"/>
    <cellStyle name="20% - Accent3 3 2 4 2" xfId="23489" hidden="1"/>
    <cellStyle name="20% - Accent3 3 2 4 2" xfId="23662" hidden="1"/>
    <cellStyle name="20% - Accent3 3 2 4 2" xfId="24055" hidden="1"/>
    <cellStyle name="20% - Accent3 3 2 4 2" xfId="24203" hidden="1"/>
    <cellStyle name="20% - Accent3 3 2 4 2" xfId="24541" hidden="1"/>
    <cellStyle name="20% - Accent3 3 2 4 2" xfId="24878" hidden="1"/>
    <cellStyle name="20% - Accent3 3 2 4 2" xfId="25443" hidden="1"/>
    <cellStyle name="20% - Accent3 3 2 4 2" xfId="25558" hidden="1"/>
    <cellStyle name="20% - Accent3 3 2 4 2" xfId="26281" hidden="1"/>
    <cellStyle name="20% - Accent3 3 2 4 2" xfId="26454" hidden="1"/>
    <cellStyle name="20% - Accent3 3 2 4 2" xfId="26847" hidden="1"/>
    <cellStyle name="20% - Accent3 3 2 4 2" xfId="26995" hidden="1"/>
    <cellStyle name="20% - Accent3 3 2 4 2" xfId="27333" hidden="1"/>
    <cellStyle name="20% - Accent3 3 2 4 2" xfId="27670" hidden="1"/>
    <cellStyle name="20% - Accent3 3 2 4 2" xfId="21933" hidden="1"/>
    <cellStyle name="20% - Accent3 3 2 4 2" xfId="16102" hidden="1"/>
    <cellStyle name="20% - Accent3 3 2 4 2" xfId="7281" hidden="1"/>
    <cellStyle name="20% - Accent3 3 2 4 2" xfId="6242" hidden="1"/>
    <cellStyle name="20% - Accent3 3 2 4 2" xfId="4481" hidden="1"/>
    <cellStyle name="20% - Accent3 3 2 4 2" xfId="3728" hidden="1"/>
    <cellStyle name="20% - Accent3 3 2 4 2" xfId="2162" hidden="1"/>
    <cellStyle name="20% - Accent3 3 2 4 2" xfId="665" hidden="1"/>
    <cellStyle name="20% - Accent3 3 2 4 2" xfId="28370" hidden="1"/>
    <cellStyle name="20% - Accent3 3 2 4 2" xfId="28485" hidden="1"/>
    <cellStyle name="20% - Accent3 3 2 4 2" xfId="29208" hidden="1"/>
    <cellStyle name="20% - Accent3 3 2 4 2" xfId="29381" hidden="1"/>
    <cellStyle name="20% - Accent3 3 2 4 2" xfId="29774" hidden="1"/>
    <cellStyle name="20% - Accent3 3 2 4 2" xfId="29922" hidden="1"/>
    <cellStyle name="20% - Accent3 3 2 4 2" xfId="30260" hidden="1"/>
    <cellStyle name="20% - Accent3 3 2 4 2" xfId="30597" hidden="1"/>
    <cellStyle name="20% - Accent3 3 2 4 2" xfId="31162" hidden="1"/>
    <cellStyle name="20% - Accent3 3 2 4 2" xfId="31277" hidden="1"/>
    <cellStyle name="20% - Accent3 3 2 4 2" xfId="32000" hidden="1"/>
    <cellStyle name="20% - Accent3 3 2 4 2" xfId="32173" hidden="1"/>
    <cellStyle name="20% - Accent3 3 2 4 2" xfId="32566" hidden="1"/>
    <cellStyle name="20% - Accent3 3 2 4 2" xfId="32714" hidden="1"/>
    <cellStyle name="20% - Accent3 3 2 4 2" xfId="33052" hidden="1"/>
    <cellStyle name="20% - Accent3 3 2 4 2" xfId="33389" hidden="1"/>
    <cellStyle name="20% - Accent3 3 3 3 2" xfId="777" hidden="1"/>
    <cellStyle name="20% - Accent3 3 3 3 2" xfId="985" hidden="1"/>
    <cellStyle name="20% - Accent3 3 3 3 2" xfId="3549" hidden="1"/>
    <cellStyle name="20% - Accent3 3 3 3 2" xfId="4064" hidden="1"/>
    <cellStyle name="20% - Accent3 3 3 3 2" xfId="5383" hidden="1"/>
    <cellStyle name="20% - Accent3 3 3 3 2" xfId="6080" hidden="1"/>
    <cellStyle name="20% - Accent3 3 3 3 2" xfId="7097" hidden="1"/>
    <cellStyle name="20% - Accent3 3 3 3 2" xfId="8301" hidden="1"/>
    <cellStyle name="20% - Accent3 3 3 3 2" xfId="10158" hidden="1"/>
    <cellStyle name="20% - Accent3 3 3 3 2" xfId="10273" hidden="1"/>
    <cellStyle name="20% - Accent3 3 3 3 2" xfId="10996" hidden="1"/>
    <cellStyle name="20% - Accent3 3 3 3 2" xfId="11169" hidden="1"/>
    <cellStyle name="20% - Accent3 3 3 3 2" xfId="11562" hidden="1"/>
    <cellStyle name="20% - Accent3 3 3 3 2" xfId="11710" hidden="1"/>
    <cellStyle name="20% - Accent3 3 3 3 2" xfId="12048" hidden="1"/>
    <cellStyle name="20% - Accent3 3 3 3 2" xfId="12385" hidden="1"/>
    <cellStyle name="20% - Accent3 3 3 3 2" xfId="12950" hidden="1"/>
    <cellStyle name="20% - Accent3 3 3 3 2" xfId="13065" hidden="1"/>
    <cellStyle name="20% - Accent3 3 3 3 2" xfId="13788" hidden="1"/>
    <cellStyle name="20% - Accent3 3 3 3 2" xfId="13961" hidden="1"/>
    <cellStyle name="20% - Accent3 3 3 3 2" xfId="14354" hidden="1"/>
    <cellStyle name="20% - Accent3 3 3 3 2" xfId="14502" hidden="1"/>
    <cellStyle name="20% - Accent3 3 3 3 2" xfId="14840" hidden="1"/>
    <cellStyle name="20% - Accent3 3 3 3 2" xfId="15177" hidden="1"/>
    <cellStyle name="20% - Accent3 3 3 3 2" xfId="9170" hidden="1"/>
    <cellStyle name="20% - Accent3 3 3 3 2" xfId="8625" hidden="1"/>
    <cellStyle name="20% - Accent3 3 3 3 2" xfId="5997" hidden="1"/>
    <cellStyle name="20% - Accent3 3 3 3 2" xfId="5206" hidden="1"/>
    <cellStyle name="20% - Accent3 3 3 3 2" xfId="3923" hidden="1"/>
    <cellStyle name="20% - Accent3 3 3 3 2" xfId="3243" hidden="1"/>
    <cellStyle name="20% - Accent3 3 3 3 2" xfId="1806" hidden="1"/>
    <cellStyle name="20% - Accent3 3 3 3 2" xfId="423" hidden="1"/>
    <cellStyle name="20% - Accent3 3 3 3 2" xfId="16499" hidden="1"/>
    <cellStyle name="20% - Accent3 3 3 3 2" xfId="16614" hidden="1"/>
    <cellStyle name="20% - Accent3 3 3 3 2" xfId="17337" hidden="1"/>
    <cellStyle name="20% - Accent3 3 3 3 2" xfId="17510" hidden="1"/>
    <cellStyle name="20% - Accent3 3 3 3 2" xfId="17903" hidden="1"/>
    <cellStyle name="20% - Accent3 3 3 3 2" xfId="18051" hidden="1"/>
    <cellStyle name="20% - Accent3 3 3 3 2" xfId="18389" hidden="1"/>
    <cellStyle name="20% - Accent3 3 3 3 2" xfId="18726" hidden="1"/>
    <cellStyle name="20% - Accent3 3 3 3 2" xfId="19291" hidden="1"/>
    <cellStyle name="20% - Accent3 3 3 3 2" xfId="19406" hidden="1"/>
    <cellStyle name="20% - Accent3 3 3 3 2" xfId="20129" hidden="1"/>
    <cellStyle name="20% - Accent3 3 3 3 2" xfId="20302" hidden="1"/>
    <cellStyle name="20% - Accent3 3 3 3 2" xfId="20695" hidden="1"/>
    <cellStyle name="20% - Accent3 3 3 3 2" xfId="20843" hidden="1"/>
    <cellStyle name="20% - Accent3 3 3 3 2" xfId="21181" hidden="1"/>
    <cellStyle name="20% - Accent3 3 3 3 2" xfId="21518" hidden="1"/>
    <cellStyle name="20% - Accent3 3 3 3 2" xfId="15678" hidden="1"/>
    <cellStyle name="20% - Accent3 3 3 3 2" xfId="9722" hidden="1"/>
    <cellStyle name="20% - Accent3 3 3 3 2" xfId="6579" hidden="1"/>
    <cellStyle name="20% - Accent3 3 3 3 2" xfId="5733" hidden="1"/>
    <cellStyle name="20% - Accent3 3 3 3 2" xfId="4192" hidden="1"/>
    <cellStyle name="20% - Accent3 3 3 3 2" xfId="3473" hidden="1"/>
    <cellStyle name="20% - Accent3 3 3 3 2" xfId="1982" hidden="1"/>
    <cellStyle name="20% - Accent3 3 3 3 2" xfId="540" hidden="1"/>
    <cellStyle name="20% - Accent3 3 3 3 2" xfId="22650" hidden="1"/>
    <cellStyle name="20% - Accent3 3 3 3 2" xfId="22765" hidden="1"/>
    <cellStyle name="20% - Accent3 3 3 3 2" xfId="23488" hidden="1"/>
    <cellStyle name="20% - Accent3 3 3 3 2" xfId="23661" hidden="1"/>
    <cellStyle name="20% - Accent3 3 3 3 2" xfId="24054" hidden="1"/>
    <cellStyle name="20% - Accent3 3 3 3 2" xfId="24202" hidden="1"/>
    <cellStyle name="20% - Accent3 3 3 3 2" xfId="24540" hidden="1"/>
    <cellStyle name="20% - Accent3 3 3 3 2" xfId="24877" hidden="1"/>
    <cellStyle name="20% - Accent3 3 3 3 2" xfId="25442" hidden="1"/>
    <cellStyle name="20% - Accent3 3 3 3 2" xfId="25557" hidden="1"/>
    <cellStyle name="20% - Accent3 3 3 3 2" xfId="26280" hidden="1"/>
    <cellStyle name="20% - Accent3 3 3 3 2" xfId="26453" hidden="1"/>
    <cellStyle name="20% - Accent3 3 3 3 2" xfId="26846" hidden="1"/>
    <cellStyle name="20% - Accent3 3 3 3 2" xfId="26994" hidden="1"/>
    <cellStyle name="20% - Accent3 3 3 3 2" xfId="27332" hidden="1"/>
    <cellStyle name="20% - Accent3 3 3 3 2" xfId="27669" hidden="1"/>
    <cellStyle name="20% - Accent3 3 3 3 2" xfId="21934" hidden="1"/>
    <cellStyle name="20% - Accent3 3 3 3 2" xfId="16103" hidden="1"/>
    <cellStyle name="20% - Accent3 3 3 3 2" xfId="7283" hidden="1"/>
    <cellStyle name="20% - Accent3 3 3 3 2" xfId="6243" hidden="1"/>
    <cellStyle name="20% - Accent3 3 3 3 2" xfId="4482" hidden="1"/>
    <cellStyle name="20% - Accent3 3 3 3 2" xfId="3729" hidden="1"/>
    <cellStyle name="20% - Accent3 3 3 3 2" xfId="2163" hidden="1"/>
    <cellStyle name="20% - Accent3 3 3 3 2" xfId="666" hidden="1"/>
    <cellStyle name="20% - Accent3 3 3 3 2" xfId="28369" hidden="1"/>
    <cellStyle name="20% - Accent3 3 3 3 2" xfId="28484" hidden="1"/>
    <cellStyle name="20% - Accent3 3 3 3 2" xfId="29207" hidden="1"/>
    <cellStyle name="20% - Accent3 3 3 3 2" xfId="29380" hidden="1"/>
    <cellStyle name="20% - Accent3 3 3 3 2" xfId="29773" hidden="1"/>
    <cellStyle name="20% - Accent3 3 3 3 2" xfId="29921" hidden="1"/>
    <cellStyle name="20% - Accent3 3 3 3 2" xfId="30259" hidden="1"/>
    <cellStyle name="20% - Accent3 3 3 3 2" xfId="30596" hidden="1"/>
    <cellStyle name="20% - Accent3 3 3 3 2" xfId="31161" hidden="1"/>
    <cellStyle name="20% - Accent3 3 3 3 2" xfId="31276" hidden="1"/>
    <cellStyle name="20% - Accent3 3 3 3 2" xfId="31999" hidden="1"/>
    <cellStyle name="20% - Accent3 3 3 3 2" xfId="32172" hidden="1"/>
    <cellStyle name="20% - Accent3 3 3 3 2" xfId="32565" hidden="1"/>
    <cellStyle name="20% - Accent3 3 3 3 2" xfId="32713" hidden="1"/>
    <cellStyle name="20% - Accent3 3 3 3 2" xfId="33051" hidden="1"/>
    <cellStyle name="20% - Accent3 3 3 3 2" xfId="33388" hidden="1"/>
    <cellStyle name="20% - Accent3 4 2 3 2" xfId="824" hidden="1"/>
    <cellStyle name="20% - Accent3 4 2 3 2" xfId="1032" hidden="1"/>
    <cellStyle name="20% - Accent3 4 2 3 2" xfId="3596" hidden="1"/>
    <cellStyle name="20% - Accent3 4 2 3 2" xfId="4111" hidden="1"/>
    <cellStyle name="20% - Accent3 4 2 3 2" xfId="5430" hidden="1"/>
    <cellStyle name="20% - Accent3 4 2 3 2" xfId="6127" hidden="1"/>
    <cellStyle name="20% - Accent3 4 2 3 2" xfId="7144" hidden="1"/>
    <cellStyle name="20% - Accent3 4 2 3 2" xfId="8348" hidden="1"/>
    <cellStyle name="20% - Accent3 4 2 3 2" xfId="10205" hidden="1"/>
    <cellStyle name="20% - Accent3 4 2 3 2" xfId="10320" hidden="1"/>
    <cellStyle name="20% - Accent3 4 2 3 2" xfId="11043" hidden="1"/>
    <cellStyle name="20% - Accent3 4 2 3 2" xfId="11216" hidden="1"/>
    <cellStyle name="20% - Accent3 4 2 3 2" xfId="11609" hidden="1"/>
    <cellStyle name="20% - Accent3 4 2 3 2" xfId="11757" hidden="1"/>
    <cellStyle name="20% - Accent3 4 2 3 2" xfId="12095" hidden="1"/>
    <cellStyle name="20% - Accent3 4 2 3 2" xfId="12432" hidden="1"/>
    <cellStyle name="20% - Accent3 4 2 3 2" xfId="12997" hidden="1"/>
    <cellStyle name="20% - Accent3 4 2 3 2" xfId="13112" hidden="1"/>
    <cellStyle name="20% - Accent3 4 2 3 2" xfId="13835" hidden="1"/>
    <cellStyle name="20% - Accent3 4 2 3 2" xfId="14008" hidden="1"/>
    <cellStyle name="20% - Accent3 4 2 3 2" xfId="14401" hidden="1"/>
    <cellStyle name="20% - Accent3 4 2 3 2" xfId="14549" hidden="1"/>
    <cellStyle name="20% - Accent3 4 2 3 2" xfId="14887" hidden="1"/>
    <cellStyle name="20% - Accent3 4 2 3 2" xfId="15224" hidden="1"/>
    <cellStyle name="20% - Accent3 4 2 3 2" xfId="9122" hidden="1"/>
    <cellStyle name="20% - Accent3 4 2 3 2" xfId="8578" hidden="1"/>
    <cellStyle name="20% - Accent3 4 2 3 2" xfId="5950" hidden="1"/>
    <cellStyle name="20% - Accent3 4 2 3 2" xfId="5159" hidden="1"/>
    <cellStyle name="20% - Accent3 4 2 3 2" xfId="3874" hidden="1"/>
    <cellStyle name="20% - Accent3 4 2 3 2" xfId="3195" hidden="1"/>
    <cellStyle name="20% - Accent3 4 2 3 2" xfId="1753" hidden="1"/>
    <cellStyle name="20% - Accent3 4 2 3 2" xfId="348" hidden="1"/>
    <cellStyle name="20% - Accent3 4 2 3 2" xfId="16546" hidden="1"/>
    <cellStyle name="20% - Accent3 4 2 3 2" xfId="16661" hidden="1"/>
    <cellStyle name="20% - Accent3 4 2 3 2" xfId="17384" hidden="1"/>
    <cellStyle name="20% - Accent3 4 2 3 2" xfId="17557" hidden="1"/>
    <cellStyle name="20% - Accent3 4 2 3 2" xfId="17950" hidden="1"/>
    <cellStyle name="20% - Accent3 4 2 3 2" xfId="18098" hidden="1"/>
    <cellStyle name="20% - Accent3 4 2 3 2" xfId="18436" hidden="1"/>
    <cellStyle name="20% - Accent3 4 2 3 2" xfId="18773" hidden="1"/>
    <cellStyle name="20% - Accent3 4 2 3 2" xfId="19338" hidden="1"/>
    <cellStyle name="20% - Accent3 4 2 3 2" xfId="19453" hidden="1"/>
    <cellStyle name="20% - Accent3 4 2 3 2" xfId="20176" hidden="1"/>
    <cellStyle name="20% - Accent3 4 2 3 2" xfId="20349" hidden="1"/>
    <cellStyle name="20% - Accent3 4 2 3 2" xfId="20742" hidden="1"/>
    <cellStyle name="20% - Accent3 4 2 3 2" xfId="20890" hidden="1"/>
    <cellStyle name="20% - Accent3 4 2 3 2" xfId="21228" hidden="1"/>
    <cellStyle name="20% - Accent3 4 2 3 2" xfId="21565" hidden="1"/>
    <cellStyle name="20% - Accent3 4 2 3 2" xfId="15630" hidden="1"/>
    <cellStyle name="20% - Accent3 4 2 3 2" xfId="9675" hidden="1"/>
    <cellStyle name="20% - Accent3 4 2 3 2" xfId="6521" hidden="1"/>
    <cellStyle name="20% - Accent3 4 2 3 2" xfId="5673" hidden="1"/>
    <cellStyle name="20% - Accent3 4 2 3 2" xfId="4144" hidden="1"/>
    <cellStyle name="20% - Accent3 4 2 3 2" xfId="3423" hidden="1"/>
    <cellStyle name="20% - Accent3 4 2 3 2" xfId="1926" hidden="1"/>
    <cellStyle name="20% - Accent3 4 2 3 2" xfId="488" hidden="1"/>
    <cellStyle name="20% - Accent3 4 2 3 2" xfId="22697" hidden="1"/>
    <cellStyle name="20% - Accent3 4 2 3 2" xfId="22812" hidden="1"/>
    <cellStyle name="20% - Accent3 4 2 3 2" xfId="23535" hidden="1"/>
    <cellStyle name="20% - Accent3 4 2 3 2" xfId="23708" hidden="1"/>
    <cellStyle name="20% - Accent3 4 2 3 2" xfId="24101" hidden="1"/>
    <cellStyle name="20% - Accent3 4 2 3 2" xfId="24249" hidden="1"/>
    <cellStyle name="20% - Accent3 4 2 3 2" xfId="24587" hidden="1"/>
    <cellStyle name="20% - Accent3 4 2 3 2" xfId="24924" hidden="1"/>
    <cellStyle name="20% - Accent3 4 2 3 2" xfId="25489" hidden="1"/>
    <cellStyle name="20% - Accent3 4 2 3 2" xfId="25604" hidden="1"/>
    <cellStyle name="20% - Accent3 4 2 3 2" xfId="26327" hidden="1"/>
    <cellStyle name="20% - Accent3 4 2 3 2" xfId="26500" hidden="1"/>
    <cellStyle name="20% - Accent3 4 2 3 2" xfId="26893" hidden="1"/>
    <cellStyle name="20% - Accent3 4 2 3 2" xfId="27041" hidden="1"/>
    <cellStyle name="20% - Accent3 4 2 3 2" xfId="27379" hidden="1"/>
    <cellStyle name="20% - Accent3 4 2 3 2" xfId="27716" hidden="1"/>
    <cellStyle name="20% - Accent3 4 2 3 2" xfId="21886" hidden="1"/>
    <cellStyle name="20% - Accent3 4 2 3 2" xfId="16056" hidden="1"/>
    <cellStyle name="20% - Accent3 4 2 3 2" xfId="7226" hidden="1"/>
    <cellStyle name="20% - Accent3 4 2 3 2" xfId="6181" hidden="1"/>
    <cellStyle name="20% - Accent3 4 2 3 2" xfId="4372" hidden="1"/>
    <cellStyle name="20% - Accent3 4 2 3 2" xfId="3679" hidden="1"/>
    <cellStyle name="20% - Accent3 4 2 3 2" xfId="2112" hidden="1"/>
    <cellStyle name="20% - Accent3 4 2 3 2" xfId="600" hidden="1"/>
    <cellStyle name="20% - Accent3 4 2 3 2" xfId="28416" hidden="1"/>
    <cellStyle name="20% - Accent3 4 2 3 2" xfId="28531" hidden="1"/>
    <cellStyle name="20% - Accent3 4 2 3 2" xfId="29254" hidden="1"/>
    <cellStyle name="20% - Accent3 4 2 3 2" xfId="29427" hidden="1"/>
    <cellStyle name="20% - Accent3 4 2 3 2" xfId="29820" hidden="1"/>
    <cellStyle name="20% - Accent3 4 2 3 2" xfId="29968" hidden="1"/>
    <cellStyle name="20% - Accent3 4 2 3 2" xfId="30306" hidden="1"/>
    <cellStyle name="20% - Accent3 4 2 3 2" xfId="30643" hidden="1"/>
    <cellStyle name="20% - Accent3 4 2 3 2" xfId="31208" hidden="1"/>
    <cellStyle name="20% - Accent3 4 2 3 2" xfId="31323" hidden="1"/>
    <cellStyle name="20% - Accent3 4 2 3 2" xfId="32046" hidden="1"/>
    <cellStyle name="20% - Accent3 4 2 3 2" xfId="32219" hidden="1"/>
    <cellStyle name="20% - Accent3 4 2 3 2" xfId="32612" hidden="1"/>
    <cellStyle name="20% - Accent3 4 2 3 2" xfId="32760" hidden="1"/>
    <cellStyle name="20% - Accent3 4 2 3 2" xfId="33098" hidden="1"/>
    <cellStyle name="20% - Accent3 4 2 3 2" xfId="33435" hidden="1"/>
    <cellStyle name="20% - Accent3 4 2 4 2" xfId="780" hidden="1"/>
    <cellStyle name="20% - Accent3 4 2 4 2" xfId="988" hidden="1"/>
    <cellStyle name="20% - Accent3 4 2 4 2" xfId="3552" hidden="1"/>
    <cellStyle name="20% - Accent3 4 2 4 2" xfId="4067" hidden="1"/>
    <cellStyle name="20% - Accent3 4 2 4 2" xfId="5386" hidden="1"/>
    <cellStyle name="20% - Accent3 4 2 4 2" xfId="6083" hidden="1"/>
    <cellStyle name="20% - Accent3 4 2 4 2" xfId="7100" hidden="1"/>
    <cellStyle name="20% - Accent3 4 2 4 2" xfId="8304" hidden="1"/>
    <cellStyle name="20% - Accent3 4 2 4 2" xfId="10161" hidden="1"/>
    <cellStyle name="20% - Accent3 4 2 4 2" xfId="10276" hidden="1"/>
    <cellStyle name="20% - Accent3 4 2 4 2" xfId="10999" hidden="1"/>
    <cellStyle name="20% - Accent3 4 2 4 2" xfId="11172" hidden="1"/>
    <cellStyle name="20% - Accent3 4 2 4 2" xfId="11565" hidden="1"/>
    <cellStyle name="20% - Accent3 4 2 4 2" xfId="11713" hidden="1"/>
    <cellStyle name="20% - Accent3 4 2 4 2" xfId="12051" hidden="1"/>
    <cellStyle name="20% - Accent3 4 2 4 2" xfId="12388" hidden="1"/>
    <cellStyle name="20% - Accent3 4 2 4 2" xfId="12953" hidden="1"/>
    <cellStyle name="20% - Accent3 4 2 4 2" xfId="13068" hidden="1"/>
    <cellStyle name="20% - Accent3 4 2 4 2" xfId="13791" hidden="1"/>
    <cellStyle name="20% - Accent3 4 2 4 2" xfId="13964" hidden="1"/>
    <cellStyle name="20% - Accent3 4 2 4 2" xfId="14357" hidden="1"/>
    <cellStyle name="20% - Accent3 4 2 4 2" xfId="14505" hidden="1"/>
    <cellStyle name="20% - Accent3 4 2 4 2" xfId="14843" hidden="1"/>
    <cellStyle name="20% - Accent3 4 2 4 2" xfId="15180" hidden="1"/>
    <cellStyle name="20% - Accent3 4 2 4 2" xfId="9167" hidden="1"/>
    <cellStyle name="20% - Accent3 4 2 4 2" xfId="8622" hidden="1"/>
    <cellStyle name="20% - Accent3 4 2 4 2" xfId="5994" hidden="1"/>
    <cellStyle name="20% - Accent3 4 2 4 2" xfId="5203" hidden="1"/>
    <cellStyle name="20% - Accent3 4 2 4 2" xfId="3920" hidden="1"/>
    <cellStyle name="20% - Accent3 4 2 4 2" xfId="3240" hidden="1"/>
    <cellStyle name="20% - Accent3 4 2 4 2" xfId="1802" hidden="1"/>
    <cellStyle name="20% - Accent3 4 2 4 2" xfId="418" hidden="1"/>
    <cellStyle name="20% - Accent3 4 2 4 2" xfId="16502" hidden="1"/>
    <cellStyle name="20% - Accent3 4 2 4 2" xfId="16617" hidden="1"/>
    <cellStyle name="20% - Accent3 4 2 4 2" xfId="17340" hidden="1"/>
    <cellStyle name="20% - Accent3 4 2 4 2" xfId="17513" hidden="1"/>
    <cellStyle name="20% - Accent3 4 2 4 2" xfId="17906" hidden="1"/>
    <cellStyle name="20% - Accent3 4 2 4 2" xfId="18054" hidden="1"/>
    <cellStyle name="20% - Accent3 4 2 4 2" xfId="18392" hidden="1"/>
    <cellStyle name="20% - Accent3 4 2 4 2" xfId="18729" hidden="1"/>
    <cellStyle name="20% - Accent3 4 2 4 2" xfId="19294" hidden="1"/>
    <cellStyle name="20% - Accent3 4 2 4 2" xfId="19409" hidden="1"/>
    <cellStyle name="20% - Accent3 4 2 4 2" xfId="20132" hidden="1"/>
    <cellStyle name="20% - Accent3 4 2 4 2" xfId="20305" hidden="1"/>
    <cellStyle name="20% - Accent3 4 2 4 2" xfId="20698" hidden="1"/>
    <cellStyle name="20% - Accent3 4 2 4 2" xfId="20846" hidden="1"/>
    <cellStyle name="20% - Accent3 4 2 4 2" xfId="21184" hidden="1"/>
    <cellStyle name="20% - Accent3 4 2 4 2" xfId="21521" hidden="1"/>
    <cellStyle name="20% - Accent3 4 2 4 2" xfId="15675" hidden="1"/>
    <cellStyle name="20% - Accent3 4 2 4 2" xfId="9719" hidden="1"/>
    <cellStyle name="20% - Accent3 4 2 4 2" xfId="6576" hidden="1"/>
    <cellStyle name="20% - Accent3 4 2 4 2" xfId="5727" hidden="1"/>
    <cellStyle name="20% - Accent3 4 2 4 2" xfId="4189" hidden="1"/>
    <cellStyle name="20% - Accent3 4 2 4 2" xfId="3470" hidden="1"/>
    <cellStyle name="20% - Accent3 4 2 4 2" xfId="1979" hidden="1"/>
    <cellStyle name="20% - Accent3 4 2 4 2" xfId="537" hidden="1"/>
    <cellStyle name="20% - Accent3 4 2 4 2" xfId="22653" hidden="1"/>
    <cellStyle name="20% - Accent3 4 2 4 2" xfId="22768" hidden="1"/>
    <cellStyle name="20% - Accent3 4 2 4 2" xfId="23491" hidden="1"/>
    <cellStyle name="20% - Accent3 4 2 4 2" xfId="23664" hidden="1"/>
    <cellStyle name="20% - Accent3 4 2 4 2" xfId="24057" hidden="1"/>
    <cellStyle name="20% - Accent3 4 2 4 2" xfId="24205" hidden="1"/>
    <cellStyle name="20% - Accent3 4 2 4 2" xfId="24543" hidden="1"/>
    <cellStyle name="20% - Accent3 4 2 4 2" xfId="24880" hidden="1"/>
    <cellStyle name="20% - Accent3 4 2 4 2" xfId="25445" hidden="1"/>
    <cellStyle name="20% - Accent3 4 2 4 2" xfId="25560" hidden="1"/>
    <cellStyle name="20% - Accent3 4 2 4 2" xfId="26283" hidden="1"/>
    <cellStyle name="20% - Accent3 4 2 4 2" xfId="26456" hidden="1"/>
    <cellStyle name="20% - Accent3 4 2 4 2" xfId="26849" hidden="1"/>
    <cellStyle name="20% - Accent3 4 2 4 2" xfId="26997" hidden="1"/>
    <cellStyle name="20% - Accent3 4 2 4 2" xfId="27335" hidden="1"/>
    <cellStyle name="20% - Accent3 4 2 4 2" xfId="27672" hidden="1"/>
    <cellStyle name="20% - Accent3 4 2 4 2" xfId="21931" hidden="1"/>
    <cellStyle name="20% - Accent3 4 2 4 2" xfId="16100" hidden="1"/>
    <cellStyle name="20% - Accent3 4 2 4 2" xfId="7278" hidden="1"/>
    <cellStyle name="20% - Accent3 4 2 4 2" xfId="6240" hidden="1"/>
    <cellStyle name="20% - Accent3 4 2 4 2" xfId="4477" hidden="1"/>
    <cellStyle name="20% - Accent3 4 2 4 2" xfId="3726" hidden="1"/>
    <cellStyle name="20% - Accent3 4 2 4 2" xfId="2160" hidden="1"/>
    <cellStyle name="20% - Accent3 4 2 4 2" xfId="663" hidden="1"/>
    <cellStyle name="20% - Accent3 4 2 4 2" xfId="28372" hidden="1"/>
    <cellStyle name="20% - Accent3 4 2 4 2" xfId="28487" hidden="1"/>
    <cellStyle name="20% - Accent3 4 2 4 2" xfId="29210" hidden="1"/>
    <cellStyle name="20% - Accent3 4 2 4 2" xfId="29383" hidden="1"/>
    <cellStyle name="20% - Accent3 4 2 4 2" xfId="29776" hidden="1"/>
    <cellStyle name="20% - Accent3 4 2 4 2" xfId="29924" hidden="1"/>
    <cellStyle name="20% - Accent3 4 2 4 2" xfId="30262" hidden="1"/>
    <cellStyle name="20% - Accent3 4 2 4 2" xfId="30599" hidden="1"/>
    <cellStyle name="20% - Accent3 4 2 4 2" xfId="31164" hidden="1"/>
    <cellStyle name="20% - Accent3 4 2 4 2" xfId="31279" hidden="1"/>
    <cellStyle name="20% - Accent3 4 2 4 2" xfId="32002" hidden="1"/>
    <cellStyle name="20% - Accent3 4 2 4 2" xfId="32175" hidden="1"/>
    <cellStyle name="20% - Accent3 4 2 4 2" xfId="32568" hidden="1"/>
    <cellStyle name="20% - Accent3 4 2 4 2" xfId="32716" hidden="1"/>
    <cellStyle name="20% - Accent3 4 2 4 2" xfId="33054" hidden="1"/>
    <cellStyle name="20% - Accent3 4 2 4 2" xfId="33391" hidden="1"/>
    <cellStyle name="20% - Accent3 4 3 3 2" xfId="779" hidden="1"/>
    <cellStyle name="20% - Accent3 4 3 3 2" xfId="987" hidden="1"/>
    <cellStyle name="20% - Accent3 4 3 3 2" xfId="3551" hidden="1"/>
    <cellStyle name="20% - Accent3 4 3 3 2" xfId="4066" hidden="1"/>
    <cellStyle name="20% - Accent3 4 3 3 2" xfId="5385" hidden="1"/>
    <cellStyle name="20% - Accent3 4 3 3 2" xfId="6082" hidden="1"/>
    <cellStyle name="20% - Accent3 4 3 3 2" xfId="7099" hidden="1"/>
    <cellStyle name="20% - Accent3 4 3 3 2" xfId="8303" hidden="1"/>
    <cellStyle name="20% - Accent3 4 3 3 2" xfId="10160" hidden="1"/>
    <cellStyle name="20% - Accent3 4 3 3 2" xfId="10275" hidden="1"/>
    <cellStyle name="20% - Accent3 4 3 3 2" xfId="10998" hidden="1"/>
    <cellStyle name="20% - Accent3 4 3 3 2" xfId="11171" hidden="1"/>
    <cellStyle name="20% - Accent3 4 3 3 2" xfId="11564" hidden="1"/>
    <cellStyle name="20% - Accent3 4 3 3 2" xfId="11712" hidden="1"/>
    <cellStyle name="20% - Accent3 4 3 3 2" xfId="12050" hidden="1"/>
    <cellStyle name="20% - Accent3 4 3 3 2" xfId="12387" hidden="1"/>
    <cellStyle name="20% - Accent3 4 3 3 2" xfId="12952" hidden="1"/>
    <cellStyle name="20% - Accent3 4 3 3 2" xfId="13067" hidden="1"/>
    <cellStyle name="20% - Accent3 4 3 3 2" xfId="13790" hidden="1"/>
    <cellStyle name="20% - Accent3 4 3 3 2" xfId="13963" hidden="1"/>
    <cellStyle name="20% - Accent3 4 3 3 2" xfId="14356" hidden="1"/>
    <cellStyle name="20% - Accent3 4 3 3 2" xfId="14504" hidden="1"/>
    <cellStyle name="20% - Accent3 4 3 3 2" xfId="14842" hidden="1"/>
    <cellStyle name="20% - Accent3 4 3 3 2" xfId="15179" hidden="1"/>
    <cellStyle name="20% - Accent3 4 3 3 2" xfId="9168" hidden="1"/>
    <cellStyle name="20% - Accent3 4 3 3 2" xfId="8623" hidden="1"/>
    <cellStyle name="20% - Accent3 4 3 3 2" xfId="5995" hidden="1"/>
    <cellStyle name="20% - Accent3 4 3 3 2" xfId="5204" hidden="1"/>
    <cellStyle name="20% - Accent3 4 3 3 2" xfId="3921" hidden="1"/>
    <cellStyle name="20% - Accent3 4 3 3 2" xfId="3241" hidden="1"/>
    <cellStyle name="20% - Accent3 4 3 3 2" xfId="1803" hidden="1"/>
    <cellStyle name="20% - Accent3 4 3 3 2" xfId="419" hidden="1"/>
    <cellStyle name="20% - Accent3 4 3 3 2" xfId="16501" hidden="1"/>
    <cellStyle name="20% - Accent3 4 3 3 2" xfId="16616" hidden="1"/>
    <cellStyle name="20% - Accent3 4 3 3 2" xfId="17339" hidden="1"/>
    <cellStyle name="20% - Accent3 4 3 3 2" xfId="17512" hidden="1"/>
    <cellStyle name="20% - Accent3 4 3 3 2" xfId="17905" hidden="1"/>
    <cellStyle name="20% - Accent3 4 3 3 2" xfId="18053" hidden="1"/>
    <cellStyle name="20% - Accent3 4 3 3 2" xfId="18391" hidden="1"/>
    <cellStyle name="20% - Accent3 4 3 3 2" xfId="18728" hidden="1"/>
    <cellStyle name="20% - Accent3 4 3 3 2" xfId="19293" hidden="1"/>
    <cellStyle name="20% - Accent3 4 3 3 2" xfId="19408" hidden="1"/>
    <cellStyle name="20% - Accent3 4 3 3 2" xfId="20131" hidden="1"/>
    <cellStyle name="20% - Accent3 4 3 3 2" xfId="20304" hidden="1"/>
    <cellStyle name="20% - Accent3 4 3 3 2" xfId="20697" hidden="1"/>
    <cellStyle name="20% - Accent3 4 3 3 2" xfId="20845" hidden="1"/>
    <cellStyle name="20% - Accent3 4 3 3 2" xfId="21183" hidden="1"/>
    <cellStyle name="20% - Accent3 4 3 3 2" xfId="21520" hidden="1"/>
    <cellStyle name="20% - Accent3 4 3 3 2" xfId="15676" hidden="1"/>
    <cellStyle name="20% - Accent3 4 3 3 2" xfId="9720" hidden="1"/>
    <cellStyle name="20% - Accent3 4 3 3 2" xfId="6577" hidden="1"/>
    <cellStyle name="20% - Accent3 4 3 3 2" xfId="5728" hidden="1"/>
    <cellStyle name="20% - Accent3 4 3 3 2" xfId="4190" hidden="1"/>
    <cellStyle name="20% - Accent3 4 3 3 2" xfId="3471" hidden="1"/>
    <cellStyle name="20% - Accent3 4 3 3 2" xfId="1980" hidden="1"/>
    <cellStyle name="20% - Accent3 4 3 3 2" xfId="538" hidden="1"/>
    <cellStyle name="20% - Accent3 4 3 3 2" xfId="22652" hidden="1"/>
    <cellStyle name="20% - Accent3 4 3 3 2" xfId="22767" hidden="1"/>
    <cellStyle name="20% - Accent3 4 3 3 2" xfId="23490" hidden="1"/>
    <cellStyle name="20% - Accent3 4 3 3 2" xfId="23663" hidden="1"/>
    <cellStyle name="20% - Accent3 4 3 3 2" xfId="24056" hidden="1"/>
    <cellStyle name="20% - Accent3 4 3 3 2" xfId="24204" hidden="1"/>
    <cellStyle name="20% - Accent3 4 3 3 2" xfId="24542" hidden="1"/>
    <cellStyle name="20% - Accent3 4 3 3 2" xfId="24879" hidden="1"/>
    <cellStyle name="20% - Accent3 4 3 3 2" xfId="25444" hidden="1"/>
    <cellStyle name="20% - Accent3 4 3 3 2" xfId="25559" hidden="1"/>
    <cellStyle name="20% - Accent3 4 3 3 2" xfId="26282" hidden="1"/>
    <cellStyle name="20% - Accent3 4 3 3 2" xfId="26455" hidden="1"/>
    <cellStyle name="20% - Accent3 4 3 3 2" xfId="26848" hidden="1"/>
    <cellStyle name="20% - Accent3 4 3 3 2" xfId="26996" hidden="1"/>
    <cellStyle name="20% - Accent3 4 3 3 2" xfId="27334" hidden="1"/>
    <cellStyle name="20% - Accent3 4 3 3 2" xfId="27671" hidden="1"/>
    <cellStyle name="20% - Accent3 4 3 3 2" xfId="21932" hidden="1"/>
    <cellStyle name="20% - Accent3 4 3 3 2" xfId="16101" hidden="1"/>
    <cellStyle name="20% - Accent3 4 3 3 2" xfId="7279" hidden="1"/>
    <cellStyle name="20% - Accent3 4 3 3 2" xfId="6241" hidden="1"/>
    <cellStyle name="20% - Accent3 4 3 3 2" xfId="4480" hidden="1"/>
    <cellStyle name="20% - Accent3 4 3 3 2" xfId="3727" hidden="1"/>
    <cellStyle name="20% - Accent3 4 3 3 2" xfId="2161" hidden="1"/>
    <cellStyle name="20% - Accent3 4 3 3 2" xfId="664" hidden="1"/>
    <cellStyle name="20% - Accent3 4 3 3 2" xfId="28371" hidden="1"/>
    <cellStyle name="20% - Accent3 4 3 3 2" xfId="28486" hidden="1"/>
    <cellStyle name="20% - Accent3 4 3 3 2" xfId="29209" hidden="1"/>
    <cellStyle name="20% - Accent3 4 3 3 2" xfId="29382" hidden="1"/>
    <cellStyle name="20% - Accent3 4 3 3 2" xfId="29775" hidden="1"/>
    <cellStyle name="20% - Accent3 4 3 3 2" xfId="29923" hidden="1"/>
    <cellStyle name="20% - Accent3 4 3 3 2" xfId="30261" hidden="1"/>
    <cellStyle name="20% - Accent3 4 3 3 2" xfId="30598" hidden="1"/>
    <cellStyle name="20% - Accent3 4 3 3 2" xfId="31163" hidden="1"/>
    <cellStyle name="20% - Accent3 4 3 3 2" xfId="31278" hidden="1"/>
    <cellStyle name="20% - Accent3 4 3 3 2" xfId="32001" hidden="1"/>
    <cellStyle name="20% - Accent3 4 3 3 2" xfId="32174" hidden="1"/>
    <cellStyle name="20% - Accent3 4 3 3 2" xfId="32567" hidden="1"/>
    <cellStyle name="20% - Accent3 4 3 3 2" xfId="32715" hidden="1"/>
    <cellStyle name="20% - Accent3 4 3 3 2" xfId="33053" hidden="1"/>
    <cellStyle name="20% - Accent3 4 3 3 2" xfId="33390" hidden="1"/>
    <cellStyle name="20% - Accent3 5 2" xfId="761" hidden="1"/>
    <cellStyle name="20% - Accent3 5 2" xfId="969" hidden="1"/>
    <cellStyle name="20% - Accent3 5 2" xfId="3533" hidden="1"/>
    <cellStyle name="20% - Accent3 5 2" xfId="4048" hidden="1"/>
    <cellStyle name="20% - Accent3 5 2" xfId="5367" hidden="1"/>
    <cellStyle name="20% - Accent3 5 2" xfId="6064" hidden="1"/>
    <cellStyle name="20% - Accent3 5 2" xfId="7081" hidden="1"/>
    <cellStyle name="20% - Accent3 5 2" xfId="8285" hidden="1"/>
    <cellStyle name="20% - Accent3 5 2" xfId="10142" hidden="1"/>
    <cellStyle name="20% - Accent3 5 2" xfId="10257" hidden="1"/>
    <cellStyle name="20% - Accent3 5 2" xfId="10980" hidden="1"/>
    <cellStyle name="20% - Accent3 5 2" xfId="11153" hidden="1"/>
    <cellStyle name="20% - Accent3 5 2" xfId="11546" hidden="1"/>
    <cellStyle name="20% - Accent3 5 2" xfId="11694" hidden="1"/>
    <cellStyle name="20% - Accent3 5 2" xfId="12032" hidden="1"/>
    <cellStyle name="20% - Accent3 5 2" xfId="12369" hidden="1"/>
    <cellStyle name="20% - Accent3 5 2" xfId="12934" hidden="1"/>
    <cellStyle name="20% - Accent3 5 2" xfId="13049" hidden="1"/>
    <cellStyle name="20% - Accent3 5 2" xfId="13772" hidden="1"/>
    <cellStyle name="20% - Accent3 5 2" xfId="13945" hidden="1"/>
    <cellStyle name="20% - Accent3 5 2" xfId="14338" hidden="1"/>
    <cellStyle name="20% - Accent3 5 2" xfId="14486" hidden="1"/>
    <cellStyle name="20% - Accent3 5 2" xfId="14824" hidden="1"/>
    <cellStyle name="20% - Accent3 5 2" xfId="15161" hidden="1"/>
    <cellStyle name="20% - Accent3 5 2" xfId="9186" hidden="1"/>
    <cellStyle name="20% - Accent3 5 2" xfId="8641" hidden="1"/>
    <cellStyle name="20% - Accent3 5 2" xfId="6014" hidden="1"/>
    <cellStyle name="20% - Accent3 5 2" xfId="5222" hidden="1"/>
    <cellStyle name="20% - Accent3 5 2" xfId="3941" hidden="1"/>
    <cellStyle name="20% - Accent3 5 2" xfId="3259" hidden="1"/>
    <cellStyle name="20% - Accent3 5 2" xfId="1826" hidden="1"/>
    <cellStyle name="20% - Accent3 5 2" xfId="448" hidden="1"/>
    <cellStyle name="20% - Accent3 5 2" xfId="16483" hidden="1"/>
    <cellStyle name="20% - Accent3 5 2" xfId="16598" hidden="1"/>
    <cellStyle name="20% - Accent3 5 2" xfId="17321" hidden="1"/>
    <cellStyle name="20% - Accent3 5 2" xfId="17494" hidden="1"/>
    <cellStyle name="20% - Accent3 5 2" xfId="17887" hidden="1"/>
    <cellStyle name="20% - Accent3 5 2" xfId="18035" hidden="1"/>
    <cellStyle name="20% - Accent3 5 2" xfId="18373" hidden="1"/>
    <cellStyle name="20% - Accent3 5 2" xfId="18710" hidden="1"/>
    <cellStyle name="20% - Accent3 5 2" xfId="19275" hidden="1"/>
    <cellStyle name="20% - Accent3 5 2" xfId="19390" hidden="1"/>
    <cellStyle name="20% - Accent3 5 2" xfId="20113" hidden="1"/>
    <cellStyle name="20% - Accent3 5 2" xfId="20286" hidden="1"/>
    <cellStyle name="20% - Accent3 5 2" xfId="20679" hidden="1"/>
    <cellStyle name="20% - Accent3 5 2" xfId="20827" hidden="1"/>
    <cellStyle name="20% - Accent3 5 2" xfId="21165" hidden="1"/>
    <cellStyle name="20% - Accent3 5 2" xfId="21502" hidden="1"/>
    <cellStyle name="20% - Accent3 5 2" xfId="15694" hidden="1"/>
    <cellStyle name="20% - Accent3 5 2" xfId="9738" hidden="1"/>
    <cellStyle name="20% - Accent3 5 2" xfId="6597" hidden="1"/>
    <cellStyle name="20% - Accent3 5 2" xfId="5751" hidden="1"/>
    <cellStyle name="20% - Accent3 5 2" xfId="4208" hidden="1"/>
    <cellStyle name="20% - Accent3 5 2" xfId="3489" hidden="1"/>
    <cellStyle name="20% - Accent3 5 2" xfId="2000" hidden="1"/>
    <cellStyle name="20% - Accent3 5 2" xfId="560" hidden="1"/>
    <cellStyle name="20% - Accent3 5 2" xfId="22634" hidden="1"/>
    <cellStyle name="20% - Accent3 5 2" xfId="22749" hidden="1"/>
    <cellStyle name="20% - Accent3 5 2" xfId="23472" hidden="1"/>
    <cellStyle name="20% - Accent3 5 2" xfId="23645" hidden="1"/>
    <cellStyle name="20% - Accent3 5 2" xfId="24038" hidden="1"/>
    <cellStyle name="20% - Accent3 5 2" xfId="24186" hidden="1"/>
    <cellStyle name="20% - Accent3 5 2" xfId="24524" hidden="1"/>
    <cellStyle name="20% - Accent3 5 2" xfId="24861" hidden="1"/>
    <cellStyle name="20% - Accent3 5 2" xfId="25426" hidden="1"/>
    <cellStyle name="20% - Accent3 5 2" xfId="25541" hidden="1"/>
    <cellStyle name="20% - Accent3 5 2" xfId="26264" hidden="1"/>
    <cellStyle name="20% - Accent3 5 2" xfId="26437" hidden="1"/>
    <cellStyle name="20% - Accent3 5 2" xfId="26830" hidden="1"/>
    <cellStyle name="20% - Accent3 5 2" xfId="26978" hidden="1"/>
    <cellStyle name="20% - Accent3 5 2" xfId="27316" hidden="1"/>
    <cellStyle name="20% - Accent3 5 2" xfId="27653" hidden="1"/>
    <cellStyle name="20% - Accent3 5 2" xfId="21950" hidden="1"/>
    <cellStyle name="20% - Accent3 5 2" xfId="16119" hidden="1"/>
    <cellStyle name="20% - Accent3 5 2" xfId="7300" hidden="1"/>
    <cellStyle name="20% - Accent3 5 2" xfId="6261" hidden="1"/>
    <cellStyle name="20% - Accent3 5 2" xfId="4511" hidden="1"/>
    <cellStyle name="20% - Accent3 5 2" xfId="3745" hidden="1"/>
    <cellStyle name="20% - Accent3 5 2" xfId="2180" hidden="1"/>
    <cellStyle name="20% - Accent3 5 2" xfId="691" hidden="1"/>
    <cellStyle name="20% - Accent3 5 2" xfId="28353" hidden="1"/>
    <cellStyle name="20% - Accent3 5 2" xfId="28468" hidden="1"/>
    <cellStyle name="20% - Accent3 5 2" xfId="29191" hidden="1"/>
    <cellStyle name="20% - Accent3 5 2" xfId="29364" hidden="1"/>
    <cellStyle name="20% - Accent3 5 2" xfId="29757" hidden="1"/>
    <cellStyle name="20% - Accent3 5 2" xfId="29905" hidden="1"/>
    <cellStyle name="20% - Accent3 5 2" xfId="30243" hidden="1"/>
    <cellStyle name="20% - Accent3 5 2" xfId="30580" hidden="1"/>
    <cellStyle name="20% - Accent3 5 2" xfId="31145" hidden="1"/>
    <cellStyle name="20% - Accent3 5 2" xfId="31260" hidden="1"/>
    <cellStyle name="20% - Accent3 5 2" xfId="31983" hidden="1"/>
    <cellStyle name="20% - Accent3 5 2" xfId="32156" hidden="1"/>
    <cellStyle name="20% - Accent3 5 2" xfId="32549" hidden="1"/>
    <cellStyle name="20% - Accent3 5 2" xfId="32697" hidden="1"/>
    <cellStyle name="20% - Accent3 5 2" xfId="33035" hidden="1"/>
    <cellStyle name="20% - Accent3 5 2" xfId="33372" hidden="1"/>
    <cellStyle name="20% - Accent3 7" xfId="128" hidden="1"/>
    <cellStyle name="20% - Accent3 7" xfId="208" hidden="1"/>
    <cellStyle name="20% - Accent3 7" xfId="289" hidden="1"/>
    <cellStyle name="20% - Accent3 7" xfId="475" hidden="1"/>
    <cellStyle name="20% - Accent3 7" xfId="2328" hidden="1"/>
    <cellStyle name="20% - Accent3 7" xfId="2464" hidden="1"/>
    <cellStyle name="20% - Accent3 7" xfId="2620" hidden="1"/>
    <cellStyle name="20% - Accent3 7" xfId="2288" hidden="1"/>
    <cellStyle name="20% - Accent3 7" xfId="2857" hidden="1"/>
    <cellStyle name="20% - Accent3 7" xfId="1964" hidden="1"/>
    <cellStyle name="20% - Accent3 7" xfId="2878" hidden="1"/>
    <cellStyle name="20% - Accent3 7" xfId="4456" hidden="1"/>
    <cellStyle name="20% - Accent3 7" xfId="4642" hidden="1"/>
    <cellStyle name="20% - Accent3 7" xfId="3855" hidden="1"/>
    <cellStyle name="20% - Accent3 7" xfId="4843" hidden="1"/>
    <cellStyle name="20% - Accent3 7" xfId="1824" hidden="1"/>
    <cellStyle name="20% - Accent3 7" xfId="4857" hidden="1"/>
    <cellStyle name="20% - Accent3 7" xfId="6403" hidden="1"/>
    <cellStyle name="20% - Accent3 7" xfId="6545" hidden="1"/>
    <cellStyle name="20% - Accent3 7" xfId="1954" hidden="1"/>
    <cellStyle name="20% - Accent3 7" xfId="7586" hidden="1"/>
    <cellStyle name="20% - Accent3 7" xfId="7745" hidden="1"/>
    <cellStyle name="20% - Accent3 7" xfId="5928" hidden="1"/>
    <cellStyle name="20% - Accent3 7" xfId="8832" hidden="1"/>
    <cellStyle name="20% - Accent3 7" xfId="9819" hidden="1"/>
    <cellStyle name="20% - Accent3 7" xfId="9896" hidden="1"/>
    <cellStyle name="20% - Accent3 7" xfId="9974" hidden="1"/>
    <cellStyle name="20% - Accent3 7" xfId="10052" hidden="1"/>
    <cellStyle name="20% - Accent3 7" xfId="10634" hidden="1"/>
    <cellStyle name="20% - Accent3 7" xfId="10713" hidden="1"/>
    <cellStyle name="20% - Accent3 7" xfId="10791" hidden="1"/>
    <cellStyle name="20% - Accent3 7" xfId="10624" hidden="1"/>
    <cellStyle name="20% - Accent3 7" xfId="10878" hidden="1"/>
    <cellStyle name="20% - Accent3 7" xfId="10486" hidden="1"/>
    <cellStyle name="20% - Accent3 7" xfId="10884" hidden="1"/>
    <cellStyle name="20% - Accent3 7" xfId="11308" hidden="1"/>
    <cellStyle name="20% - Accent3 7" xfId="11386" hidden="1"/>
    <cellStyle name="20% - Accent3 7" xfId="11108" hidden="1"/>
    <cellStyle name="20% - Accent3 7" xfId="11467" hidden="1"/>
    <cellStyle name="20% - Accent3 7" xfId="10422" hidden="1"/>
    <cellStyle name="20% - Accent3 7" xfId="11472" hidden="1"/>
    <cellStyle name="20% - Accent3 7" xfId="11840" hidden="1"/>
    <cellStyle name="20% - Accent3 7" xfId="11918" hidden="1"/>
    <cellStyle name="20% - Accent3 7" xfId="10483" hidden="1"/>
    <cellStyle name="20% - Accent3 7" xfId="12177" hidden="1"/>
    <cellStyle name="20% - Accent3 7" xfId="12255" hidden="1"/>
    <cellStyle name="20% - Accent3 7" xfId="11669" hidden="1"/>
    <cellStyle name="20% - Accent3 7" xfId="12514" hidden="1"/>
    <cellStyle name="20% - Accent3 7" xfId="12611" hidden="1"/>
    <cellStyle name="20% - Accent3 7" xfId="12688" hidden="1"/>
    <cellStyle name="20% - Accent3 7" xfId="12766" hidden="1"/>
    <cellStyle name="20% - Accent3 7" xfId="12844" hidden="1"/>
    <cellStyle name="20% - Accent3 7" xfId="13426" hidden="1"/>
    <cellStyle name="20% - Accent3 7" xfId="13505" hidden="1"/>
    <cellStyle name="20% - Accent3 7" xfId="13583" hidden="1"/>
    <cellStyle name="20% - Accent3 7" xfId="13416" hidden="1"/>
    <cellStyle name="20% - Accent3 7" xfId="13670" hidden="1"/>
    <cellStyle name="20% - Accent3 7" xfId="13278" hidden="1"/>
    <cellStyle name="20% - Accent3 7" xfId="13676" hidden="1"/>
    <cellStyle name="20% - Accent3 7" xfId="14100" hidden="1"/>
    <cellStyle name="20% - Accent3 7" xfId="14178" hidden="1"/>
    <cellStyle name="20% - Accent3 7" xfId="13900" hidden="1"/>
    <cellStyle name="20% - Accent3 7" xfId="14259" hidden="1"/>
    <cellStyle name="20% - Accent3 7" xfId="13214" hidden="1"/>
    <cellStyle name="20% - Accent3 7" xfId="14264" hidden="1"/>
    <cellStyle name="20% - Accent3 7" xfId="14632" hidden="1"/>
    <cellStyle name="20% - Accent3 7" xfId="14710" hidden="1"/>
    <cellStyle name="20% - Accent3 7" xfId="13275" hidden="1"/>
    <cellStyle name="20% - Accent3 7" xfId="14969" hidden="1"/>
    <cellStyle name="20% - Accent3 7" xfId="15047" hidden="1"/>
    <cellStyle name="20% - Accent3 7" xfId="14461" hidden="1"/>
    <cellStyle name="20% - Accent3 7" xfId="15306" hidden="1"/>
    <cellStyle name="20% - Accent3 7" xfId="9642" hidden="1"/>
    <cellStyle name="20% - Accent3 7" xfId="9549" hidden="1"/>
    <cellStyle name="20% - Accent3 7" xfId="9433" hidden="1"/>
    <cellStyle name="20% - Accent3 7" xfId="9315" hidden="1"/>
    <cellStyle name="20% - Accent3 7" xfId="7053" hidden="1"/>
    <cellStyle name="20% - Accent3 7" xfId="6954" hidden="1"/>
    <cellStyle name="20% - Accent3 7" xfId="6865" hidden="1"/>
    <cellStyle name="20% - Accent3 7" xfId="7179" hidden="1"/>
    <cellStyle name="20% - Accent3 7" xfId="6731" hidden="1"/>
    <cellStyle name="20% - Accent3 7" xfId="7617" hidden="1"/>
    <cellStyle name="20% - Accent3 7" xfId="6716" hidden="1"/>
    <cellStyle name="20% - Accent3 7" xfId="4803" hidden="1"/>
    <cellStyle name="20% - Accent3 7" xfId="4618" hidden="1"/>
    <cellStyle name="20% - Accent3 7" xfId="5563" hidden="1"/>
    <cellStyle name="20% - Accent3 7" xfId="4300" hidden="1"/>
    <cellStyle name="20% - Accent3 7" xfId="7911" hidden="1"/>
    <cellStyle name="20% - Accent3 7" xfId="4295" hidden="1"/>
    <cellStyle name="20% - Accent3 7" xfId="2653" hidden="1"/>
    <cellStyle name="20% - Accent3 7" xfId="2457" hidden="1"/>
    <cellStyle name="20% - Accent3 7" xfId="7624" hidden="1"/>
    <cellStyle name="20% - Accent3 7" xfId="1317" hidden="1"/>
    <cellStyle name="20% - Accent3 7" xfId="1133" hidden="1"/>
    <cellStyle name="20% - Accent3 7" xfId="3369" hidden="1"/>
    <cellStyle name="20% - Accent3 7" xfId="15455" hidden="1"/>
    <cellStyle name="20% - Accent3 7" xfId="16160" hidden="1"/>
    <cellStyle name="20% - Accent3 7" xfId="16237" hidden="1"/>
    <cellStyle name="20% - Accent3 7" xfId="16315" hidden="1"/>
    <cellStyle name="20% - Accent3 7" xfId="16393" hidden="1"/>
    <cellStyle name="20% - Accent3 7" xfId="16975" hidden="1"/>
    <cellStyle name="20% - Accent3 7" xfId="17054" hidden="1"/>
    <cellStyle name="20% - Accent3 7" xfId="17132" hidden="1"/>
    <cellStyle name="20% - Accent3 7" xfId="16965" hidden="1"/>
    <cellStyle name="20% - Accent3 7" xfId="17219" hidden="1"/>
    <cellStyle name="20% - Accent3 7" xfId="16827" hidden="1"/>
    <cellStyle name="20% - Accent3 7" xfId="17225" hidden="1"/>
    <cellStyle name="20% - Accent3 7" xfId="17649" hidden="1"/>
    <cellStyle name="20% - Accent3 7" xfId="17727" hidden="1"/>
    <cellStyle name="20% - Accent3 7" xfId="17449" hidden="1"/>
    <cellStyle name="20% - Accent3 7" xfId="17808" hidden="1"/>
    <cellStyle name="20% - Accent3 7" xfId="16763" hidden="1"/>
    <cellStyle name="20% - Accent3 7" xfId="17813" hidden="1"/>
    <cellStyle name="20% - Accent3 7" xfId="18181" hidden="1"/>
    <cellStyle name="20% - Accent3 7" xfId="18259" hidden="1"/>
    <cellStyle name="20% - Accent3 7" xfId="16824" hidden="1"/>
    <cellStyle name="20% - Accent3 7" xfId="18518" hidden="1"/>
    <cellStyle name="20% - Accent3 7" xfId="18596" hidden="1"/>
    <cellStyle name="20% - Accent3 7" xfId="18010" hidden="1"/>
    <cellStyle name="20% - Accent3 7" xfId="18855" hidden="1"/>
    <cellStyle name="20% - Accent3 7" xfId="18952" hidden="1"/>
    <cellStyle name="20% - Accent3 7" xfId="19029" hidden="1"/>
    <cellStyle name="20% - Accent3 7" xfId="19107" hidden="1"/>
    <cellStyle name="20% - Accent3 7" xfId="19185" hidden="1"/>
    <cellStyle name="20% - Accent3 7" xfId="19767" hidden="1"/>
    <cellStyle name="20% - Accent3 7" xfId="19846" hidden="1"/>
    <cellStyle name="20% - Accent3 7" xfId="19924" hidden="1"/>
    <cellStyle name="20% - Accent3 7" xfId="19757" hidden="1"/>
    <cellStyle name="20% - Accent3 7" xfId="20011" hidden="1"/>
    <cellStyle name="20% - Accent3 7" xfId="19619" hidden="1"/>
    <cellStyle name="20% - Accent3 7" xfId="20017" hidden="1"/>
    <cellStyle name="20% - Accent3 7" xfId="20441" hidden="1"/>
    <cellStyle name="20% - Accent3 7" xfId="20519" hidden="1"/>
    <cellStyle name="20% - Accent3 7" xfId="20241" hidden="1"/>
    <cellStyle name="20% - Accent3 7" xfId="20600" hidden="1"/>
    <cellStyle name="20% - Accent3 7" xfId="19555" hidden="1"/>
    <cellStyle name="20% - Accent3 7" xfId="20605" hidden="1"/>
    <cellStyle name="20% - Accent3 7" xfId="20973" hidden="1"/>
    <cellStyle name="20% - Accent3 7" xfId="21051" hidden="1"/>
    <cellStyle name="20% - Accent3 7" xfId="19616" hidden="1"/>
    <cellStyle name="20% - Accent3 7" xfId="21310" hidden="1"/>
    <cellStyle name="20% - Accent3 7" xfId="21388" hidden="1"/>
    <cellStyle name="20% - Accent3 7" xfId="20802" hidden="1"/>
    <cellStyle name="20% - Accent3 7" xfId="21647" hidden="1"/>
    <cellStyle name="20% - Accent3 7" xfId="16031" hidden="1"/>
    <cellStyle name="20% - Accent3 7" xfId="15954" hidden="1"/>
    <cellStyle name="20% - Accent3 7" xfId="15875" hidden="1"/>
    <cellStyle name="20% - Accent3 7" xfId="15792" hidden="1"/>
    <cellStyle name="20% - Accent3 7" xfId="8063" hidden="1"/>
    <cellStyle name="20% - Accent3 7" xfId="7917" hidden="1"/>
    <cellStyle name="20% - Accent3 7" xfId="7664" hidden="1"/>
    <cellStyle name="20% - Accent3 7" xfId="8107" hidden="1"/>
    <cellStyle name="20% - Accent3 7" xfId="7390" hidden="1"/>
    <cellStyle name="20% - Accent3 7" xfId="8489" hidden="1"/>
    <cellStyle name="20% - Accent3 7" xfId="7382" hidden="1"/>
    <cellStyle name="20% - Accent3 7" xfId="5255" hidden="1"/>
    <cellStyle name="20% - Accent3 7" xfId="5050" hidden="1"/>
    <cellStyle name="20% - Accent3 7" xfId="5929" hidden="1"/>
    <cellStyle name="20% - Accent3 7" xfId="4923" hidden="1"/>
    <cellStyle name="20% - Accent3 7" xfId="8773" hidden="1"/>
    <cellStyle name="20% - Accent3 7" xfId="4917" hidden="1"/>
    <cellStyle name="20% - Accent3 7" xfId="2977" hidden="1"/>
    <cellStyle name="20% - Accent3 7" xfId="2844" hidden="1"/>
    <cellStyle name="20% - Accent3 7" xfId="8493" hidden="1"/>
    <cellStyle name="20% - Accent3 7" xfId="1470" hidden="1"/>
    <cellStyle name="20% - Accent3 7" xfId="1271" hidden="1"/>
    <cellStyle name="20% - Accent3 7" xfId="3628" hidden="1"/>
    <cellStyle name="20% - Accent3 7" xfId="21784" hidden="1"/>
    <cellStyle name="20% - Accent3 7" xfId="22311" hidden="1"/>
    <cellStyle name="20% - Accent3 7" xfId="22388" hidden="1"/>
    <cellStyle name="20% - Accent3 7" xfId="22466" hidden="1"/>
    <cellStyle name="20% - Accent3 7" xfId="22544" hidden="1"/>
    <cellStyle name="20% - Accent3 7" xfId="23126" hidden="1"/>
    <cellStyle name="20% - Accent3 7" xfId="23205" hidden="1"/>
    <cellStyle name="20% - Accent3 7" xfId="23283" hidden="1"/>
    <cellStyle name="20% - Accent3 7" xfId="23116" hidden="1"/>
    <cellStyle name="20% - Accent3 7" xfId="23370" hidden="1"/>
    <cellStyle name="20% - Accent3 7" xfId="22978" hidden="1"/>
    <cellStyle name="20% - Accent3 7" xfId="23376" hidden="1"/>
    <cellStyle name="20% - Accent3 7" xfId="23800" hidden="1"/>
    <cellStyle name="20% - Accent3 7" xfId="23878" hidden="1"/>
    <cellStyle name="20% - Accent3 7" xfId="23600" hidden="1"/>
    <cellStyle name="20% - Accent3 7" xfId="23959" hidden="1"/>
    <cellStyle name="20% - Accent3 7" xfId="22914" hidden="1"/>
    <cellStyle name="20% - Accent3 7" xfId="23964" hidden="1"/>
    <cellStyle name="20% - Accent3 7" xfId="24332" hidden="1"/>
    <cellStyle name="20% - Accent3 7" xfId="24410" hidden="1"/>
    <cellStyle name="20% - Accent3 7" xfId="22975" hidden="1"/>
    <cellStyle name="20% - Accent3 7" xfId="24669" hidden="1"/>
    <cellStyle name="20% - Accent3 7" xfId="24747" hidden="1"/>
    <cellStyle name="20% - Accent3 7" xfId="24161" hidden="1"/>
    <cellStyle name="20% - Accent3 7" xfId="25006" hidden="1"/>
    <cellStyle name="20% - Accent3 7" xfId="25103" hidden="1"/>
    <cellStyle name="20% - Accent3 7" xfId="25180" hidden="1"/>
    <cellStyle name="20% - Accent3 7" xfId="25258" hidden="1"/>
    <cellStyle name="20% - Accent3 7" xfId="25336" hidden="1"/>
    <cellStyle name="20% - Accent3 7" xfId="25918" hidden="1"/>
    <cellStyle name="20% - Accent3 7" xfId="25997" hidden="1"/>
    <cellStyle name="20% - Accent3 7" xfId="26075" hidden="1"/>
    <cellStyle name="20% - Accent3 7" xfId="25908" hidden="1"/>
    <cellStyle name="20% - Accent3 7" xfId="26162" hidden="1"/>
    <cellStyle name="20% - Accent3 7" xfId="25770" hidden="1"/>
    <cellStyle name="20% - Accent3 7" xfId="26168" hidden="1"/>
    <cellStyle name="20% - Accent3 7" xfId="26592" hidden="1"/>
    <cellStyle name="20% - Accent3 7" xfId="26670" hidden="1"/>
    <cellStyle name="20% - Accent3 7" xfId="26392" hidden="1"/>
    <cellStyle name="20% - Accent3 7" xfId="26751" hidden="1"/>
    <cellStyle name="20% - Accent3 7" xfId="25706" hidden="1"/>
    <cellStyle name="20% - Accent3 7" xfId="26756" hidden="1"/>
    <cellStyle name="20% - Accent3 7" xfId="27124" hidden="1"/>
    <cellStyle name="20% - Accent3 7" xfId="27202" hidden="1"/>
    <cellStyle name="20% - Accent3 7" xfId="25767" hidden="1"/>
    <cellStyle name="20% - Accent3 7" xfId="27461" hidden="1"/>
    <cellStyle name="20% - Accent3 7" xfId="27539" hidden="1"/>
    <cellStyle name="20% - Accent3 7" xfId="26953" hidden="1"/>
    <cellStyle name="20% - Accent3 7" xfId="27798" hidden="1"/>
    <cellStyle name="20% - Accent3 7" xfId="22284" hidden="1"/>
    <cellStyle name="20% - Accent3 7" xfId="22207" hidden="1"/>
    <cellStyle name="20% - Accent3 7" xfId="22128" hidden="1"/>
    <cellStyle name="20% - Accent3 7" xfId="22045" hidden="1"/>
    <cellStyle name="20% - Accent3 7" xfId="9012" hidden="1"/>
    <cellStyle name="20% - Accent3 7" xfId="8791" hidden="1"/>
    <cellStyle name="20% - Accent3 7" xfId="8519" hidden="1"/>
    <cellStyle name="20% - Accent3 7" xfId="9040" hidden="1"/>
    <cellStyle name="20% - Accent3 7" xfId="8245" hidden="1"/>
    <cellStyle name="20% - Accent3 7" xfId="9543" hidden="1"/>
    <cellStyle name="20% - Accent3 7" xfId="8236" hidden="1"/>
    <cellStyle name="20% - Accent3 7" xfId="5793" hidden="1"/>
    <cellStyle name="20% - Accent3 7" xfId="5559" hidden="1"/>
    <cellStyle name="20% - Accent3 7" xfId="6472" hidden="1"/>
    <cellStyle name="20% - Accent3 7" xfId="5452" hidden="1"/>
    <cellStyle name="20% - Accent3 7" xfId="15411" hidden="1"/>
    <cellStyle name="20% - Accent3 7" xfId="5447" hidden="1"/>
    <cellStyle name="20% - Accent3 7" xfId="3322" hidden="1"/>
    <cellStyle name="20% - Accent3 7" xfId="3129" hidden="1"/>
    <cellStyle name="20% - Accent3 7" xfId="9548" hidden="1"/>
    <cellStyle name="20% - Accent3 7" xfId="1617" hidden="1"/>
    <cellStyle name="20% - Accent3 7" xfId="1441" hidden="1"/>
    <cellStyle name="20% - Accent3 7" xfId="3800" hidden="1"/>
    <cellStyle name="20% - Accent3 7" xfId="27933" hidden="1"/>
    <cellStyle name="20% - Accent3 7" xfId="28030" hidden="1"/>
    <cellStyle name="20% - Accent3 7" xfId="28107" hidden="1"/>
    <cellStyle name="20% - Accent3 7" xfId="28185" hidden="1"/>
    <cellStyle name="20% - Accent3 7" xfId="28263" hidden="1"/>
    <cellStyle name="20% - Accent3 7" xfId="28845" hidden="1"/>
    <cellStyle name="20% - Accent3 7" xfId="28924" hidden="1"/>
    <cellStyle name="20% - Accent3 7" xfId="29002" hidden="1"/>
    <cellStyle name="20% - Accent3 7" xfId="28835" hidden="1"/>
    <cellStyle name="20% - Accent3 7" xfId="29089" hidden="1"/>
    <cellStyle name="20% - Accent3 7" xfId="28697" hidden="1"/>
    <cellStyle name="20% - Accent3 7" xfId="29095" hidden="1"/>
    <cellStyle name="20% - Accent3 7" xfId="29519" hidden="1"/>
    <cellStyle name="20% - Accent3 7" xfId="29597" hidden="1"/>
    <cellStyle name="20% - Accent3 7" xfId="29319" hidden="1"/>
    <cellStyle name="20% - Accent3 7" xfId="29678" hidden="1"/>
    <cellStyle name="20% - Accent3 7" xfId="28633" hidden="1"/>
    <cellStyle name="20% - Accent3 7" xfId="29683" hidden="1"/>
    <cellStyle name="20% - Accent3 7" xfId="30051" hidden="1"/>
    <cellStyle name="20% - Accent3 7" xfId="30129" hidden="1"/>
    <cellStyle name="20% - Accent3 7" xfId="28694" hidden="1"/>
    <cellStyle name="20% - Accent3 7" xfId="30388" hidden="1"/>
    <cellStyle name="20% - Accent3 7" xfId="30466" hidden="1"/>
    <cellStyle name="20% - Accent3 7" xfId="29880" hidden="1"/>
    <cellStyle name="20% - Accent3 7" xfId="30725" hidden="1"/>
    <cellStyle name="20% - Accent3 7" xfId="30822" hidden="1"/>
    <cellStyle name="20% - Accent3 7" xfId="30899" hidden="1"/>
    <cellStyle name="20% - Accent3 7" xfId="30977" hidden="1"/>
    <cellStyle name="20% - Accent3 7" xfId="31055" hidden="1"/>
    <cellStyle name="20% - Accent3 7" xfId="31637" hidden="1"/>
    <cellStyle name="20% - Accent3 7" xfId="31716" hidden="1"/>
    <cellStyle name="20% - Accent3 7" xfId="31794" hidden="1"/>
    <cellStyle name="20% - Accent3 7" xfId="31627" hidden="1"/>
    <cellStyle name="20% - Accent3 7" xfId="31881" hidden="1"/>
    <cellStyle name="20% - Accent3 7" xfId="31489" hidden="1"/>
    <cellStyle name="20% - Accent3 7" xfId="31887" hidden="1"/>
    <cellStyle name="20% - Accent3 7" xfId="32311" hidden="1"/>
    <cellStyle name="20% - Accent3 7" xfId="32389" hidden="1"/>
    <cellStyle name="20% - Accent3 7" xfId="32111" hidden="1"/>
    <cellStyle name="20% - Accent3 7" xfId="32470" hidden="1"/>
    <cellStyle name="20% - Accent3 7" xfId="31425" hidden="1"/>
    <cellStyle name="20% - Accent3 7" xfId="32475" hidden="1"/>
    <cellStyle name="20% - Accent3 7" xfId="32843" hidden="1"/>
    <cellStyle name="20% - Accent3 7" xfId="32921" hidden="1"/>
    <cellStyle name="20% - Accent3 7" xfId="31486" hidden="1"/>
    <cellStyle name="20% - Accent3 7" xfId="33180" hidden="1"/>
    <cellStyle name="20% - Accent3 7" xfId="33258" hidden="1"/>
    <cellStyle name="20% - Accent3 7" xfId="32672" hidden="1"/>
    <cellStyle name="20% - Accent3 7" xfId="33517" hidden="1"/>
    <cellStyle name="20% - Accent3 8" xfId="144" hidden="1"/>
    <cellStyle name="20% - Accent3 8" xfId="214" hidden="1"/>
    <cellStyle name="20% - Accent3 8" xfId="298" hidden="1"/>
    <cellStyle name="20% - Accent3 8" xfId="512" hidden="1"/>
    <cellStyle name="20% - Accent3 8" xfId="2347" hidden="1"/>
    <cellStyle name="20% - Accent3 8" xfId="2479" hidden="1"/>
    <cellStyle name="20% - Accent3 8" xfId="2635" hidden="1"/>
    <cellStyle name="20% - Accent3 8" xfId="2265" hidden="1"/>
    <cellStyle name="20% - Accent3 8" xfId="2949" hidden="1"/>
    <cellStyle name="20% - Accent3 8" xfId="1584" hidden="1"/>
    <cellStyle name="20% - Accent3 8" xfId="4294" hidden="1"/>
    <cellStyle name="20% - Accent3 8" xfId="4493" hidden="1"/>
    <cellStyle name="20% - Accent3 8" xfId="4662" hidden="1"/>
    <cellStyle name="20% - Accent3 8" xfId="2852" hidden="1"/>
    <cellStyle name="20% - Accent3 8" xfId="4901" hidden="1"/>
    <cellStyle name="20% - Accent3 8" xfId="2285" hidden="1"/>
    <cellStyle name="20% - Accent3 8" xfId="6315" hidden="1"/>
    <cellStyle name="20% - Accent3 8" xfId="6411" hidden="1"/>
    <cellStyle name="20% - Accent3 8" xfId="6582" hidden="1"/>
    <cellStyle name="20% - Accent3 8" xfId="7425" hidden="1"/>
    <cellStyle name="20% - Accent3 8" xfId="7603" hidden="1"/>
    <cellStyle name="20% - Accent3 8" xfId="7764" hidden="1"/>
    <cellStyle name="20% - Accent3 8" xfId="8688" hidden="1"/>
    <cellStyle name="20% - Accent3 8" xfId="8850" hidden="1"/>
    <cellStyle name="20% - Accent3 8" xfId="9835" hidden="1"/>
    <cellStyle name="20% - Accent3 8" xfId="9902" hidden="1"/>
    <cellStyle name="20% - Accent3 8" xfId="9980" hidden="1"/>
    <cellStyle name="20% - Accent3 8" xfId="10058" hidden="1"/>
    <cellStyle name="20% - Accent3 8" xfId="10640" hidden="1"/>
    <cellStyle name="20% - Accent3 8" xfId="10719" hidden="1"/>
    <cellStyle name="20% - Accent3 8" xfId="10798" hidden="1"/>
    <cellStyle name="20% - Accent3 8" xfId="10605" hidden="1"/>
    <cellStyle name="20% - Accent3 8" xfId="10902" hidden="1"/>
    <cellStyle name="20% - Accent3 8" xfId="10343" hidden="1"/>
    <cellStyle name="20% - Accent3 8" xfId="11246" hidden="1"/>
    <cellStyle name="20% - Accent3 8" xfId="11314" hidden="1"/>
    <cellStyle name="20% - Accent3 8" xfId="11392" hidden="1"/>
    <cellStyle name="20% - Accent3 8" xfId="10875" hidden="1"/>
    <cellStyle name="20% - Accent3 8" xfId="11486" hidden="1"/>
    <cellStyle name="20% - Accent3 8" xfId="10622" hidden="1"/>
    <cellStyle name="20% - Accent3 8" xfId="11779" hidden="1"/>
    <cellStyle name="20% - Accent3 8" xfId="11846" hidden="1"/>
    <cellStyle name="20% - Accent3 8" xfId="11924" hidden="1"/>
    <cellStyle name="20% - Accent3 8" xfId="12116" hidden="1"/>
    <cellStyle name="20% - Accent3 8" xfId="12183" hidden="1"/>
    <cellStyle name="20% - Accent3 8" xfId="12261" hidden="1"/>
    <cellStyle name="20% - Accent3 8" xfId="12453" hidden="1"/>
    <cellStyle name="20% - Accent3 8" xfId="12520" hidden="1"/>
    <cellStyle name="20% - Accent3 8" xfId="12627" hidden="1"/>
    <cellStyle name="20% - Accent3 8" xfId="12694" hidden="1"/>
    <cellStyle name="20% - Accent3 8" xfId="12772" hidden="1"/>
    <cellStyle name="20% - Accent3 8" xfId="12850" hidden="1"/>
    <cellStyle name="20% - Accent3 8" xfId="13432" hidden="1"/>
    <cellStyle name="20% - Accent3 8" xfId="13511" hidden="1"/>
    <cellStyle name="20% - Accent3 8" xfId="13590" hidden="1"/>
    <cellStyle name="20% - Accent3 8" xfId="13397" hidden="1"/>
    <cellStyle name="20% - Accent3 8" xfId="13694" hidden="1"/>
    <cellStyle name="20% - Accent3 8" xfId="13135" hidden="1"/>
    <cellStyle name="20% - Accent3 8" xfId="14038" hidden="1"/>
    <cellStyle name="20% - Accent3 8" xfId="14106" hidden="1"/>
    <cellStyle name="20% - Accent3 8" xfId="14184" hidden="1"/>
    <cellStyle name="20% - Accent3 8" xfId="13667" hidden="1"/>
    <cellStyle name="20% - Accent3 8" xfId="14278" hidden="1"/>
    <cellStyle name="20% - Accent3 8" xfId="13414" hidden="1"/>
    <cellStyle name="20% - Accent3 8" xfId="14571" hidden="1"/>
    <cellStyle name="20% - Accent3 8" xfId="14638" hidden="1"/>
    <cellStyle name="20% - Accent3 8" xfId="14716" hidden="1"/>
    <cellStyle name="20% - Accent3 8" xfId="14908" hidden="1"/>
    <cellStyle name="20% - Accent3 8" xfId="14975" hidden="1"/>
    <cellStyle name="20% - Accent3 8" xfId="15053" hidden="1"/>
    <cellStyle name="20% - Accent3 8" xfId="15245" hidden="1"/>
    <cellStyle name="20% - Accent3 8" xfId="15312" hidden="1"/>
    <cellStyle name="20% - Accent3 8" xfId="9625" hidden="1"/>
    <cellStyle name="20% - Accent3 8" xfId="9539" hidden="1"/>
    <cellStyle name="20% - Accent3 8" xfId="9419" hidden="1"/>
    <cellStyle name="20% - Accent3 8" xfId="9308" hidden="1"/>
    <cellStyle name="20% - Accent3 8" xfId="7045" hidden="1"/>
    <cellStyle name="20% - Accent3 8" xfId="6947" hidden="1"/>
    <cellStyle name="20% - Accent3 8" xfId="6858" hidden="1"/>
    <cellStyle name="20% - Accent3 8" xfId="7210" hidden="1"/>
    <cellStyle name="20% - Accent3 8" xfId="6627" hidden="1"/>
    <cellStyle name="20% - Accent3 8" xfId="8154" hidden="1"/>
    <cellStyle name="20% - Accent3 8" xfId="4912" hidden="1"/>
    <cellStyle name="20% - Accent3 8" xfId="4794" hidden="1"/>
    <cellStyle name="20% - Accent3 8" xfId="4589" hidden="1"/>
    <cellStyle name="20% - Accent3 8" xfId="6739" hidden="1"/>
    <cellStyle name="20% - Accent3 8" xfId="4275" hidden="1"/>
    <cellStyle name="20% - Accent3 8" xfId="7181" hidden="1"/>
    <cellStyle name="20% - Accent3 8" xfId="2850" hidden="1"/>
    <cellStyle name="20% - Accent3 8" xfId="2632" hidden="1"/>
    <cellStyle name="20% - Accent3 8" xfId="2423" hidden="1"/>
    <cellStyle name="20% - Accent3 8" xfId="1472" hidden="1"/>
    <cellStyle name="20% - Accent3 8" xfId="1297" hidden="1"/>
    <cellStyle name="20% - Accent3 8" xfId="1115" hidden="1"/>
    <cellStyle name="20% - Accent3 8" xfId="116" hidden="1"/>
    <cellStyle name="20% - Accent3 8" xfId="15463" hidden="1"/>
    <cellStyle name="20% - Accent3 8" xfId="16176" hidden="1"/>
    <cellStyle name="20% - Accent3 8" xfId="16243" hidden="1"/>
    <cellStyle name="20% - Accent3 8" xfId="16321" hidden="1"/>
    <cellStyle name="20% - Accent3 8" xfId="16399" hidden="1"/>
    <cellStyle name="20% - Accent3 8" xfId="16981" hidden="1"/>
    <cellStyle name="20% - Accent3 8" xfId="17060" hidden="1"/>
    <cellStyle name="20% - Accent3 8" xfId="17139" hidden="1"/>
    <cellStyle name="20% - Accent3 8" xfId="16946" hidden="1"/>
    <cellStyle name="20% - Accent3 8" xfId="17243" hidden="1"/>
    <cellStyle name="20% - Accent3 8" xfId="16684" hidden="1"/>
    <cellStyle name="20% - Accent3 8" xfId="17587" hidden="1"/>
    <cellStyle name="20% - Accent3 8" xfId="17655" hidden="1"/>
    <cellStyle name="20% - Accent3 8" xfId="17733" hidden="1"/>
    <cellStyle name="20% - Accent3 8" xfId="17216" hidden="1"/>
    <cellStyle name="20% - Accent3 8" xfId="17827" hidden="1"/>
    <cellStyle name="20% - Accent3 8" xfId="16963" hidden="1"/>
    <cellStyle name="20% - Accent3 8" xfId="18120" hidden="1"/>
    <cellStyle name="20% - Accent3 8" xfId="18187" hidden="1"/>
    <cellStyle name="20% - Accent3 8" xfId="18265" hidden="1"/>
    <cellStyle name="20% - Accent3 8" xfId="18457" hidden="1"/>
    <cellStyle name="20% - Accent3 8" xfId="18524" hidden="1"/>
    <cellStyle name="20% - Accent3 8" xfId="18602" hidden="1"/>
    <cellStyle name="20% - Accent3 8" xfId="18794" hidden="1"/>
    <cellStyle name="20% - Accent3 8" xfId="18861" hidden="1"/>
    <cellStyle name="20% - Accent3 8" xfId="18968" hidden="1"/>
    <cellStyle name="20% - Accent3 8" xfId="19035" hidden="1"/>
    <cellStyle name="20% - Accent3 8" xfId="19113" hidden="1"/>
    <cellStyle name="20% - Accent3 8" xfId="19191" hidden="1"/>
    <cellStyle name="20% - Accent3 8" xfId="19773" hidden="1"/>
    <cellStyle name="20% - Accent3 8" xfId="19852" hidden="1"/>
    <cellStyle name="20% - Accent3 8" xfId="19931" hidden="1"/>
    <cellStyle name="20% - Accent3 8" xfId="19738" hidden="1"/>
    <cellStyle name="20% - Accent3 8" xfId="20035" hidden="1"/>
    <cellStyle name="20% - Accent3 8" xfId="19476" hidden="1"/>
    <cellStyle name="20% - Accent3 8" xfId="20379" hidden="1"/>
    <cellStyle name="20% - Accent3 8" xfId="20447" hidden="1"/>
    <cellStyle name="20% - Accent3 8" xfId="20525" hidden="1"/>
    <cellStyle name="20% - Accent3 8" xfId="20008" hidden="1"/>
    <cellStyle name="20% - Accent3 8" xfId="20619" hidden="1"/>
    <cellStyle name="20% - Accent3 8" xfId="19755" hidden="1"/>
    <cellStyle name="20% - Accent3 8" xfId="20912" hidden="1"/>
    <cellStyle name="20% - Accent3 8" xfId="20979" hidden="1"/>
    <cellStyle name="20% - Accent3 8" xfId="21057" hidden="1"/>
    <cellStyle name="20% - Accent3 8" xfId="21249" hidden="1"/>
    <cellStyle name="20% - Accent3 8" xfId="21316" hidden="1"/>
    <cellStyle name="20% - Accent3 8" xfId="21394" hidden="1"/>
    <cellStyle name="20% - Accent3 8" xfId="21586" hidden="1"/>
    <cellStyle name="20% - Accent3 8" xfId="21653" hidden="1"/>
    <cellStyle name="20% - Accent3 8" xfId="16015" hidden="1"/>
    <cellStyle name="20% - Accent3 8" xfId="15948" hidden="1"/>
    <cellStyle name="20% - Accent3 8" xfId="15869" hidden="1"/>
    <cellStyle name="20% - Accent3 8" xfId="15786" hidden="1"/>
    <cellStyle name="20% - Accent3 8" xfId="8051" hidden="1"/>
    <cellStyle name="20% - Accent3 8" xfId="7902" hidden="1"/>
    <cellStyle name="20% - Accent3 8" xfId="7635" hidden="1"/>
    <cellStyle name="20% - Accent3 8" xfId="8151" hidden="1"/>
    <cellStyle name="20% - Accent3 8" xfId="7323" hidden="1"/>
    <cellStyle name="20% - Accent3 8" xfId="9075" hidden="1"/>
    <cellStyle name="20% - Accent3 8" xfId="5341" hidden="1"/>
    <cellStyle name="20% - Accent3 8" xfId="5247" hidden="1"/>
    <cellStyle name="20% - Accent3 8" xfId="5040" hidden="1"/>
    <cellStyle name="20% - Accent3 8" xfId="7395" hidden="1"/>
    <cellStyle name="20% - Accent3 8" xfId="4890" hidden="1"/>
    <cellStyle name="20% - Accent3 8" xfId="8110" hidden="1"/>
    <cellStyle name="20% - Accent3 8" xfId="3127" hidden="1"/>
    <cellStyle name="20% - Accent3 8" xfId="2957" hidden="1"/>
    <cellStyle name="20% - Accent3 8" xfId="2833" hidden="1"/>
    <cellStyle name="20% - Accent3 8" xfId="1613" hidden="1"/>
    <cellStyle name="20% - Accent3 8" xfId="1450" hidden="1"/>
    <cellStyle name="20% - Accent3 8" xfId="1249" hidden="1"/>
    <cellStyle name="20% - Accent3 8" xfId="114" hidden="1"/>
    <cellStyle name="20% - Accent3 8" xfId="21790" hidden="1"/>
    <cellStyle name="20% - Accent3 8" xfId="22327" hidden="1"/>
    <cellStyle name="20% - Accent3 8" xfId="22394" hidden="1"/>
    <cellStyle name="20% - Accent3 8" xfId="22472" hidden="1"/>
    <cellStyle name="20% - Accent3 8" xfId="22550" hidden="1"/>
    <cellStyle name="20% - Accent3 8" xfId="23132" hidden="1"/>
    <cellStyle name="20% - Accent3 8" xfId="23211" hidden="1"/>
    <cellStyle name="20% - Accent3 8" xfId="23290" hidden="1"/>
    <cellStyle name="20% - Accent3 8" xfId="23097" hidden="1"/>
    <cellStyle name="20% - Accent3 8" xfId="23394" hidden="1"/>
    <cellStyle name="20% - Accent3 8" xfId="22835" hidden="1"/>
    <cellStyle name="20% - Accent3 8" xfId="23738" hidden="1"/>
    <cellStyle name="20% - Accent3 8" xfId="23806" hidden="1"/>
    <cellStyle name="20% - Accent3 8" xfId="23884" hidden="1"/>
    <cellStyle name="20% - Accent3 8" xfId="23367" hidden="1"/>
    <cellStyle name="20% - Accent3 8" xfId="23978" hidden="1"/>
    <cellStyle name="20% - Accent3 8" xfId="23114" hidden="1"/>
    <cellStyle name="20% - Accent3 8" xfId="24271" hidden="1"/>
    <cellStyle name="20% - Accent3 8" xfId="24338" hidden="1"/>
    <cellStyle name="20% - Accent3 8" xfId="24416" hidden="1"/>
    <cellStyle name="20% - Accent3 8" xfId="24608" hidden="1"/>
    <cellStyle name="20% - Accent3 8" xfId="24675" hidden="1"/>
    <cellStyle name="20% - Accent3 8" xfId="24753" hidden="1"/>
    <cellStyle name="20% - Accent3 8" xfId="24945" hidden="1"/>
    <cellStyle name="20% - Accent3 8" xfId="25012" hidden="1"/>
    <cellStyle name="20% - Accent3 8" xfId="25119" hidden="1"/>
    <cellStyle name="20% - Accent3 8" xfId="25186" hidden="1"/>
    <cellStyle name="20% - Accent3 8" xfId="25264" hidden="1"/>
    <cellStyle name="20% - Accent3 8" xfId="25342" hidden="1"/>
    <cellStyle name="20% - Accent3 8" xfId="25924" hidden="1"/>
    <cellStyle name="20% - Accent3 8" xfId="26003" hidden="1"/>
    <cellStyle name="20% - Accent3 8" xfId="26082" hidden="1"/>
    <cellStyle name="20% - Accent3 8" xfId="25889" hidden="1"/>
    <cellStyle name="20% - Accent3 8" xfId="26186" hidden="1"/>
    <cellStyle name="20% - Accent3 8" xfId="25627" hidden="1"/>
    <cellStyle name="20% - Accent3 8" xfId="26530" hidden="1"/>
    <cellStyle name="20% - Accent3 8" xfId="26598" hidden="1"/>
    <cellStyle name="20% - Accent3 8" xfId="26676" hidden="1"/>
    <cellStyle name="20% - Accent3 8" xfId="26159" hidden="1"/>
    <cellStyle name="20% - Accent3 8" xfId="26770" hidden="1"/>
    <cellStyle name="20% - Accent3 8" xfId="25906" hidden="1"/>
    <cellStyle name="20% - Accent3 8" xfId="27063" hidden="1"/>
    <cellStyle name="20% - Accent3 8" xfId="27130" hidden="1"/>
    <cellStyle name="20% - Accent3 8" xfId="27208" hidden="1"/>
    <cellStyle name="20% - Accent3 8" xfId="27400" hidden="1"/>
    <cellStyle name="20% - Accent3 8" xfId="27467" hidden="1"/>
    <cellStyle name="20% - Accent3 8" xfId="27545" hidden="1"/>
    <cellStyle name="20% - Accent3 8" xfId="27737" hidden="1"/>
    <cellStyle name="20% - Accent3 8" xfId="27804" hidden="1"/>
    <cellStyle name="20% - Accent3 8" xfId="22268" hidden="1"/>
    <cellStyle name="20% - Accent3 8" xfId="22201" hidden="1"/>
    <cellStyle name="20% - Accent3 8" xfId="22122" hidden="1"/>
    <cellStyle name="20% - Accent3 8" xfId="22039" hidden="1"/>
    <cellStyle name="20% - Accent3 8" xfId="9001" hidden="1"/>
    <cellStyle name="20% - Accent3 8" xfId="8753" hidden="1"/>
    <cellStyle name="20% - Accent3 8" xfId="8505" hidden="1"/>
    <cellStyle name="20% - Accent3 8" xfId="9079" hidden="1"/>
    <cellStyle name="20% - Accent3 8" xfId="8181" hidden="1"/>
    <cellStyle name="20% - Accent3 8" xfId="15606" hidden="1"/>
    <cellStyle name="20% - Accent3 8" xfId="5891" hidden="1"/>
    <cellStyle name="20% - Accent3 8" xfId="5778" hidden="1"/>
    <cellStyle name="20% - Accent3 8" xfId="5549" hidden="1"/>
    <cellStyle name="20% - Accent3 8" xfId="8251" hidden="1"/>
    <cellStyle name="20% - Accent3 8" xfId="5323" hidden="1"/>
    <cellStyle name="20% - Accent3 8" xfId="9043" hidden="1"/>
    <cellStyle name="20% - Accent3 8" xfId="3401" hidden="1"/>
    <cellStyle name="20% - Accent3 8" xfId="3316" hidden="1"/>
    <cellStyle name="20% - Accent3 8" xfId="3115" hidden="1"/>
    <cellStyle name="20% - Accent3 8" xfId="1716" hidden="1"/>
    <cellStyle name="20% - Accent3 8" xfId="1607" hidden="1"/>
    <cellStyle name="20% - Accent3 8" xfId="1431" hidden="1"/>
    <cellStyle name="20% - Accent3 8" xfId="115" hidden="1"/>
    <cellStyle name="20% - Accent3 8" xfId="27939" hidden="1"/>
    <cellStyle name="20% - Accent3 8" xfId="28046" hidden="1"/>
    <cellStyle name="20% - Accent3 8" xfId="28113" hidden="1"/>
    <cellStyle name="20% - Accent3 8" xfId="28191" hidden="1"/>
    <cellStyle name="20% - Accent3 8" xfId="28269" hidden="1"/>
    <cellStyle name="20% - Accent3 8" xfId="28851" hidden="1"/>
    <cellStyle name="20% - Accent3 8" xfId="28930" hidden="1"/>
    <cellStyle name="20% - Accent3 8" xfId="29009" hidden="1"/>
    <cellStyle name="20% - Accent3 8" xfId="28816" hidden="1"/>
    <cellStyle name="20% - Accent3 8" xfId="29113" hidden="1"/>
    <cellStyle name="20% - Accent3 8" xfId="28554" hidden="1"/>
    <cellStyle name="20% - Accent3 8" xfId="29457" hidden="1"/>
    <cellStyle name="20% - Accent3 8" xfId="29525" hidden="1"/>
    <cellStyle name="20% - Accent3 8" xfId="29603" hidden="1"/>
    <cellStyle name="20% - Accent3 8" xfId="29086" hidden="1"/>
    <cellStyle name="20% - Accent3 8" xfId="29697" hidden="1"/>
    <cellStyle name="20% - Accent3 8" xfId="28833" hidden="1"/>
    <cellStyle name="20% - Accent3 8" xfId="29990" hidden="1"/>
    <cellStyle name="20% - Accent3 8" xfId="30057" hidden="1"/>
    <cellStyle name="20% - Accent3 8" xfId="30135" hidden="1"/>
    <cellStyle name="20% - Accent3 8" xfId="30327" hidden="1"/>
    <cellStyle name="20% - Accent3 8" xfId="30394" hidden="1"/>
    <cellStyle name="20% - Accent3 8" xfId="30472" hidden="1"/>
    <cellStyle name="20% - Accent3 8" xfId="30664" hidden="1"/>
    <cellStyle name="20% - Accent3 8" xfId="30731" hidden="1"/>
    <cellStyle name="20% - Accent3 8" xfId="30838" hidden="1"/>
    <cellStyle name="20% - Accent3 8" xfId="30905" hidden="1"/>
    <cellStyle name="20% - Accent3 8" xfId="30983" hidden="1"/>
    <cellStyle name="20% - Accent3 8" xfId="31061" hidden="1"/>
    <cellStyle name="20% - Accent3 8" xfId="31643" hidden="1"/>
    <cellStyle name="20% - Accent3 8" xfId="31722" hidden="1"/>
    <cellStyle name="20% - Accent3 8" xfId="31801" hidden="1"/>
    <cellStyle name="20% - Accent3 8" xfId="31608" hidden="1"/>
    <cellStyle name="20% - Accent3 8" xfId="31905" hidden="1"/>
    <cellStyle name="20% - Accent3 8" xfId="31346" hidden="1"/>
    <cellStyle name="20% - Accent3 8" xfId="32249" hidden="1"/>
    <cellStyle name="20% - Accent3 8" xfId="32317" hidden="1"/>
    <cellStyle name="20% - Accent3 8" xfId="32395" hidden="1"/>
    <cellStyle name="20% - Accent3 8" xfId="31878" hidden="1"/>
    <cellStyle name="20% - Accent3 8" xfId="32489" hidden="1"/>
    <cellStyle name="20% - Accent3 8" xfId="31625" hidden="1"/>
    <cellStyle name="20% - Accent3 8" xfId="32782" hidden="1"/>
    <cellStyle name="20% - Accent3 8" xfId="32849" hidden="1"/>
    <cellStyle name="20% - Accent3 8" xfId="32927" hidden="1"/>
    <cellStyle name="20% - Accent3 8" xfId="33119" hidden="1"/>
    <cellStyle name="20% - Accent3 8" xfId="33186" hidden="1"/>
    <cellStyle name="20% - Accent3 8" xfId="33264" hidden="1"/>
    <cellStyle name="20% - Accent3 8" xfId="33456" hidden="1"/>
    <cellStyle name="20% - Accent3 8" xfId="33523" hidden="1"/>
    <cellStyle name="20% - Accent3 9" xfId="157" hidden="1"/>
    <cellStyle name="20% - Accent3 9" xfId="237" hidden="1"/>
    <cellStyle name="20% - Accent3 9" xfId="316" hidden="1"/>
    <cellStyle name="20% - Accent3 9" xfId="649" hidden="1"/>
    <cellStyle name="20% - Accent3 9" xfId="2398" hidden="1"/>
    <cellStyle name="20% - Accent3 9" xfId="2549" hidden="1"/>
    <cellStyle name="20% - Accent3 9" xfId="2729" hidden="1"/>
    <cellStyle name="20% - Accent3 9" xfId="3790" hidden="1"/>
    <cellStyle name="20% - Accent3 9" xfId="1885" hidden="1"/>
    <cellStyle name="20% - Accent3 9" xfId="1594" hidden="1"/>
    <cellStyle name="20% - Accent3 9" xfId="4322" hidden="1"/>
    <cellStyle name="20% - Accent3 9" xfId="4566" hidden="1"/>
    <cellStyle name="20% - Accent3 9" xfId="4726" hidden="1"/>
    <cellStyle name="20% - Accent3 9" xfId="5798" hidden="1"/>
    <cellStyle name="20% - Accent3 9" xfId="2011" hidden="1"/>
    <cellStyle name="20% - Accent3 9" xfId="2251" hidden="1"/>
    <cellStyle name="20% - Accent3 9" xfId="6340" hidden="1"/>
    <cellStyle name="20% - Accent3 9" xfId="6447" hidden="1"/>
    <cellStyle name="20% - Accent3 9" xfId="6646" hidden="1"/>
    <cellStyle name="20% - Accent3 9" xfId="7498" hidden="1"/>
    <cellStyle name="20% - Accent3 9" xfId="7652" hidden="1"/>
    <cellStyle name="20% - Accent3 9" xfId="7834" hidden="1"/>
    <cellStyle name="20% - Accent3 9" xfId="8746" hidden="1"/>
    <cellStyle name="20% - Accent3 9" xfId="8924" hidden="1"/>
    <cellStyle name="20% - Accent3 9" xfId="9848" hidden="1"/>
    <cellStyle name="20% - Accent3 9" xfId="9922" hidden="1"/>
    <cellStyle name="20% - Accent3 9" xfId="9998" hidden="1"/>
    <cellStyle name="20% - Accent3 9" xfId="10076" hidden="1"/>
    <cellStyle name="20% - Accent3 9" xfId="10661" hidden="1"/>
    <cellStyle name="20% - Accent3 9" xfId="10737" hidden="1"/>
    <cellStyle name="20% - Accent3 9" xfId="10816" hidden="1"/>
    <cellStyle name="20% - Accent3 9" xfId="11074" hidden="1"/>
    <cellStyle name="20% - Accent3 9" xfId="10458" hidden="1"/>
    <cellStyle name="20% - Accent3 9" xfId="10350" hidden="1"/>
    <cellStyle name="20% - Accent3 9" xfId="11256" hidden="1"/>
    <cellStyle name="20% - Accent3 9" xfId="11332" hidden="1"/>
    <cellStyle name="20% - Accent3 9" xfId="11410" hidden="1"/>
    <cellStyle name="20% - Accent3 9" xfId="11634" hidden="1"/>
    <cellStyle name="20% - Accent3 9" xfId="10489" hidden="1"/>
    <cellStyle name="20% - Accent3 9" xfId="10596" hidden="1"/>
    <cellStyle name="20% - Accent3 9" xfId="11788" hidden="1"/>
    <cellStyle name="20% - Accent3 9" xfId="11864" hidden="1"/>
    <cellStyle name="20% - Accent3 9" xfId="11942" hidden="1"/>
    <cellStyle name="20% - Accent3 9" xfId="12125" hidden="1"/>
    <cellStyle name="20% - Accent3 9" xfId="12201" hidden="1"/>
    <cellStyle name="20% - Accent3 9" xfId="12279" hidden="1"/>
    <cellStyle name="20% - Accent3 9" xfId="12462" hidden="1"/>
    <cellStyle name="20% - Accent3 9" xfId="12538" hidden="1"/>
    <cellStyle name="20% - Accent3 9" xfId="12640" hidden="1"/>
    <cellStyle name="20% - Accent3 9" xfId="12714" hidden="1"/>
    <cellStyle name="20% - Accent3 9" xfId="12790" hidden="1"/>
    <cellStyle name="20% - Accent3 9" xfId="12868" hidden="1"/>
    <cellStyle name="20% - Accent3 9" xfId="13453" hidden="1"/>
    <cellStyle name="20% - Accent3 9" xfId="13529" hidden="1"/>
    <cellStyle name="20% - Accent3 9" xfId="13608" hidden="1"/>
    <cellStyle name="20% - Accent3 9" xfId="13866" hidden="1"/>
    <cellStyle name="20% - Accent3 9" xfId="13250" hidden="1"/>
    <cellStyle name="20% - Accent3 9" xfId="13142" hidden="1"/>
    <cellStyle name="20% - Accent3 9" xfId="14048" hidden="1"/>
    <cellStyle name="20% - Accent3 9" xfId="14124" hidden="1"/>
    <cellStyle name="20% - Accent3 9" xfId="14202" hidden="1"/>
    <cellStyle name="20% - Accent3 9" xfId="14426" hidden="1"/>
    <cellStyle name="20% - Accent3 9" xfId="13281" hidden="1"/>
    <cellStyle name="20% - Accent3 9" xfId="13388" hidden="1"/>
    <cellStyle name="20% - Accent3 9" xfId="14580" hidden="1"/>
    <cellStyle name="20% - Accent3 9" xfId="14656" hidden="1"/>
    <cellStyle name="20% - Accent3 9" xfId="14734" hidden="1"/>
    <cellStyle name="20% - Accent3 9" xfId="14917" hidden="1"/>
    <cellStyle name="20% - Accent3 9" xfId="14993" hidden="1"/>
    <cellStyle name="20% - Accent3 9" xfId="15071" hidden="1"/>
    <cellStyle name="20% - Accent3 9" xfId="15254" hidden="1"/>
    <cellStyle name="20% - Accent3 9" xfId="15330" hidden="1"/>
    <cellStyle name="20% - Accent3 9" xfId="9609" hidden="1"/>
    <cellStyle name="20% - Accent3 9" xfId="9500" hidden="1"/>
    <cellStyle name="20% - Accent3 9" xfId="9381" hidden="1"/>
    <cellStyle name="20% - Accent3 9" xfId="9274" hidden="1"/>
    <cellStyle name="20% - Accent3 9" xfId="7013" hidden="1"/>
    <cellStyle name="20% - Accent3 9" xfId="6925" hidden="1"/>
    <cellStyle name="20% - Accent3 9" xfId="6831" hidden="1"/>
    <cellStyle name="20% - Accent3 9" xfId="5732" hidden="1"/>
    <cellStyle name="20% - Accent3 9" xfId="7761" hidden="1"/>
    <cellStyle name="20% - Accent3 9" xfId="8138" hidden="1"/>
    <cellStyle name="20% - Accent3 9" xfId="4878" hidden="1"/>
    <cellStyle name="20% - Accent3 9" xfId="4706" hidden="1"/>
    <cellStyle name="20% - Accent3 9" xfId="4506" hidden="1"/>
    <cellStyle name="20% - Accent3 9" xfId="3649" hidden="1"/>
    <cellStyle name="20% - Accent3 9" xfId="7604" hidden="1"/>
    <cellStyle name="20% - Accent3 9" xfId="7247" hidden="1"/>
    <cellStyle name="20% - Accent3 9" xfId="2785" hidden="1"/>
    <cellStyle name="20% - Accent3 9" xfId="2536" hidden="1"/>
    <cellStyle name="20% - Accent3 9" xfId="2362" hidden="1"/>
    <cellStyle name="20% - Accent3 9" xfId="1411" hidden="1"/>
    <cellStyle name="20% - Accent3 9" xfId="1221" hidden="1"/>
    <cellStyle name="20% - Accent3 9" xfId="1064" hidden="1"/>
    <cellStyle name="20% - Accent3 9" xfId="106" hidden="1"/>
    <cellStyle name="20% - Accent3 9" xfId="15499" hidden="1"/>
    <cellStyle name="20% - Accent3 9" xfId="16189" hidden="1"/>
    <cellStyle name="20% - Accent3 9" xfId="16263" hidden="1"/>
    <cellStyle name="20% - Accent3 9" xfId="16339" hidden="1"/>
    <cellStyle name="20% - Accent3 9" xfId="16417" hidden="1"/>
    <cellStyle name="20% - Accent3 9" xfId="17002" hidden="1"/>
    <cellStyle name="20% - Accent3 9" xfId="17078" hidden="1"/>
    <cellStyle name="20% - Accent3 9" xfId="17157" hidden="1"/>
    <cellStyle name="20% - Accent3 9" xfId="17415" hidden="1"/>
    <cellStyle name="20% - Accent3 9" xfId="16799" hidden="1"/>
    <cellStyle name="20% - Accent3 9" xfId="16691" hidden="1"/>
    <cellStyle name="20% - Accent3 9" xfId="17597" hidden="1"/>
    <cellStyle name="20% - Accent3 9" xfId="17673" hidden="1"/>
    <cellStyle name="20% - Accent3 9" xfId="17751" hidden="1"/>
    <cellStyle name="20% - Accent3 9" xfId="17975" hidden="1"/>
    <cellStyle name="20% - Accent3 9" xfId="16830" hidden="1"/>
    <cellStyle name="20% - Accent3 9" xfId="16937" hidden="1"/>
    <cellStyle name="20% - Accent3 9" xfId="18129" hidden="1"/>
    <cellStyle name="20% - Accent3 9" xfId="18205" hidden="1"/>
    <cellStyle name="20% - Accent3 9" xfId="18283" hidden="1"/>
    <cellStyle name="20% - Accent3 9" xfId="18466" hidden="1"/>
    <cellStyle name="20% - Accent3 9" xfId="18542" hidden="1"/>
    <cellStyle name="20% - Accent3 9" xfId="18620" hidden="1"/>
    <cellStyle name="20% - Accent3 9" xfId="18803" hidden="1"/>
    <cellStyle name="20% - Accent3 9" xfId="18879" hidden="1"/>
    <cellStyle name="20% - Accent3 9" xfId="18981" hidden="1"/>
    <cellStyle name="20% - Accent3 9" xfId="19055" hidden="1"/>
    <cellStyle name="20% - Accent3 9" xfId="19131" hidden="1"/>
    <cellStyle name="20% - Accent3 9" xfId="19209" hidden="1"/>
    <cellStyle name="20% - Accent3 9" xfId="19794" hidden="1"/>
    <cellStyle name="20% - Accent3 9" xfId="19870" hidden="1"/>
    <cellStyle name="20% - Accent3 9" xfId="19949" hidden="1"/>
    <cellStyle name="20% - Accent3 9" xfId="20207" hidden="1"/>
    <cellStyle name="20% - Accent3 9" xfId="19591" hidden="1"/>
    <cellStyle name="20% - Accent3 9" xfId="19483" hidden="1"/>
    <cellStyle name="20% - Accent3 9" xfId="20389" hidden="1"/>
    <cellStyle name="20% - Accent3 9" xfId="20465" hidden="1"/>
    <cellStyle name="20% - Accent3 9" xfId="20543" hidden="1"/>
    <cellStyle name="20% - Accent3 9" xfId="20767" hidden="1"/>
    <cellStyle name="20% - Accent3 9" xfId="19622" hidden="1"/>
    <cellStyle name="20% - Accent3 9" xfId="19729" hidden="1"/>
    <cellStyle name="20% - Accent3 9" xfId="20921" hidden="1"/>
    <cellStyle name="20% - Accent3 9" xfId="20997" hidden="1"/>
    <cellStyle name="20% - Accent3 9" xfId="21075" hidden="1"/>
    <cellStyle name="20% - Accent3 9" xfId="21258" hidden="1"/>
    <cellStyle name="20% - Accent3 9" xfId="21334" hidden="1"/>
    <cellStyle name="20% - Accent3 9" xfId="21412" hidden="1"/>
    <cellStyle name="20% - Accent3 9" xfId="21595" hidden="1"/>
    <cellStyle name="20% - Accent3 9" xfId="21671" hidden="1"/>
    <cellStyle name="20% - Accent3 9" xfId="16002" hidden="1"/>
    <cellStyle name="20% - Accent3 9" xfId="15928" hidden="1"/>
    <cellStyle name="20% - Accent3 9" xfId="15849" hidden="1"/>
    <cellStyle name="20% - Accent3 9" xfId="15765" hidden="1"/>
    <cellStyle name="20% - Accent3 9" xfId="7997" hidden="1"/>
    <cellStyle name="20% - Accent3 9" xfId="7795" hidden="1"/>
    <cellStyle name="20% - Accent3 9" xfId="7543" hidden="1"/>
    <cellStyle name="20% - Accent3 9" xfId="6229" hidden="1"/>
    <cellStyle name="20% - Accent3 9" xfId="8558" hidden="1"/>
    <cellStyle name="20% - Accent3 9" xfId="9064" hidden="1"/>
    <cellStyle name="20% - Accent3 9" xfId="5314" hidden="1"/>
    <cellStyle name="20% - Accent3 9" xfId="5114" hidden="1"/>
    <cellStyle name="20% - Accent3 9" xfId="5008" hidden="1"/>
    <cellStyle name="20% - Accent3 9" xfId="3841" hidden="1"/>
    <cellStyle name="20% - Accent3 9" xfId="8482" hidden="1"/>
    <cellStyle name="20% - Accent3 9" xfId="8166" hidden="1"/>
    <cellStyle name="20% - Accent3 9" xfId="3072" hidden="1"/>
    <cellStyle name="20% - Accent3 9" xfId="2923" hidden="1"/>
    <cellStyle name="20% - Accent3 9" xfId="2764" hidden="1"/>
    <cellStyle name="20% - Accent3 9" xfId="1558" hidden="1"/>
    <cellStyle name="20% - Accent3 9" xfId="1403" hidden="1"/>
    <cellStyle name="20% - Accent3 9" xfId="1140" hidden="1"/>
    <cellStyle name="20% - Accent3 9" xfId="16148" hidden="1"/>
    <cellStyle name="20% - Accent3 9" xfId="21809" hidden="1"/>
    <cellStyle name="20% - Accent3 9" xfId="22340" hidden="1"/>
    <cellStyle name="20% - Accent3 9" xfId="22414" hidden="1"/>
    <cellStyle name="20% - Accent3 9" xfId="22490" hidden="1"/>
    <cellStyle name="20% - Accent3 9" xfId="22568" hidden="1"/>
    <cellStyle name="20% - Accent3 9" xfId="23153" hidden="1"/>
    <cellStyle name="20% - Accent3 9" xfId="23229" hidden="1"/>
    <cellStyle name="20% - Accent3 9" xfId="23308" hidden="1"/>
    <cellStyle name="20% - Accent3 9" xfId="23566" hidden="1"/>
    <cellStyle name="20% - Accent3 9" xfId="22950" hidden="1"/>
    <cellStyle name="20% - Accent3 9" xfId="22842" hidden="1"/>
    <cellStyle name="20% - Accent3 9" xfId="23748" hidden="1"/>
    <cellStyle name="20% - Accent3 9" xfId="23824" hidden="1"/>
    <cellStyle name="20% - Accent3 9" xfId="23902" hidden="1"/>
    <cellStyle name="20% - Accent3 9" xfId="24126" hidden="1"/>
    <cellStyle name="20% - Accent3 9" xfId="22981" hidden="1"/>
    <cellStyle name="20% - Accent3 9" xfId="23088" hidden="1"/>
    <cellStyle name="20% - Accent3 9" xfId="24280" hidden="1"/>
    <cellStyle name="20% - Accent3 9" xfId="24356" hidden="1"/>
    <cellStyle name="20% - Accent3 9" xfId="24434" hidden="1"/>
    <cellStyle name="20% - Accent3 9" xfId="24617" hidden="1"/>
    <cellStyle name="20% - Accent3 9" xfId="24693" hidden="1"/>
    <cellStyle name="20% - Accent3 9" xfId="24771" hidden="1"/>
    <cellStyle name="20% - Accent3 9" xfId="24954" hidden="1"/>
    <cellStyle name="20% - Accent3 9" xfId="25030" hidden="1"/>
    <cellStyle name="20% - Accent3 9" xfId="25132" hidden="1"/>
    <cellStyle name="20% - Accent3 9" xfId="25206" hidden="1"/>
    <cellStyle name="20% - Accent3 9" xfId="25282" hidden="1"/>
    <cellStyle name="20% - Accent3 9" xfId="25360" hidden="1"/>
    <cellStyle name="20% - Accent3 9" xfId="25945" hidden="1"/>
    <cellStyle name="20% - Accent3 9" xfId="26021" hidden="1"/>
    <cellStyle name="20% - Accent3 9" xfId="26100" hidden="1"/>
    <cellStyle name="20% - Accent3 9" xfId="26358" hidden="1"/>
    <cellStyle name="20% - Accent3 9" xfId="25742" hidden="1"/>
    <cellStyle name="20% - Accent3 9" xfId="25634" hidden="1"/>
    <cellStyle name="20% - Accent3 9" xfId="26540" hidden="1"/>
    <cellStyle name="20% - Accent3 9" xfId="26616" hidden="1"/>
    <cellStyle name="20% - Accent3 9" xfId="26694" hidden="1"/>
    <cellStyle name="20% - Accent3 9" xfId="26918" hidden="1"/>
    <cellStyle name="20% - Accent3 9" xfId="25773" hidden="1"/>
    <cellStyle name="20% - Accent3 9" xfId="25880" hidden="1"/>
    <cellStyle name="20% - Accent3 9" xfId="27072" hidden="1"/>
    <cellStyle name="20% - Accent3 9" xfId="27148" hidden="1"/>
    <cellStyle name="20% - Accent3 9" xfId="27226" hidden="1"/>
    <cellStyle name="20% - Accent3 9" xfId="27409" hidden="1"/>
    <cellStyle name="20% - Accent3 9" xfId="27485" hidden="1"/>
    <cellStyle name="20% - Accent3 9" xfId="27563" hidden="1"/>
    <cellStyle name="20% - Accent3 9" xfId="27746" hidden="1"/>
    <cellStyle name="20% - Accent3 9" xfId="27822" hidden="1"/>
    <cellStyle name="20% - Accent3 9" xfId="22255" hidden="1"/>
    <cellStyle name="20% - Accent3 9" xfId="22181" hidden="1"/>
    <cellStyle name="20% - Accent3 9" xfId="22102" hidden="1"/>
    <cellStyle name="20% - Accent3 9" xfId="22018" hidden="1"/>
    <cellStyle name="20% - Accent3 9" xfId="8904" hidden="1"/>
    <cellStyle name="20% - Accent3 9" xfId="8693" hidden="1"/>
    <cellStyle name="20% - Accent3 9" xfId="8460" hidden="1"/>
    <cellStyle name="20% - Accent3 9" xfId="6761" hidden="1"/>
    <cellStyle name="20% - Accent3 9" xfId="9749" hidden="1"/>
    <cellStyle name="20% - Accent3 9" xfId="15599" hidden="1"/>
    <cellStyle name="20% - Accent3 9" xfId="5868" hidden="1"/>
    <cellStyle name="20% - Accent3 9" xfId="5621" hidden="1"/>
    <cellStyle name="20% - Accent3 9" xfId="5522" hidden="1"/>
    <cellStyle name="20% - Accent3 9" xfId="4017" hidden="1"/>
    <cellStyle name="20% - Accent3 9" xfId="9534" hidden="1"/>
    <cellStyle name="20% - Accent3 9" xfId="9091" hidden="1"/>
    <cellStyle name="20% - Accent3 9" xfId="3386" hidden="1"/>
    <cellStyle name="20% - Accent3 9" xfId="3292" hidden="1"/>
    <cellStyle name="20% - Accent3 9" xfId="3073" hidden="1"/>
    <cellStyle name="20% - Accent3 9" xfId="1685" hidden="1"/>
    <cellStyle name="20% - Accent3 9" xfId="1566" hidden="1"/>
    <cellStyle name="20% - Accent3 9" xfId="1286" hidden="1"/>
    <cellStyle name="20% - Accent3 9" xfId="22298" hidden="1"/>
    <cellStyle name="20% - Accent3 9" xfId="27957" hidden="1"/>
    <cellStyle name="20% - Accent3 9" xfId="28059" hidden="1"/>
    <cellStyle name="20% - Accent3 9" xfId="28133" hidden="1"/>
    <cellStyle name="20% - Accent3 9" xfId="28209" hidden="1"/>
    <cellStyle name="20% - Accent3 9" xfId="28287" hidden="1"/>
    <cellStyle name="20% - Accent3 9" xfId="28872" hidden="1"/>
    <cellStyle name="20% - Accent3 9" xfId="28948" hidden="1"/>
    <cellStyle name="20% - Accent3 9" xfId="29027" hidden="1"/>
    <cellStyle name="20% - Accent3 9" xfId="29285" hidden="1"/>
    <cellStyle name="20% - Accent3 9" xfId="28669" hidden="1"/>
    <cellStyle name="20% - Accent3 9" xfId="28561" hidden="1"/>
    <cellStyle name="20% - Accent3 9" xfId="29467" hidden="1"/>
    <cellStyle name="20% - Accent3 9" xfId="29543" hidden="1"/>
    <cellStyle name="20% - Accent3 9" xfId="29621" hidden="1"/>
    <cellStyle name="20% - Accent3 9" xfId="29845" hidden="1"/>
    <cellStyle name="20% - Accent3 9" xfId="28700" hidden="1"/>
    <cellStyle name="20% - Accent3 9" xfId="28807" hidden="1"/>
    <cellStyle name="20% - Accent3 9" xfId="29999" hidden="1"/>
    <cellStyle name="20% - Accent3 9" xfId="30075" hidden="1"/>
    <cellStyle name="20% - Accent3 9" xfId="30153" hidden="1"/>
    <cellStyle name="20% - Accent3 9" xfId="30336" hidden="1"/>
    <cellStyle name="20% - Accent3 9" xfId="30412" hidden="1"/>
    <cellStyle name="20% - Accent3 9" xfId="30490" hidden="1"/>
    <cellStyle name="20% - Accent3 9" xfId="30673" hidden="1"/>
    <cellStyle name="20% - Accent3 9" xfId="30749" hidden="1"/>
    <cellStyle name="20% - Accent3 9" xfId="30851" hidden="1"/>
    <cellStyle name="20% - Accent3 9" xfId="30925" hidden="1"/>
    <cellStyle name="20% - Accent3 9" xfId="31001" hidden="1"/>
    <cellStyle name="20% - Accent3 9" xfId="31079" hidden="1"/>
    <cellStyle name="20% - Accent3 9" xfId="31664" hidden="1"/>
    <cellStyle name="20% - Accent3 9" xfId="31740" hidden="1"/>
    <cellStyle name="20% - Accent3 9" xfId="31819" hidden="1"/>
    <cellStyle name="20% - Accent3 9" xfId="32077" hidden="1"/>
    <cellStyle name="20% - Accent3 9" xfId="31461" hidden="1"/>
    <cellStyle name="20% - Accent3 9" xfId="31353" hidden="1"/>
    <cellStyle name="20% - Accent3 9" xfId="32259" hidden="1"/>
    <cellStyle name="20% - Accent3 9" xfId="32335" hidden="1"/>
    <cellStyle name="20% - Accent3 9" xfId="32413" hidden="1"/>
    <cellStyle name="20% - Accent3 9" xfId="32637" hidden="1"/>
    <cellStyle name="20% - Accent3 9" xfId="31492" hidden="1"/>
    <cellStyle name="20% - Accent3 9" xfId="31599" hidden="1"/>
    <cellStyle name="20% - Accent3 9" xfId="32791" hidden="1"/>
    <cellStyle name="20% - Accent3 9" xfId="32867" hidden="1"/>
    <cellStyle name="20% - Accent3 9" xfId="32945" hidden="1"/>
    <cellStyle name="20% - Accent3 9" xfId="33128" hidden="1"/>
    <cellStyle name="20% - Accent3 9" xfId="33204" hidden="1"/>
    <cellStyle name="20% - Accent3 9" xfId="33282" hidden="1"/>
    <cellStyle name="20% - Accent3 9" xfId="33465" hidden="1"/>
    <cellStyle name="20% - Accent3 9" xfId="33541" hidden="1"/>
    <cellStyle name="20% - Accent4" xfId="35" builtinId="42" hidden="1"/>
    <cellStyle name="20% - Accent4" xfId="79" builtinId="42" hidden="1" customBuiltin="1"/>
    <cellStyle name="20% - Accent4 10" xfId="172" hidden="1"/>
    <cellStyle name="20% - Accent4 10" xfId="252" hidden="1"/>
    <cellStyle name="20% - Accent4 10" xfId="354" hidden="1"/>
    <cellStyle name="20% - Accent4 10" xfId="688" hidden="1"/>
    <cellStyle name="20% - Accent4 10" xfId="2416" hidden="1"/>
    <cellStyle name="20% - Accent4 10" xfId="2567" hidden="1"/>
    <cellStyle name="20% - Accent4 10" xfId="2759" hidden="1"/>
    <cellStyle name="20% - Accent4 10" xfId="1793" hidden="1"/>
    <cellStyle name="20% - Accent4 10" xfId="1805" hidden="1"/>
    <cellStyle name="20% - Accent4 10" xfId="2043" hidden="1"/>
    <cellStyle name="20% - Accent4 10" xfId="4356" hidden="1"/>
    <cellStyle name="20% - Accent4 10" xfId="4582" hidden="1"/>
    <cellStyle name="20% - Accent4 10" xfId="4746" hidden="1"/>
    <cellStyle name="20% - Accent4 10" xfId="3829" hidden="1"/>
    <cellStyle name="20% - Accent4 10" xfId="2229" hidden="1"/>
    <cellStyle name="20% - Accent4 10" xfId="2840" hidden="1"/>
    <cellStyle name="20% - Accent4 10" xfId="6360" hidden="1"/>
    <cellStyle name="20% - Accent4 10" xfId="6466" hidden="1"/>
    <cellStyle name="20% - Accent4 10" xfId="6663" hidden="1"/>
    <cellStyle name="20% - Accent4 10" xfId="7524" hidden="1"/>
    <cellStyle name="20% - Accent4 10" xfId="7676" hidden="1"/>
    <cellStyle name="20% - Accent4 10" xfId="7854" hidden="1"/>
    <cellStyle name="20% - Accent4 10" xfId="8769" hidden="1"/>
    <cellStyle name="20% - Accent4 10" xfId="8944" hidden="1"/>
    <cellStyle name="20% - Accent4 10" xfId="9863" hidden="1"/>
    <cellStyle name="20% - Accent4 10" xfId="9937" hidden="1"/>
    <cellStyle name="20% - Accent4 10" xfId="10013" hidden="1"/>
    <cellStyle name="20% - Accent4 10" xfId="10091" hidden="1"/>
    <cellStyle name="20% - Accent4 10" xfId="10676" hidden="1"/>
    <cellStyle name="20% - Accent4 10" xfId="10752" hidden="1"/>
    <cellStyle name="20% - Accent4 10" xfId="10831" hidden="1"/>
    <cellStyle name="20% - Accent4 10" xfId="10417" hidden="1"/>
    <cellStyle name="20% - Accent4 10" xfId="10418" hidden="1"/>
    <cellStyle name="20% - Accent4 10" xfId="10509" hidden="1"/>
    <cellStyle name="20% - Accent4 10" xfId="11271" hidden="1"/>
    <cellStyle name="20% - Accent4 10" xfId="11347" hidden="1"/>
    <cellStyle name="20% - Accent4 10" xfId="11425" hidden="1"/>
    <cellStyle name="20% - Accent4 10" xfId="11099" hidden="1"/>
    <cellStyle name="20% - Accent4 10" xfId="10578" hidden="1"/>
    <cellStyle name="20% - Accent4 10" xfId="10872" hidden="1"/>
    <cellStyle name="20% - Accent4 10" xfId="11803" hidden="1"/>
    <cellStyle name="20% - Accent4 10" xfId="11879" hidden="1"/>
    <cellStyle name="20% - Accent4 10" xfId="11957" hidden="1"/>
    <cellStyle name="20% - Accent4 10" xfId="12140" hidden="1"/>
    <cellStyle name="20% - Accent4 10" xfId="12216" hidden="1"/>
    <cellStyle name="20% - Accent4 10" xfId="12294" hidden="1"/>
    <cellStyle name="20% - Accent4 10" xfId="12477" hidden="1"/>
    <cellStyle name="20% - Accent4 10" xfId="12553" hidden="1"/>
    <cellStyle name="20% - Accent4 10" xfId="12655" hidden="1"/>
    <cellStyle name="20% - Accent4 10" xfId="12729" hidden="1"/>
    <cellStyle name="20% - Accent4 10" xfId="12805" hidden="1"/>
    <cellStyle name="20% - Accent4 10" xfId="12883" hidden="1"/>
    <cellStyle name="20% - Accent4 10" xfId="13468" hidden="1"/>
    <cellStyle name="20% - Accent4 10" xfId="13544" hidden="1"/>
    <cellStyle name="20% - Accent4 10" xfId="13623" hidden="1"/>
    <cellStyle name="20% - Accent4 10" xfId="13209" hidden="1"/>
    <cellStyle name="20% - Accent4 10" xfId="13210" hidden="1"/>
    <cellStyle name="20% - Accent4 10" xfId="13301" hidden="1"/>
    <cellStyle name="20% - Accent4 10" xfId="14063" hidden="1"/>
    <cellStyle name="20% - Accent4 10" xfId="14139" hidden="1"/>
    <cellStyle name="20% - Accent4 10" xfId="14217" hidden="1"/>
    <cellStyle name="20% - Accent4 10" xfId="13891" hidden="1"/>
    <cellStyle name="20% - Accent4 10" xfId="13370" hidden="1"/>
    <cellStyle name="20% - Accent4 10" xfId="13664" hidden="1"/>
    <cellStyle name="20% - Accent4 10" xfId="14595" hidden="1"/>
    <cellStyle name="20% - Accent4 10" xfId="14671" hidden="1"/>
    <cellStyle name="20% - Accent4 10" xfId="14749" hidden="1"/>
    <cellStyle name="20% - Accent4 10" xfId="14932" hidden="1"/>
    <cellStyle name="20% - Accent4 10" xfId="15008" hidden="1"/>
    <cellStyle name="20% - Accent4 10" xfId="15086" hidden="1"/>
    <cellStyle name="20% - Accent4 10" xfId="15269" hidden="1"/>
    <cellStyle name="20% - Accent4 10" xfId="15345" hidden="1"/>
    <cellStyle name="20% - Accent4 10" xfId="9592" hidden="1"/>
    <cellStyle name="20% - Accent4 10" xfId="9479" hidden="1"/>
    <cellStyle name="20% - Accent4 10" xfId="9364" hidden="1"/>
    <cellStyle name="20% - Accent4 10" xfId="9253" hidden="1"/>
    <cellStyle name="20% - Accent4 10" xfId="6994" hidden="1"/>
    <cellStyle name="20% - Accent4 10" xfId="6908" hidden="1"/>
    <cellStyle name="20% - Accent4 10" xfId="6814" hidden="1"/>
    <cellStyle name="20% - Accent4 10" xfId="7925" hidden="1"/>
    <cellStyle name="20% - Accent4 10" xfId="7921" hidden="1"/>
    <cellStyle name="20% - Accent4 10" xfId="7491" hidden="1"/>
    <cellStyle name="20% - Accent4 10" xfId="4855" hidden="1"/>
    <cellStyle name="20% - Accent4 10" xfId="4686" hidden="1"/>
    <cellStyle name="20% - Accent4 10" xfId="4462" hidden="1"/>
    <cellStyle name="20% - Accent4 10" xfId="5641" hidden="1"/>
    <cellStyle name="20% - Accent4 10" xfId="7344" hidden="1"/>
    <cellStyle name="20% - Accent4 10" xfId="6750" hidden="1"/>
    <cellStyle name="20% - Accent4 10" xfId="2734" hidden="1"/>
    <cellStyle name="20% - Accent4 10" xfId="2517" hidden="1"/>
    <cellStyle name="20% - Accent4 10" xfId="2342" hidden="1"/>
    <cellStyle name="20% - Accent4 10" xfId="1383" hidden="1"/>
    <cellStyle name="20% - Accent4 10" xfId="1192" hidden="1"/>
    <cellStyle name="20% - Accent4 10" xfId="953" hidden="1"/>
    <cellStyle name="20% - Accent4 10" xfId="15407" hidden="1"/>
    <cellStyle name="20% - Accent4 10" xfId="15518" hidden="1"/>
    <cellStyle name="20% - Accent4 10" xfId="16204" hidden="1"/>
    <cellStyle name="20% - Accent4 10" xfId="16278" hidden="1"/>
    <cellStyle name="20% - Accent4 10" xfId="16354" hidden="1"/>
    <cellStyle name="20% - Accent4 10" xfId="16432" hidden="1"/>
    <cellStyle name="20% - Accent4 10" xfId="17017" hidden="1"/>
    <cellStyle name="20% - Accent4 10" xfId="17093" hidden="1"/>
    <cellStyle name="20% - Accent4 10" xfId="17172" hidden="1"/>
    <cellStyle name="20% - Accent4 10" xfId="16758" hidden="1"/>
    <cellStyle name="20% - Accent4 10" xfId="16759" hidden="1"/>
    <cellStyle name="20% - Accent4 10" xfId="16850" hidden="1"/>
    <cellStyle name="20% - Accent4 10" xfId="17612" hidden="1"/>
    <cellStyle name="20% - Accent4 10" xfId="17688" hidden="1"/>
    <cellStyle name="20% - Accent4 10" xfId="17766" hidden="1"/>
    <cellStyle name="20% - Accent4 10" xfId="17440" hidden="1"/>
    <cellStyle name="20% - Accent4 10" xfId="16919" hidden="1"/>
    <cellStyle name="20% - Accent4 10" xfId="17213" hidden="1"/>
    <cellStyle name="20% - Accent4 10" xfId="18144" hidden="1"/>
    <cellStyle name="20% - Accent4 10" xfId="18220" hidden="1"/>
    <cellStyle name="20% - Accent4 10" xfId="18298" hidden="1"/>
    <cellStyle name="20% - Accent4 10" xfId="18481" hidden="1"/>
    <cellStyle name="20% - Accent4 10" xfId="18557" hidden="1"/>
    <cellStyle name="20% - Accent4 10" xfId="18635" hidden="1"/>
    <cellStyle name="20% - Accent4 10" xfId="18818" hidden="1"/>
    <cellStyle name="20% - Accent4 10" xfId="18894" hidden="1"/>
    <cellStyle name="20% - Accent4 10" xfId="18996" hidden="1"/>
    <cellStyle name="20% - Accent4 10" xfId="19070" hidden="1"/>
    <cellStyle name="20% - Accent4 10" xfId="19146" hidden="1"/>
    <cellStyle name="20% - Accent4 10" xfId="19224" hidden="1"/>
    <cellStyle name="20% - Accent4 10" xfId="19809" hidden="1"/>
    <cellStyle name="20% - Accent4 10" xfId="19885" hidden="1"/>
    <cellStyle name="20% - Accent4 10" xfId="19964" hidden="1"/>
    <cellStyle name="20% - Accent4 10" xfId="19550" hidden="1"/>
    <cellStyle name="20% - Accent4 10" xfId="19551" hidden="1"/>
    <cellStyle name="20% - Accent4 10" xfId="19642" hidden="1"/>
    <cellStyle name="20% - Accent4 10" xfId="20404" hidden="1"/>
    <cellStyle name="20% - Accent4 10" xfId="20480" hidden="1"/>
    <cellStyle name="20% - Accent4 10" xfId="20558" hidden="1"/>
    <cellStyle name="20% - Accent4 10" xfId="20232" hidden="1"/>
    <cellStyle name="20% - Accent4 10" xfId="19711" hidden="1"/>
    <cellStyle name="20% - Accent4 10" xfId="20005" hidden="1"/>
    <cellStyle name="20% - Accent4 10" xfId="20936" hidden="1"/>
    <cellStyle name="20% - Accent4 10" xfId="21012" hidden="1"/>
    <cellStyle name="20% - Accent4 10" xfId="21090" hidden="1"/>
    <cellStyle name="20% - Accent4 10" xfId="21273" hidden="1"/>
    <cellStyle name="20% - Accent4 10" xfId="21349" hidden="1"/>
    <cellStyle name="20% - Accent4 10" xfId="21427" hidden="1"/>
    <cellStyle name="20% - Accent4 10" xfId="21610" hidden="1"/>
    <cellStyle name="20% - Accent4 10" xfId="21686" hidden="1"/>
    <cellStyle name="20% - Accent4 10" xfId="15987" hidden="1"/>
    <cellStyle name="20% - Accent4 10" xfId="15913" hidden="1"/>
    <cellStyle name="20% - Accent4 10" xfId="15833" hidden="1"/>
    <cellStyle name="20% - Accent4 10" xfId="15750" hidden="1"/>
    <cellStyle name="20% - Accent4 10" xfId="7974" hidden="1"/>
    <cellStyle name="20% - Accent4 10" xfId="7772" hidden="1"/>
    <cellStyle name="20% - Accent4 10" xfId="7501" hidden="1"/>
    <cellStyle name="20% - Accent4 10" xfId="8799" hidden="1"/>
    <cellStyle name="20% - Accent4 10" xfId="8787" hidden="1"/>
    <cellStyle name="20% - Accent4 10" xfId="8431" hidden="1"/>
    <cellStyle name="20% - Accent4 10" xfId="5295" hidden="1"/>
    <cellStyle name="20% - Accent4 10" xfId="5094" hidden="1"/>
    <cellStyle name="20% - Accent4 10" xfId="4991" hidden="1"/>
    <cellStyle name="20% - Accent4 10" xfId="6149" hidden="1"/>
    <cellStyle name="20% - Accent4 10" xfId="8193" hidden="1"/>
    <cellStyle name="20% - Accent4 10" xfId="7406" hidden="1"/>
    <cellStyle name="20% - Accent4 10" xfId="3045" hidden="1"/>
    <cellStyle name="20% - Accent4 10" xfId="2904" hidden="1"/>
    <cellStyle name="20% - Accent4 10" xfId="2705" hidden="1"/>
    <cellStyle name="20% - Accent4 10" xfId="1534" hidden="1"/>
    <cellStyle name="20% - Accent4 10" xfId="1369" hidden="1"/>
    <cellStyle name="20% - Accent4 10" xfId="1116" hidden="1"/>
    <cellStyle name="20% - Accent4 10" xfId="21746" hidden="1"/>
    <cellStyle name="20% - Accent4 10" xfId="21825" hidden="1"/>
    <cellStyle name="20% - Accent4 10" xfId="22355" hidden="1"/>
    <cellStyle name="20% - Accent4 10" xfId="22429" hidden="1"/>
    <cellStyle name="20% - Accent4 10" xfId="22505" hidden="1"/>
    <cellStyle name="20% - Accent4 10" xfId="22583" hidden="1"/>
    <cellStyle name="20% - Accent4 10" xfId="23168" hidden="1"/>
    <cellStyle name="20% - Accent4 10" xfId="23244" hidden="1"/>
    <cellStyle name="20% - Accent4 10" xfId="23323" hidden="1"/>
    <cellStyle name="20% - Accent4 10" xfId="22909" hidden="1"/>
    <cellStyle name="20% - Accent4 10" xfId="22910" hidden="1"/>
    <cellStyle name="20% - Accent4 10" xfId="23001" hidden="1"/>
    <cellStyle name="20% - Accent4 10" xfId="23763" hidden="1"/>
    <cellStyle name="20% - Accent4 10" xfId="23839" hidden="1"/>
    <cellStyle name="20% - Accent4 10" xfId="23917" hidden="1"/>
    <cellStyle name="20% - Accent4 10" xfId="23591" hidden="1"/>
    <cellStyle name="20% - Accent4 10" xfId="23070" hidden="1"/>
    <cellStyle name="20% - Accent4 10" xfId="23364" hidden="1"/>
    <cellStyle name="20% - Accent4 10" xfId="24295" hidden="1"/>
    <cellStyle name="20% - Accent4 10" xfId="24371" hidden="1"/>
    <cellStyle name="20% - Accent4 10" xfId="24449" hidden="1"/>
    <cellStyle name="20% - Accent4 10" xfId="24632" hidden="1"/>
    <cellStyle name="20% - Accent4 10" xfId="24708" hidden="1"/>
    <cellStyle name="20% - Accent4 10" xfId="24786" hidden="1"/>
    <cellStyle name="20% - Accent4 10" xfId="24969" hidden="1"/>
    <cellStyle name="20% - Accent4 10" xfId="25045" hidden="1"/>
    <cellStyle name="20% - Accent4 10" xfId="25147" hidden="1"/>
    <cellStyle name="20% - Accent4 10" xfId="25221" hidden="1"/>
    <cellStyle name="20% - Accent4 10" xfId="25297" hidden="1"/>
    <cellStyle name="20% - Accent4 10" xfId="25375" hidden="1"/>
    <cellStyle name="20% - Accent4 10" xfId="25960" hidden="1"/>
    <cellStyle name="20% - Accent4 10" xfId="26036" hidden="1"/>
    <cellStyle name="20% - Accent4 10" xfId="26115" hidden="1"/>
    <cellStyle name="20% - Accent4 10" xfId="25701" hidden="1"/>
    <cellStyle name="20% - Accent4 10" xfId="25702" hidden="1"/>
    <cellStyle name="20% - Accent4 10" xfId="25793" hidden="1"/>
    <cellStyle name="20% - Accent4 10" xfId="26555" hidden="1"/>
    <cellStyle name="20% - Accent4 10" xfId="26631" hidden="1"/>
    <cellStyle name="20% - Accent4 10" xfId="26709" hidden="1"/>
    <cellStyle name="20% - Accent4 10" xfId="26383" hidden="1"/>
    <cellStyle name="20% - Accent4 10" xfId="25862" hidden="1"/>
    <cellStyle name="20% - Accent4 10" xfId="26156" hidden="1"/>
    <cellStyle name="20% - Accent4 10" xfId="27087" hidden="1"/>
    <cellStyle name="20% - Accent4 10" xfId="27163" hidden="1"/>
    <cellStyle name="20% - Accent4 10" xfId="27241" hidden="1"/>
    <cellStyle name="20% - Accent4 10" xfId="27424" hidden="1"/>
    <cellStyle name="20% - Accent4 10" xfId="27500" hidden="1"/>
    <cellStyle name="20% - Accent4 10" xfId="27578" hidden="1"/>
    <cellStyle name="20% - Accent4 10" xfId="27761" hidden="1"/>
    <cellStyle name="20% - Accent4 10" xfId="27837" hidden="1"/>
    <cellStyle name="20% - Accent4 10" xfId="22240" hidden="1"/>
    <cellStyle name="20% - Accent4 10" xfId="22166" hidden="1"/>
    <cellStyle name="20% - Accent4 10" xfId="22086" hidden="1"/>
    <cellStyle name="20% - Accent4 10" xfId="22003" hidden="1"/>
    <cellStyle name="20% - Accent4 10" xfId="8877" hidden="1"/>
    <cellStyle name="20% - Accent4 10" xfId="8673" hidden="1"/>
    <cellStyle name="20% - Accent4 10" xfId="8440" hidden="1"/>
    <cellStyle name="20% - Accent4 10" xfId="15432" hidden="1"/>
    <cellStyle name="20% - Accent4 10" xfId="15424" hidden="1"/>
    <cellStyle name="20% - Accent4 10" xfId="9484" hidden="1"/>
    <cellStyle name="20% - Accent4 10" xfId="5851" hidden="1"/>
    <cellStyle name="20% - Accent4 10" xfId="5602" hidden="1"/>
    <cellStyle name="20% - Accent4 10" xfId="5507" hidden="1"/>
    <cellStyle name="20% - Accent4 10" xfId="6713" hidden="1"/>
    <cellStyle name="20% - Accent4 10" xfId="9234" hidden="1"/>
    <cellStyle name="20% - Accent4 10" xfId="8258" hidden="1"/>
    <cellStyle name="20% - Accent4 10" xfId="3367" hidden="1"/>
    <cellStyle name="20% - Accent4 10" xfId="3174" hidden="1"/>
    <cellStyle name="20% - Accent4 10" xfId="3031" hidden="1"/>
    <cellStyle name="20% - Accent4 10" xfId="1661" hidden="1"/>
    <cellStyle name="20% - Accent4 10" xfId="1526" hidden="1"/>
    <cellStyle name="20% - Accent4 10" xfId="1256" hidden="1"/>
    <cellStyle name="20% - Accent4 10" xfId="27896" hidden="1"/>
    <cellStyle name="20% - Accent4 10" xfId="27972" hidden="1"/>
    <cellStyle name="20% - Accent4 10" xfId="28074" hidden="1"/>
    <cellStyle name="20% - Accent4 10" xfId="28148" hidden="1"/>
    <cellStyle name="20% - Accent4 10" xfId="28224" hidden="1"/>
    <cellStyle name="20% - Accent4 10" xfId="28302" hidden="1"/>
    <cellStyle name="20% - Accent4 10" xfId="28887" hidden="1"/>
    <cellStyle name="20% - Accent4 10" xfId="28963" hidden="1"/>
    <cellStyle name="20% - Accent4 10" xfId="29042" hidden="1"/>
    <cellStyle name="20% - Accent4 10" xfId="28628" hidden="1"/>
    <cellStyle name="20% - Accent4 10" xfId="28629" hidden="1"/>
    <cellStyle name="20% - Accent4 10" xfId="28720" hidden="1"/>
    <cellStyle name="20% - Accent4 10" xfId="29482" hidden="1"/>
    <cellStyle name="20% - Accent4 10" xfId="29558" hidden="1"/>
    <cellStyle name="20% - Accent4 10" xfId="29636" hidden="1"/>
    <cellStyle name="20% - Accent4 10" xfId="29310" hidden="1"/>
    <cellStyle name="20% - Accent4 10" xfId="28789" hidden="1"/>
    <cellStyle name="20% - Accent4 10" xfId="29083" hidden="1"/>
    <cellStyle name="20% - Accent4 10" xfId="30014" hidden="1"/>
    <cellStyle name="20% - Accent4 10" xfId="30090" hidden="1"/>
    <cellStyle name="20% - Accent4 10" xfId="30168" hidden="1"/>
    <cellStyle name="20% - Accent4 10" xfId="30351" hidden="1"/>
    <cellStyle name="20% - Accent4 10" xfId="30427" hidden="1"/>
    <cellStyle name="20% - Accent4 10" xfId="30505" hidden="1"/>
    <cellStyle name="20% - Accent4 10" xfId="30688" hidden="1"/>
    <cellStyle name="20% - Accent4 10" xfId="30764" hidden="1"/>
    <cellStyle name="20% - Accent4 10" xfId="30866" hidden="1"/>
    <cellStyle name="20% - Accent4 10" xfId="30940" hidden="1"/>
    <cellStyle name="20% - Accent4 10" xfId="31016" hidden="1"/>
    <cellStyle name="20% - Accent4 10" xfId="31094" hidden="1"/>
    <cellStyle name="20% - Accent4 10" xfId="31679" hidden="1"/>
    <cellStyle name="20% - Accent4 10" xfId="31755" hidden="1"/>
    <cellStyle name="20% - Accent4 10" xfId="31834" hidden="1"/>
    <cellStyle name="20% - Accent4 10" xfId="31420" hidden="1"/>
    <cellStyle name="20% - Accent4 10" xfId="31421" hidden="1"/>
    <cellStyle name="20% - Accent4 10" xfId="31512" hidden="1"/>
    <cellStyle name="20% - Accent4 10" xfId="32274" hidden="1"/>
    <cellStyle name="20% - Accent4 10" xfId="32350" hidden="1"/>
    <cellStyle name="20% - Accent4 10" xfId="32428" hidden="1"/>
    <cellStyle name="20% - Accent4 10" xfId="32102" hidden="1"/>
    <cellStyle name="20% - Accent4 10" xfId="31581" hidden="1"/>
    <cellStyle name="20% - Accent4 10" xfId="31875" hidden="1"/>
    <cellStyle name="20% - Accent4 10" xfId="32806" hidden="1"/>
    <cellStyle name="20% - Accent4 10" xfId="32882" hidden="1"/>
    <cellStyle name="20% - Accent4 10" xfId="32960" hidden="1"/>
    <cellStyle name="20% - Accent4 10" xfId="33143" hidden="1"/>
    <cellStyle name="20% - Accent4 10" xfId="33219" hidden="1"/>
    <cellStyle name="20% - Accent4 10" xfId="33297" hidden="1"/>
    <cellStyle name="20% - Accent4 10" xfId="33480" hidden="1"/>
    <cellStyle name="20% - Accent4 10" xfId="33556" hidden="1"/>
    <cellStyle name="20% - Accent4 11" xfId="185" hidden="1"/>
    <cellStyle name="20% - Accent4 11" xfId="265" hidden="1"/>
    <cellStyle name="20% - Accent4 11" xfId="390" hidden="1"/>
    <cellStyle name="20% - Accent4 11" xfId="717" hidden="1"/>
    <cellStyle name="20% - Accent4 11" xfId="2432" hidden="1"/>
    <cellStyle name="20% - Accent4 11" xfId="2584" hidden="1"/>
    <cellStyle name="20% - Accent4 11" xfId="2787" hidden="1"/>
    <cellStyle name="20% - Accent4 11" xfId="3784" hidden="1"/>
    <cellStyle name="20% - Accent4 11" xfId="2224" hidden="1"/>
    <cellStyle name="20% - Accent4 11" xfId="1890" hidden="1"/>
    <cellStyle name="20% - Accent4 11" xfId="4392" hidden="1"/>
    <cellStyle name="20% - Accent4 11" xfId="4601" hidden="1"/>
    <cellStyle name="20% - Accent4 11" xfId="4765" hidden="1"/>
    <cellStyle name="20% - Accent4 11" xfId="5790" hidden="1"/>
    <cellStyle name="20% - Accent4 11" xfId="4001" hidden="1"/>
    <cellStyle name="20% - Accent4 11" xfId="2073" hidden="1"/>
    <cellStyle name="20% - Accent4 11" xfId="6375" hidden="1"/>
    <cellStyle name="20% - Accent4 11" xfId="6480" hidden="1"/>
    <cellStyle name="20% - Accent4 11" xfId="6677" hidden="1"/>
    <cellStyle name="20% - Accent4 11" xfId="7550" hidden="1"/>
    <cellStyle name="20% - Accent4 11" xfId="7692" hidden="1"/>
    <cellStyle name="20% - Accent4 11" xfId="7871" hidden="1"/>
    <cellStyle name="20% - Accent4 11" xfId="8789" hidden="1"/>
    <cellStyle name="20% - Accent4 11" xfId="8961" hidden="1"/>
    <cellStyle name="20% - Accent4 11" xfId="9876" hidden="1"/>
    <cellStyle name="20% - Accent4 11" xfId="9950" hidden="1"/>
    <cellStyle name="20% - Accent4 11" xfId="10026" hidden="1"/>
    <cellStyle name="20% - Accent4 11" xfId="10104" hidden="1"/>
    <cellStyle name="20% - Accent4 11" xfId="10689" hidden="1"/>
    <cellStyle name="20% - Accent4 11" xfId="10765" hidden="1"/>
    <cellStyle name="20% - Accent4 11" xfId="10844" hidden="1"/>
    <cellStyle name="20% - Accent4 11" xfId="11070" hidden="1"/>
    <cellStyle name="20% - Accent4 11" xfId="10574" hidden="1"/>
    <cellStyle name="20% - Accent4 11" xfId="10462" hidden="1"/>
    <cellStyle name="20% - Accent4 11" xfId="11284" hidden="1"/>
    <cellStyle name="20% - Accent4 11" xfId="11360" hidden="1"/>
    <cellStyle name="20% - Accent4 11" xfId="11438" hidden="1"/>
    <cellStyle name="20% - Accent4 11" xfId="11633" hidden="1"/>
    <cellStyle name="20% - Accent4 11" xfId="11129" hidden="1"/>
    <cellStyle name="20% - Accent4 11" xfId="10535" hidden="1"/>
    <cellStyle name="20% - Accent4 11" xfId="11816" hidden="1"/>
    <cellStyle name="20% - Accent4 11" xfId="11892" hidden="1"/>
    <cellStyle name="20% - Accent4 11" xfId="11970" hidden="1"/>
    <cellStyle name="20% - Accent4 11" xfId="12153" hidden="1"/>
    <cellStyle name="20% - Accent4 11" xfId="12229" hidden="1"/>
    <cellStyle name="20% - Accent4 11" xfId="12307" hidden="1"/>
    <cellStyle name="20% - Accent4 11" xfId="12490" hidden="1"/>
    <cellStyle name="20% - Accent4 11" xfId="12566" hidden="1"/>
    <cellStyle name="20% - Accent4 11" xfId="12668" hidden="1"/>
    <cellStyle name="20% - Accent4 11" xfId="12742" hidden="1"/>
    <cellStyle name="20% - Accent4 11" xfId="12818" hidden="1"/>
    <cellStyle name="20% - Accent4 11" xfId="12896" hidden="1"/>
    <cellStyle name="20% - Accent4 11" xfId="13481" hidden="1"/>
    <cellStyle name="20% - Accent4 11" xfId="13557" hidden="1"/>
    <cellStyle name="20% - Accent4 11" xfId="13636" hidden="1"/>
    <cellStyle name="20% - Accent4 11" xfId="13862" hidden="1"/>
    <cellStyle name="20% - Accent4 11" xfId="13366" hidden="1"/>
    <cellStyle name="20% - Accent4 11" xfId="13254" hidden="1"/>
    <cellStyle name="20% - Accent4 11" xfId="14076" hidden="1"/>
    <cellStyle name="20% - Accent4 11" xfId="14152" hidden="1"/>
    <cellStyle name="20% - Accent4 11" xfId="14230" hidden="1"/>
    <cellStyle name="20% - Accent4 11" xfId="14425" hidden="1"/>
    <cellStyle name="20% - Accent4 11" xfId="13921" hidden="1"/>
    <cellStyle name="20% - Accent4 11" xfId="13327" hidden="1"/>
    <cellStyle name="20% - Accent4 11" xfId="14608" hidden="1"/>
    <cellStyle name="20% - Accent4 11" xfId="14684" hidden="1"/>
    <cellStyle name="20% - Accent4 11" xfId="14762" hidden="1"/>
    <cellStyle name="20% - Accent4 11" xfId="14945" hidden="1"/>
    <cellStyle name="20% - Accent4 11" xfId="15021" hidden="1"/>
    <cellStyle name="20% - Accent4 11" xfId="15099" hidden="1"/>
    <cellStyle name="20% - Accent4 11" xfId="15282" hidden="1"/>
    <cellStyle name="20% - Accent4 11" xfId="15358" hidden="1"/>
    <cellStyle name="20% - Accent4 11" xfId="9574" hidden="1"/>
    <cellStyle name="20% - Accent4 11" xfId="9461" hidden="1"/>
    <cellStyle name="20% - Accent4 11" xfId="9348" hidden="1"/>
    <cellStyle name="20% - Accent4 11" xfId="9233" hidden="1"/>
    <cellStyle name="20% - Accent4 11" xfId="6980" hidden="1"/>
    <cellStyle name="20% - Accent4 11" xfId="6894" hidden="1"/>
    <cellStyle name="20% - Accent4 11" xfId="6800" hidden="1"/>
    <cellStyle name="20% - Accent4 11" xfId="5761" hidden="1"/>
    <cellStyle name="20% - Accent4 11" xfId="7352" hidden="1"/>
    <cellStyle name="20% - Accent4 11" xfId="7736" hidden="1"/>
    <cellStyle name="20% - Accent4 11" xfId="4834" hidden="1"/>
    <cellStyle name="20% - Accent4 11" xfId="4669" hidden="1"/>
    <cellStyle name="20% - Accent4 11" xfId="4406" hidden="1"/>
    <cellStyle name="20% - Accent4 11" xfId="3650" hidden="1"/>
    <cellStyle name="20% - Accent4 11" xfId="5326" hidden="1"/>
    <cellStyle name="20% - Accent4 11" xfId="7426" hidden="1"/>
    <cellStyle name="20% - Accent4 11" xfId="2701" hidden="1"/>
    <cellStyle name="20% - Accent4 11" xfId="2501" hidden="1"/>
    <cellStyle name="20% - Accent4 11" xfId="2322" hidden="1"/>
    <cellStyle name="20% - Accent4 11" xfId="1359" hidden="1"/>
    <cellStyle name="20% - Accent4 11" xfId="1176" hidden="1"/>
    <cellStyle name="20% - Accent4 11" xfId="933" hidden="1"/>
    <cellStyle name="20% - Accent4 11" xfId="15425" hidden="1"/>
    <cellStyle name="20% - Accent4 11" xfId="15533" hidden="1"/>
    <cellStyle name="20% - Accent4 11" xfId="16217" hidden="1"/>
    <cellStyle name="20% - Accent4 11" xfId="16291" hidden="1"/>
    <cellStyle name="20% - Accent4 11" xfId="16367" hidden="1"/>
    <cellStyle name="20% - Accent4 11" xfId="16445" hidden="1"/>
    <cellStyle name="20% - Accent4 11" xfId="17030" hidden="1"/>
    <cellStyle name="20% - Accent4 11" xfId="17106" hidden="1"/>
    <cellStyle name="20% - Accent4 11" xfId="17185" hidden="1"/>
    <cellStyle name="20% - Accent4 11" xfId="17411" hidden="1"/>
    <cellStyle name="20% - Accent4 11" xfId="16915" hidden="1"/>
    <cellStyle name="20% - Accent4 11" xfId="16803" hidden="1"/>
    <cellStyle name="20% - Accent4 11" xfId="17625" hidden="1"/>
    <cellStyle name="20% - Accent4 11" xfId="17701" hidden="1"/>
    <cellStyle name="20% - Accent4 11" xfId="17779" hidden="1"/>
    <cellStyle name="20% - Accent4 11" xfId="17974" hidden="1"/>
    <cellStyle name="20% - Accent4 11" xfId="17470" hidden="1"/>
    <cellStyle name="20% - Accent4 11" xfId="16876" hidden="1"/>
    <cellStyle name="20% - Accent4 11" xfId="18157" hidden="1"/>
    <cellStyle name="20% - Accent4 11" xfId="18233" hidden="1"/>
    <cellStyle name="20% - Accent4 11" xfId="18311" hidden="1"/>
    <cellStyle name="20% - Accent4 11" xfId="18494" hidden="1"/>
    <cellStyle name="20% - Accent4 11" xfId="18570" hidden="1"/>
    <cellStyle name="20% - Accent4 11" xfId="18648" hidden="1"/>
    <cellStyle name="20% - Accent4 11" xfId="18831" hidden="1"/>
    <cellStyle name="20% - Accent4 11" xfId="18907" hidden="1"/>
    <cellStyle name="20% - Accent4 11" xfId="19009" hidden="1"/>
    <cellStyle name="20% - Accent4 11" xfId="19083" hidden="1"/>
    <cellStyle name="20% - Accent4 11" xfId="19159" hidden="1"/>
    <cellStyle name="20% - Accent4 11" xfId="19237" hidden="1"/>
    <cellStyle name="20% - Accent4 11" xfId="19822" hidden="1"/>
    <cellStyle name="20% - Accent4 11" xfId="19898" hidden="1"/>
    <cellStyle name="20% - Accent4 11" xfId="19977" hidden="1"/>
    <cellStyle name="20% - Accent4 11" xfId="20203" hidden="1"/>
    <cellStyle name="20% - Accent4 11" xfId="19707" hidden="1"/>
    <cellStyle name="20% - Accent4 11" xfId="19595" hidden="1"/>
    <cellStyle name="20% - Accent4 11" xfId="20417" hidden="1"/>
    <cellStyle name="20% - Accent4 11" xfId="20493" hidden="1"/>
    <cellStyle name="20% - Accent4 11" xfId="20571" hidden="1"/>
    <cellStyle name="20% - Accent4 11" xfId="20766" hidden="1"/>
    <cellStyle name="20% - Accent4 11" xfId="20262" hidden="1"/>
    <cellStyle name="20% - Accent4 11" xfId="19668" hidden="1"/>
    <cellStyle name="20% - Accent4 11" xfId="20949" hidden="1"/>
    <cellStyle name="20% - Accent4 11" xfId="21025" hidden="1"/>
    <cellStyle name="20% - Accent4 11" xfId="21103" hidden="1"/>
    <cellStyle name="20% - Accent4 11" xfId="21286" hidden="1"/>
    <cellStyle name="20% - Accent4 11" xfId="21362" hidden="1"/>
    <cellStyle name="20% - Accent4 11" xfId="21440" hidden="1"/>
    <cellStyle name="20% - Accent4 11" xfId="21623" hidden="1"/>
    <cellStyle name="20% - Accent4 11" xfId="21699" hidden="1"/>
    <cellStyle name="20% - Accent4 11" xfId="15974" hidden="1"/>
    <cellStyle name="20% - Accent4 11" xfId="15900" hidden="1"/>
    <cellStyle name="20% - Accent4 11" xfId="15819" hidden="1"/>
    <cellStyle name="20% - Accent4 11" xfId="15734" hidden="1"/>
    <cellStyle name="20% - Accent4 11" xfId="7952" hidden="1"/>
    <cellStyle name="20% - Accent4 11" xfId="7749" hidden="1"/>
    <cellStyle name="20% - Accent4 11" xfId="7467" hidden="1"/>
    <cellStyle name="20% - Accent4 11" xfId="6260" hidden="1"/>
    <cellStyle name="20% - Accent4 11" xfId="8202" hidden="1"/>
    <cellStyle name="20% - Accent4 11" xfId="8543" hidden="1"/>
    <cellStyle name="20% - Accent4 11" xfId="5282" hidden="1"/>
    <cellStyle name="20% - Accent4 11" xfId="5081" hidden="1"/>
    <cellStyle name="20% - Accent4 11" xfId="4974" hidden="1"/>
    <cellStyle name="20% - Accent4 11" xfId="3843" hidden="1"/>
    <cellStyle name="20% - Accent4 11" xfId="5878" hidden="1"/>
    <cellStyle name="20% - Accent4 11" xfId="8375" hidden="1"/>
    <cellStyle name="20% - Accent4 11" xfId="3017" hidden="1"/>
    <cellStyle name="20% - Accent4 11" xfId="2887" hidden="1"/>
    <cellStyle name="20% - Accent4 11" xfId="2660" hidden="1"/>
    <cellStyle name="20% - Accent4 11" xfId="1513" hidden="1"/>
    <cellStyle name="20% - Accent4 11" xfId="1325" hidden="1"/>
    <cellStyle name="20% - Accent4 11" xfId="1098" hidden="1"/>
    <cellStyle name="20% - Accent4 11" xfId="21759" hidden="1"/>
    <cellStyle name="20% - Accent4 11" xfId="21839" hidden="1"/>
    <cellStyle name="20% - Accent4 11" xfId="22368" hidden="1"/>
    <cellStyle name="20% - Accent4 11" xfId="22442" hidden="1"/>
    <cellStyle name="20% - Accent4 11" xfId="22518" hidden="1"/>
    <cellStyle name="20% - Accent4 11" xfId="22596" hidden="1"/>
    <cellStyle name="20% - Accent4 11" xfId="23181" hidden="1"/>
    <cellStyle name="20% - Accent4 11" xfId="23257" hidden="1"/>
    <cellStyle name="20% - Accent4 11" xfId="23336" hidden="1"/>
    <cellStyle name="20% - Accent4 11" xfId="23562" hidden="1"/>
    <cellStyle name="20% - Accent4 11" xfId="23066" hidden="1"/>
    <cellStyle name="20% - Accent4 11" xfId="22954" hidden="1"/>
    <cellStyle name="20% - Accent4 11" xfId="23776" hidden="1"/>
    <cellStyle name="20% - Accent4 11" xfId="23852" hidden="1"/>
    <cellStyle name="20% - Accent4 11" xfId="23930" hidden="1"/>
    <cellStyle name="20% - Accent4 11" xfId="24125" hidden="1"/>
    <cellStyle name="20% - Accent4 11" xfId="23621" hidden="1"/>
    <cellStyle name="20% - Accent4 11" xfId="23027" hidden="1"/>
    <cellStyle name="20% - Accent4 11" xfId="24308" hidden="1"/>
    <cellStyle name="20% - Accent4 11" xfId="24384" hidden="1"/>
    <cellStyle name="20% - Accent4 11" xfId="24462" hidden="1"/>
    <cellStyle name="20% - Accent4 11" xfId="24645" hidden="1"/>
    <cellStyle name="20% - Accent4 11" xfId="24721" hidden="1"/>
    <cellStyle name="20% - Accent4 11" xfId="24799" hidden="1"/>
    <cellStyle name="20% - Accent4 11" xfId="24982" hidden="1"/>
    <cellStyle name="20% - Accent4 11" xfId="25058" hidden="1"/>
    <cellStyle name="20% - Accent4 11" xfId="25160" hidden="1"/>
    <cellStyle name="20% - Accent4 11" xfId="25234" hidden="1"/>
    <cellStyle name="20% - Accent4 11" xfId="25310" hidden="1"/>
    <cellStyle name="20% - Accent4 11" xfId="25388" hidden="1"/>
    <cellStyle name="20% - Accent4 11" xfId="25973" hidden="1"/>
    <cellStyle name="20% - Accent4 11" xfId="26049" hidden="1"/>
    <cellStyle name="20% - Accent4 11" xfId="26128" hidden="1"/>
    <cellStyle name="20% - Accent4 11" xfId="26354" hidden="1"/>
    <cellStyle name="20% - Accent4 11" xfId="25858" hidden="1"/>
    <cellStyle name="20% - Accent4 11" xfId="25746" hidden="1"/>
    <cellStyle name="20% - Accent4 11" xfId="26568" hidden="1"/>
    <cellStyle name="20% - Accent4 11" xfId="26644" hidden="1"/>
    <cellStyle name="20% - Accent4 11" xfId="26722" hidden="1"/>
    <cellStyle name="20% - Accent4 11" xfId="26917" hidden="1"/>
    <cellStyle name="20% - Accent4 11" xfId="26413" hidden="1"/>
    <cellStyle name="20% - Accent4 11" xfId="25819" hidden="1"/>
    <cellStyle name="20% - Accent4 11" xfId="27100" hidden="1"/>
    <cellStyle name="20% - Accent4 11" xfId="27176" hidden="1"/>
    <cellStyle name="20% - Accent4 11" xfId="27254" hidden="1"/>
    <cellStyle name="20% - Accent4 11" xfId="27437" hidden="1"/>
    <cellStyle name="20% - Accent4 11" xfId="27513" hidden="1"/>
    <cellStyle name="20% - Accent4 11" xfId="27591" hidden="1"/>
    <cellStyle name="20% - Accent4 11" xfId="27774" hidden="1"/>
    <cellStyle name="20% - Accent4 11" xfId="27850" hidden="1"/>
    <cellStyle name="20% - Accent4 11" xfId="22227" hidden="1"/>
    <cellStyle name="20% - Accent4 11" xfId="22153" hidden="1"/>
    <cellStyle name="20% - Accent4 11" xfId="22072" hidden="1"/>
    <cellStyle name="20% - Accent4 11" xfId="21989" hidden="1"/>
    <cellStyle name="20% - Accent4 11" xfId="8853" hidden="1"/>
    <cellStyle name="20% - Accent4 11" xfId="8556" hidden="1"/>
    <cellStyle name="20% - Accent4 11" xfId="8416" hidden="1"/>
    <cellStyle name="20% - Accent4 11" xfId="6769" hidden="1"/>
    <cellStyle name="20% - Accent4 11" xfId="9254" hidden="1"/>
    <cellStyle name="20% - Accent4 11" xfId="9655" hidden="1"/>
    <cellStyle name="20% - Accent4 11" xfId="5830" hidden="1"/>
    <cellStyle name="20% - Accent4 11" xfId="5588" hidden="1"/>
    <cellStyle name="20% - Accent4 11" xfId="5492" hidden="1"/>
    <cellStyle name="20% - Accent4 11" xfId="4018" hidden="1"/>
    <cellStyle name="20% - Accent4 11" xfId="6302" hidden="1"/>
    <cellStyle name="20% - Accent4 11" xfId="9403" hidden="1"/>
    <cellStyle name="20% - Accent4 11" xfId="3351" hidden="1"/>
    <cellStyle name="20% - Accent4 11" xfId="3158" hidden="1"/>
    <cellStyle name="20% - Accent4 11" xfId="2992" hidden="1"/>
    <cellStyle name="20% - Accent4 11" xfId="1646" hidden="1"/>
    <cellStyle name="20% - Accent4 11" xfId="1494" hidden="1"/>
    <cellStyle name="20% - Accent4 11" xfId="1237" hidden="1"/>
    <cellStyle name="20% - Accent4 11" xfId="27909" hidden="1"/>
    <cellStyle name="20% - Accent4 11" xfId="27985" hidden="1"/>
    <cellStyle name="20% - Accent4 11" xfId="28087" hidden="1"/>
    <cellStyle name="20% - Accent4 11" xfId="28161" hidden="1"/>
    <cellStyle name="20% - Accent4 11" xfId="28237" hidden="1"/>
    <cellStyle name="20% - Accent4 11" xfId="28315" hidden="1"/>
    <cellStyle name="20% - Accent4 11" xfId="28900" hidden="1"/>
    <cellStyle name="20% - Accent4 11" xfId="28976" hidden="1"/>
    <cellStyle name="20% - Accent4 11" xfId="29055" hidden="1"/>
    <cellStyle name="20% - Accent4 11" xfId="29281" hidden="1"/>
    <cellStyle name="20% - Accent4 11" xfId="28785" hidden="1"/>
    <cellStyle name="20% - Accent4 11" xfId="28673" hidden="1"/>
    <cellStyle name="20% - Accent4 11" xfId="29495" hidden="1"/>
    <cellStyle name="20% - Accent4 11" xfId="29571" hidden="1"/>
    <cellStyle name="20% - Accent4 11" xfId="29649" hidden="1"/>
    <cellStyle name="20% - Accent4 11" xfId="29844" hidden="1"/>
    <cellStyle name="20% - Accent4 11" xfId="29340" hidden="1"/>
    <cellStyle name="20% - Accent4 11" xfId="28746" hidden="1"/>
    <cellStyle name="20% - Accent4 11" xfId="30027" hidden="1"/>
    <cellStyle name="20% - Accent4 11" xfId="30103" hidden="1"/>
    <cellStyle name="20% - Accent4 11" xfId="30181" hidden="1"/>
    <cellStyle name="20% - Accent4 11" xfId="30364" hidden="1"/>
    <cellStyle name="20% - Accent4 11" xfId="30440" hidden="1"/>
    <cellStyle name="20% - Accent4 11" xfId="30518" hidden="1"/>
    <cellStyle name="20% - Accent4 11" xfId="30701" hidden="1"/>
    <cellStyle name="20% - Accent4 11" xfId="30777" hidden="1"/>
    <cellStyle name="20% - Accent4 11" xfId="30879" hidden="1"/>
    <cellStyle name="20% - Accent4 11" xfId="30953" hidden="1"/>
    <cellStyle name="20% - Accent4 11" xfId="31029" hidden="1"/>
    <cellStyle name="20% - Accent4 11" xfId="31107" hidden="1"/>
    <cellStyle name="20% - Accent4 11" xfId="31692" hidden="1"/>
    <cellStyle name="20% - Accent4 11" xfId="31768" hidden="1"/>
    <cellStyle name="20% - Accent4 11" xfId="31847" hidden="1"/>
    <cellStyle name="20% - Accent4 11" xfId="32073" hidden="1"/>
    <cellStyle name="20% - Accent4 11" xfId="31577" hidden="1"/>
    <cellStyle name="20% - Accent4 11" xfId="31465" hidden="1"/>
    <cellStyle name="20% - Accent4 11" xfId="32287" hidden="1"/>
    <cellStyle name="20% - Accent4 11" xfId="32363" hidden="1"/>
    <cellStyle name="20% - Accent4 11" xfId="32441" hidden="1"/>
    <cellStyle name="20% - Accent4 11" xfId="32636" hidden="1"/>
    <cellStyle name="20% - Accent4 11" xfId="32132" hidden="1"/>
    <cellStyle name="20% - Accent4 11" xfId="31538" hidden="1"/>
    <cellStyle name="20% - Accent4 11" xfId="32819" hidden="1"/>
    <cellStyle name="20% - Accent4 11" xfId="32895" hidden="1"/>
    <cellStyle name="20% - Accent4 11" xfId="32973" hidden="1"/>
    <cellStyle name="20% - Accent4 11" xfId="33156" hidden="1"/>
    <cellStyle name="20% - Accent4 11" xfId="33232" hidden="1"/>
    <cellStyle name="20% - Accent4 11" xfId="33310" hidden="1"/>
    <cellStyle name="20% - Accent4 11" xfId="33493" hidden="1"/>
    <cellStyle name="20% - Accent4 11" xfId="33569" hidden="1"/>
    <cellStyle name="20% - Accent4 12" xfId="201" hidden="1"/>
    <cellStyle name="20% - Accent4 12" xfId="279" hidden="1"/>
    <cellStyle name="20% - Accent4 12" xfId="424" hidden="1"/>
    <cellStyle name="20% - Accent4 12" xfId="735" hidden="1"/>
    <cellStyle name="20% - Accent4 12" xfId="2449" hidden="1"/>
    <cellStyle name="20% - Accent4 12" xfId="2601" hidden="1"/>
    <cellStyle name="20% - Accent4 12" xfId="2809" hidden="1"/>
    <cellStyle name="20% - Accent4 12" xfId="1814" hidden="1"/>
    <cellStyle name="20% - Accent4 12" xfId="2248" hidden="1"/>
    <cellStyle name="20% - Accent4 12" xfId="2093" hidden="1"/>
    <cellStyle name="20% - Accent4 12" xfId="4427" hidden="1"/>
    <cellStyle name="20% - Accent4 12" xfId="4619" hidden="1"/>
    <cellStyle name="20% - Accent4 12" xfId="4779" hidden="1"/>
    <cellStyle name="20% - Accent4 12" xfId="3124" hidden="1"/>
    <cellStyle name="20% - Accent4 12" xfId="1838" hidden="1"/>
    <cellStyle name="20% - Accent4 12" xfId="3090" hidden="1"/>
    <cellStyle name="20% - Accent4 12" xfId="6391" hidden="1"/>
    <cellStyle name="20% - Accent4 12" xfId="6496" hidden="1"/>
    <cellStyle name="20% - Accent4 12" xfId="6693" hidden="1"/>
    <cellStyle name="20% - Accent4 12" xfId="7572" hidden="1"/>
    <cellStyle name="20% - Accent4 12" xfId="7715" hidden="1"/>
    <cellStyle name="20% - Accent4 12" xfId="7889" hidden="1"/>
    <cellStyle name="20% - Accent4 12" xfId="8810" hidden="1"/>
    <cellStyle name="20% - Accent4 12" xfId="8980" hidden="1"/>
    <cellStyle name="20% - Accent4 12" xfId="9889" hidden="1"/>
    <cellStyle name="20% - Accent4 12" xfId="9964" hidden="1"/>
    <cellStyle name="20% - Accent4 12" xfId="10039" hidden="1"/>
    <cellStyle name="20% - Accent4 12" xfId="10117" hidden="1"/>
    <cellStyle name="20% - Accent4 12" xfId="10703" hidden="1"/>
    <cellStyle name="20% - Accent4 12" xfId="10778" hidden="1"/>
    <cellStyle name="20% - Accent4 12" xfId="10857" hidden="1"/>
    <cellStyle name="20% - Accent4 12" xfId="10419" hidden="1"/>
    <cellStyle name="20% - Accent4 12" xfId="10593" hidden="1"/>
    <cellStyle name="20% - Accent4 12" xfId="10549" hidden="1"/>
    <cellStyle name="20% - Accent4 12" xfId="11298" hidden="1"/>
    <cellStyle name="20% - Accent4 12" xfId="11373" hidden="1"/>
    <cellStyle name="20% - Accent4 12" xfId="11451" hidden="1"/>
    <cellStyle name="20% - Accent4 12" xfId="10934" hidden="1"/>
    <cellStyle name="20% - Accent4 12" xfId="10424" hidden="1"/>
    <cellStyle name="20% - Accent4 12" xfId="10919" hidden="1"/>
    <cellStyle name="20% - Accent4 12" xfId="11830" hidden="1"/>
    <cellStyle name="20% - Accent4 12" xfId="11905" hidden="1"/>
    <cellStyle name="20% - Accent4 12" xfId="11983" hidden="1"/>
    <cellStyle name="20% - Accent4 12" xfId="12167" hidden="1"/>
    <cellStyle name="20% - Accent4 12" xfId="12242" hidden="1"/>
    <cellStyle name="20% - Accent4 12" xfId="12320" hidden="1"/>
    <cellStyle name="20% - Accent4 12" xfId="12504" hidden="1"/>
    <cellStyle name="20% - Accent4 12" xfId="12579" hidden="1"/>
    <cellStyle name="20% - Accent4 12" xfId="12681" hidden="1"/>
    <cellStyle name="20% - Accent4 12" xfId="12756" hidden="1"/>
    <cellStyle name="20% - Accent4 12" xfId="12831" hidden="1"/>
    <cellStyle name="20% - Accent4 12" xfId="12909" hidden="1"/>
    <cellStyle name="20% - Accent4 12" xfId="13495" hidden="1"/>
    <cellStyle name="20% - Accent4 12" xfId="13570" hidden="1"/>
    <cellStyle name="20% - Accent4 12" xfId="13649" hidden="1"/>
    <cellStyle name="20% - Accent4 12" xfId="13211" hidden="1"/>
    <cellStyle name="20% - Accent4 12" xfId="13385" hidden="1"/>
    <cellStyle name="20% - Accent4 12" xfId="13341" hidden="1"/>
    <cellStyle name="20% - Accent4 12" xfId="14090" hidden="1"/>
    <cellStyle name="20% - Accent4 12" xfId="14165" hidden="1"/>
    <cellStyle name="20% - Accent4 12" xfId="14243" hidden="1"/>
    <cellStyle name="20% - Accent4 12" xfId="13726" hidden="1"/>
    <cellStyle name="20% - Accent4 12" xfId="13216" hidden="1"/>
    <cellStyle name="20% - Accent4 12" xfId="13711" hidden="1"/>
    <cellStyle name="20% - Accent4 12" xfId="14622" hidden="1"/>
    <cellStyle name="20% - Accent4 12" xfId="14697" hidden="1"/>
    <cellStyle name="20% - Accent4 12" xfId="14775" hidden="1"/>
    <cellStyle name="20% - Accent4 12" xfId="14959" hidden="1"/>
    <cellStyle name="20% - Accent4 12" xfId="15034" hidden="1"/>
    <cellStyle name="20% - Accent4 12" xfId="15112" hidden="1"/>
    <cellStyle name="20% - Accent4 12" xfId="15296" hidden="1"/>
    <cellStyle name="20% - Accent4 12" xfId="15371" hidden="1"/>
    <cellStyle name="20% - Accent4 12" xfId="9559" hidden="1"/>
    <cellStyle name="20% - Accent4 12" xfId="9446" hidden="1"/>
    <cellStyle name="20% - Accent4 12" xfId="9334" hidden="1"/>
    <cellStyle name="20% - Accent4 12" xfId="9216" hidden="1"/>
    <cellStyle name="20% - Accent4 12" xfId="6964" hidden="1"/>
    <cellStyle name="20% - Accent4 12" xfId="6880" hidden="1"/>
    <cellStyle name="20% - Accent4 12" xfId="6785" hidden="1"/>
    <cellStyle name="20% - Accent4 12" xfId="7918" hidden="1"/>
    <cellStyle name="20% - Accent4 12" xfId="7282" hidden="1"/>
    <cellStyle name="20% - Accent4 12" xfId="7400" hidden="1"/>
    <cellStyle name="20% - Accent4 12" xfId="4814" hidden="1"/>
    <cellStyle name="20% - Accent4 12" xfId="4650" hidden="1"/>
    <cellStyle name="20% - Accent4 12" xfId="4350" hidden="1"/>
    <cellStyle name="20% - Accent4 12" xfId="6344" hidden="1"/>
    <cellStyle name="20% - Accent4 12" xfId="7905" hidden="1"/>
    <cellStyle name="20% - Accent4 12" xfId="6423" hidden="1"/>
    <cellStyle name="20% - Accent4 12" xfId="2675" hidden="1"/>
    <cellStyle name="20% - Accent4 12" xfId="2484" hidden="1"/>
    <cellStyle name="20% - Accent4 12" xfId="2308" hidden="1"/>
    <cellStyle name="20% - Accent4 12" xfId="1337" hidden="1"/>
    <cellStyle name="20% - Accent4 12" xfId="1160" hidden="1"/>
    <cellStyle name="20% - Accent4 12" xfId="919" hidden="1"/>
    <cellStyle name="20% - Accent4 12" xfId="15442" hidden="1"/>
    <cellStyle name="20% - Accent4 12" xfId="15550" hidden="1"/>
    <cellStyle name="20% - Accent4 12" xfId="16230" hidden="1"/>
    <cellStyle name="20% - Accent4 12" xfId="16305" hidden="1"/>
    <cellStyle name="20% - Accent4 12" xfId="16380" hidden="1"/>
    <cellStyle name="20% - Accent4 12" xfId="16458" hidden="1"/>
    <cellStyle name="20% - Accent4 12" xfId="17044" hidden="1"/>
    <cellStyle name="20% - Accent4 12" xfId="17119" hidden="1"/>
    <cellStyle name="20% - Accent4 12" xfId="17198" hidden="1"/>
    <cellStyle name="20% - Accent4 12" xfId="16760" hidden="1"/>
    <cellStyle name="20% - Accent4 12" xfId="16934" hidden="1"/>
    <cellStyle name="20% - Accent4 12" xfId="16890" hidden="1"/>
    <cellStyle name="20% - Accent4 12" xfId="17639" hidden="1"/>
    <cellStyle name="20% - Accent4 12" xfId="17714" hidden="1"/>
    <cellStyle name="20% - Accent4 12" xfId="17792" hidden="1"/>
    <cellStyle name="20% - Accent4 12" xfId="17275" hidden="1"/>
    <cellStyle name="20% - Accent4 12" xfId="16765" hidden="1"/>
    <cellStyle name="20% - Accent4 12" xfId="17260" hidden="1"/>
    <cellStyle name="20% - Accent4 12" xfId="18171" hidden="1"/>
    <cellStyle name="20% - Accent4 12" xfId="18246" hidden="1"/>
    <cellStyle name="20% - Accent4 12" xfId="18324" hidden="1"/>
    <cellStyle name="20% - Accent4 12" xfId="18508" hidden="1"/>
    <cellStyle name="20% - Accent4 12" xfId="18583" hidden="1"/>
    <cellStyle name="20% - Accent4 12" xfId="18661" hidden="1"/>
    <cellStyle name="20% - Accent4 12" xfId="18845" hidden="1"/>
    <cellStyle name="20% - Accent4 12" xfId="18920" hidden="1"/>
    <cellStyle name="20% - Accent4 12" xfId="19022" hidden="1"/>
    <cellStyle name="20% - Accent4 12" xfId="19097" hidden="1"/>
    <cellStyle name="20% - Accent4 12" xfId="19172" hidden="1"/>
    <cellStyle name="20% - Accent4 12" xfId="19250" hidden="1"/>
    <cellStyle name="20% - Accent4 12" xfId="19836" hidden="1"/>
    <cellStyle name="20% - Accent4 12" xfId="19911" hidden="1"/>
    <cellStyle name="20% - Accent4 12" xfId="19990" hidden="1"/>
    <cellStyle name="20% - Accent4 12" xfId="19552" hidden="1"/>
    <cellStyle name="20% - Accent4 12" xfId="19726" hidden="1"/>
    <cellStyle name="20% - Accent4 12" xfId="19682" hidden="1"/>
    <cellStyle name="20% - Accent4 12" xfId="20431" hidden="1"/>
    <cellStyle name="20% - Accent4 12" xfId="20506" hidden="1"/>
    <cellStyle name="20% - Accent4 12" xfId="20584" hidden="1"/>
    <cellStyle name="20% - Accent4 12" xfId="20067" hidden="1"/>
    <cellStyle name="20% - Accent4 12" xfId="19557" hidden="1"/>
    <cellStyle name="20% - Accent4 12" xfId="20052" hidden="1"/>
    <cellStyle name="20% - Accent4 12" xfId="20963" hidden="1"/>
    <cellStyle name="20% - Accent4 12" xfId="21038" hidden="1"/>
    <cellStyle name="20% - Accent4 12" xfId="21116" hidden="1"/>
    <cellStyle name="20% - Accent4 12" xfId="21300" hidden="1"/>
    <cellStyle name="20% - Accent4 12" xfId="21375" hidden="1"/>
    <cellStyle name="20% - Accent4 12" xfId="21453" hidden="1"/>
    <cellStyle name="20% - Accent4 12" xfId="21637" hidden="1"/>
    <cellStyle name="20% - Accent4 12" xfId="21712" hidden="1"/>
    <cellStyle name="20% - Accent4 12" xfId="15961" hidden="1"/>
    <cellStyle name="20% - Accent4 12" xfId="15886" hidden="1"/>
    <cellStyle name="20% - Accent4 12" xfId="15806" hidden="1"/>
    <cellStyle name="20% - Accent4 12" xfId="15720" hidden="1"/>
    <cellStyle name="20% - Accent4 12" xfId="7932" hidden="1"/>
    <cellStyle name="20% - Accent4 12" xfId="7714" hidden="1"/>
    <cellStyle name="20% - Accent4 12" xfId="7444" hidden="1"/>
    <cellStyle name="20% - Accent4 12" xfId="8778" hidden="1"/>
    <cellStyle name="20% - Accent4 12" xfId="8170" hidden="1"/>
    <cellStyle name="20% - Accent4 12" xfId="8252" hidden="1"/>
    <cellStyle name="20% - Accent4 12" xfId="5267" hidden="1"/>
    <cellStyle name="20% - Accent4 12" xfId="5068" hidden="1"/>
    <cellStyle name="20% - Accent4 12" xfId="4960" hidden="1"/>
    <cellStyle name="20% - Accent4 12" xfId="7036" hidden="1"/>
    <cellStyle name="20% - Accent4 12" xfId="8756" hidden="1"/>
    <cellStyle name="20% - Accent4 12" xfId="7163" hidden="1"/>
    <cellStyle name="20% - Accent4 12" xfId="2994" hidden="1"/>
    <cellStyle name="20% - Accent4 12" xfId="2870" hidden="1"/>
    <cellStyle name="20% - Accent4 12" xfId="2634" hidden="1"/>
    <cellStyle name="20% - Accent4 12" xfId="1490" hidden="1"/>
    <cellStyle name="20% - Accent4 12" xfId="1304" hidden="1"/>
    <cellStyle name="20% - Accent4 12" xfId="1082" hidden="1"/>
    <cellStyle name="20% - Accent4 12" xfId="21773" hidden="1"/>
    <cellStyle name="20% - Accent4 12" xfId="21852" hidden="1"/>
    <cellStyle name="20% - Accent4 12" xfId="22381" hidden="1"/>
    <cellStyle name="20% - Accent4 12" xfId="22456" hidden="1"/>
    <cellStyle name="20% - Accent4 12" xfId="22531" hidden="1"/>
    <cellStyle name="20% - Accent4 12" xfId="22609" hidden="1"/>
    <cellStyle name="20% - Accent4 12" xfId="23195" hidden="1"/>
    <cellStyle name="20% - Accent4 12" xfId="23270" hidden="1"/>
    <cellStyle name="20% - Accent4 12" xfId="23349" hidden="1"/>
    <cellStyle name="20% - Accent4 12" xfId="22911" hidden="1"/>
    <cellStyle name="20% - Accent4 12" xfId="23085" hidden="1"/>
    <cellStyle name="20% - Accent4 12" xfId="23041" hidden="1"/>
    <cellStyle name="20% - Accent4 12" xfId="23790" hidden="1"/>
    <cellStyle name="20% - Accent4 12" xfId="23865" hidden="1"/>
    <cellStyle name="20% - Accent4 12" xfId="23943" hidden="1"/>
    <cellStyle name="20% - Accent4 12" xfId="23426" hidden="1"/>
    <cellStyle name="20% - Accent4 12" xfId="22916" hidden="1"/>
    <cellStyle name="20% - Accent4 12" xfId="23411" hidden="1"/>
    <cellStyle name="20% - Accent4 12" xfId="24322" hidden="1"/>
    <cellStyle name="20% - Accent4 12" xfId="24397" hidden="1"/>
    <cellStyle name="20% - Accent4 12" xfId="24475" hidden="1"/>
    <cellStyle name="20% - Accent4 12" xfId="24659" hidden="1"/>
    <cellStyle name="20% - Accent4 12" xfId="24734" hidden="1"/>
    <cellStyle name="20% - Accent4 12" xfId="24812" hidden="1"/>
    <cellStyle name="20% - Accent4 12" xfId="24996" hidden="1"/>
    <cellStyle name="20% - Accent4 12" xfId="25071" hidden="1"/>
    <cellStyle name="20% - Accent4 12" xfId="25173" hidden="1"/>
    <cellStyle name="20% - Accent4 12" xfId="25248" hidden="1"/>
    <cellStyle name="20% - Accent4 12" xfId="25323" hidden="1"/>
    <cellStyle name="20% - Accent4 12" xfId="25401" hidden="1"/>
    <cellStyle name="20% - Accent4 12" xfId="25987" hidden="1"/>
    <cellStyle name="20% - Accent4 12" xfId="26062" hidden="1"/>
    <cellStyle name="20% - Accent4 12" xfId="26141" hidden="1"/>
    <cellStyle name="20% - Accent4 12" xfId="25703" hidden="1"/>
    <cellStyle name="20% - Accent4 12" xfId="25877" hidden="1"/>
    <cellStyle name="20% - Accent4 12" xfId="25833" hidden="1"/>
    <cellStyle name="20% - Accent4 12" xfId="26582" hidden="1"/>
    <cellStyle name="20% - Accent4 12" xfId="26657" hidden="1"/>
    <cellStyle name="20% - Accent4 12" xfId="26735" hidden="1"/>
    <cellStyle name="20% - Accent4 12" xfId="26218" hidden="1"/>
    <cellStyle name="20% - Accent4 12" xfId="25708" hidden="1"/>
    <cellStyle name="20% - Accent4 12" xfId="26203" hidden="1"/>
    <cellStyle name="20% - Accent4 12" xfId="27114" hidden="1"/>
    <cellStyle name="20% - Accent4 12" xfId="27189" hidden="1"/>
    <cellStyle name="20% - Accent4 12" xfId="27267" hidden="1"/>
    <cellStyle name="20% - Accent4 12" xfId="27451" hidden="1"/>
    <cellStyle name="20% - Accent4 12" xfId="27526" hidden="1"/>
    <cellStyle name="20% - Accent4 12" xfId="27604" hidden="1"/>
    <cellStyle name="20% - Accent4 12" xfId="27788" hidden="1"/>
    <cellStyle name="20% - Accent4 12" xfId="27863" hidden="1"/>
    <cellStyle name="20% - Accent4 12" xfId="22214" hidden="1"/>
    <cellStyle name="20% - Accent4 12" xfId="22139" hidden="1"/>
    <cellStyle name="20% - Accent4 12" xfId="22059" hidden="1"/>
    <cellStyle name="20% - Accent4 12" xfId="21976" hidden="1"/>
    <cellStyle name="20% - Accent4 12" xfId="8828" hidden="1"/>
    <cellStyle name="20% - Accent4 12" xfId="8534" hidden="1"/>
    <cellStyle name="20% - Accent4 12" xfId="8400" hidden="1"/>
    <cellStyle name="20% - Accent4 12" xfId="15416" hidden="1"/>
    <cellStyle name="20% - Accent4 12" xfId="9094" hidden="1"/>
    <cellStyle name="20% - Accent4 12" xfId="9337" hidden="1"/>
    <cellStyle name="20% - Accent4 12" xfId="5809" hidden="1"/>
    <cellStyle name="20% - Accent4 12" xfId="5573" hidden="1"/>
    <cellStyle name="20% - Accent4 12" xfId="5478" hidden="1"/>
    <cellStyle name="20% - Accent4 12" xfId="8042" hidden="1"/>
    <cellStyle name="20% - Accent4 12" xfId="15397" hidden="1"/>
    <cellStyle name="20% - Accent4 12" xfId="8087" hidden="1"/>
    <cellStyle name="20% - Accent4 12" xfId="3333" hidden="1"/>
    <cellStyle name="20% - Accent4 12" xfId="3145" hidden="1"/>
    <cellStyle name="20% - Accent4 12" xfId="2965" hidden="1"/>
    <cellStyle name="20% - Accent4 12" xfId="1629" hidden="1"/>
    <cellStyle name="20% - Accent4 12" xfId="1462" hidden="1"/>
    <cellStyle name="20% - Accent4 12" xfId="1204" hidden="1"/>
    <cellStyle name="20% - Accent4 12" xfId="27923" hidden="1"/>
    <cellStyle name="20% - Accent4 12" xfId="27998" hidden="1"/>
    <cellStyle name="20% - Accent4 12" xfId="28100" hidden="1"/>
    <cellStyle name="20% - Accent4 12" xfId="28175" hidden="1"/>
    <cellStyle name="20% - Accent4 12" xfId="28250" hidden="1"/>
    <cellStyle name="20% - Accent4 12" xfId="28328" hidden="1"/>
    <cellStyle name="20% - Accent4 12" xfId="28914" hidden="1"/>
    <cellStyle name="20% - Accent4 12" xfId="28989" hidden="1"/>
    <cellStyle name="20% - Accent4 12" xfId="29068" hidden="1"/>
    <cellStyle name="20% - Accent4 12" xfId="28630" hidden="1"/>
    <cellStyle name="20% - Accent4 12" xfId="28804" hidden="1"/>
    <cellStyle name="20% - Accent4 12" xfId="28760" hidden="1"/>
    <cellStyle name="20% - Accent4 12" xfId="29509" hidden="1"/>
    <cellStyle name="20% - Accent4 12" xfId="29584" hidden="1"/>
    <cellStyle name="20% - Accent4 12" xfId="29662" hidden="1"/>
    <cellStyle name="20% - Accent4 12" xfId="29145" hidden="1"/>
    <cellStyle name="20% - Accent4 12" xfId="28635" hidden="1"/>
    <cellStyle name="20% - Accent4 12" xfId="29130" hidden="1"/>
    <cellStyle name="20% - Accent4 12" xfId="30041" hidden="1"/>
    <cellStyle name="20% - Accent4 12" xfId="30116" hidden="1"/>
    <cellStyle name="20% - Accent4 12" xfId="30194" hidden="1"/>
    <cellStyle name="20% - Accent4 12" xfId="30378" hidden="1"/>
    <cellStyle name="20% - Accent4 12" xfId="30453" hidden="1"/>
    <cellStyle name="20% - Accent4 12" xfId="30531" hidden="1"/>
    <cellStyle name="20% - Accent4 12" xfId="30715" hidden="1"/>
    <cellStyle name="20% - Accent4 12" xfId="30790" hidden="1"/>
    <cellStyle name="20% - Accent4 12" xfId="30892" hidden="1"/>
    <cellStyle name="20% - Accent4 12" xfId="30967" hidden="1"/>
    <cellStyle name="20% - Accent4 12" xfId="31042" hidden="1"/>
    <cellStyle name="20% - Accent4 12" xfId="31120" hidden="1"/>
    <cellStyle name="20% - Accent4 12" xfId="31706" hidden="1"/>
    <cellStyle name="20% - Accent4 12" xfId="31781" hidden="1"/>
    <cellStyle name="20% - Accent4 12" xfId="31860" hidden="1"/>
    <cellStyle name="20% - Accent4 12" xfId="31422" hidden="1"/>
    <cellStyle name="20% - Accent4 12" xfId="31596" hidden="1"/>
    <cellStyle name="20% - Accent4 12" xfId="31552" hidden="1"/>
    <cellStyle name="20% - Accent4 12" xfId="32301" hidden="1"/>
    <cellStyle name="20% - Accent4 12" xfId="32376" hidden="1"/>
    <cellStyle name="20% - Accent4 12" xfId="32454" hidden="1"/>
    <cellStyle name="20% - Accent4 12" xfId="31937" hidden="1"/>
    <cellStyle name="20% - Accent4 12" xfId="31427" hidden="1"/>
    <cellStyle name="20% - Accent4 12" xfId="31922" hidden="1"/>
    <cellStyle name="20% - Accent4 12" xfId="32833" hidden="1"/>
    <cellStyle name="20% - Accent4 12" xfId="32908" hidden="1"/>
    <cellStyle name="20% - Accent4 12" xfId="32986" hidden="1"/>
    <cellStyle name="20% - Accent4 12" xfId="33170" hidden="1"/>
    <cellStyle name="20% - Accent4 12" xfId="33245" hidden="1"/>
    <cellStyle name="20% - Accent4 12" xfId="33323" hidden="1"/>
    <cellStyle name="20% - Accent4 12" xfId="33507" hidden="1"/>
    <cellStyle name="20% - Accent4 12" xfId="33582" hidden="1"/>
    <cellStyle name="20% - Accent4 13" xfId="748" hidden="1"/>
    <cellStyle name="20% - Accent4 13" xfId="954" hidden="1"/>
    <cellStyle name="20% - Accent4 13" xfId="3521" hidden="1"/>
    <cellStyle name="20% - Accent4 13" xfId="4036" hidden="1"/>
    <cellStyle name="20% - Accent4 13" xfId="5355" hidden="1"/>
    <cellStyle name="20% - Accent4 13" xfId="6052" hidden="1"/>
    <cellStyle name="20% - Accent4 13" xfId="7068" hidden="1"/>
    <cellStyle name="20% - Accent4 13" xfId="8271" hidden="1"/>
    <cellStyle name="20% - Accent4 13" xfId="10130" hidden="1"/>
    <cellStyle name="20% - Accent4 13" xfId="10245" hidden="1"/>
    <cellStyle name="20% - Accent4 13" xfId="10968" hidden="1"/>
    <cellStyle name="20% - Accent4 13" xfId="11141" hidden="1"/>
    <cellStyle name="20% - Accent4 13" xfId="11534" hidden="1"/>
    <cellStyle name="20% - Accent4 13" xfId="11682" hidden="1"/>
    <cellStyle name="20% - Accent4 13" xfId="12020" hidden="1"/>
    <cellStyle name="20% - Accent4 13" xfId="12357" hidden="1"/>
    <cellStyle name="20% - Accent4 13" xfId="12922" hidden="1"/>
    <cellStyle name="20% - Accent4 13" xfId="13037" hidden="1"/>
    <cellStyle name="20% - Accent4 13" xfId="13760" hidden="1"/>
    <cellStyle name="20% - Accent4 13" xfId="13933" hidden="1"/>
    <cellStyle name="20% - Accent4 13" xfId="14326" hidden="1"/>
    <cellStyle name="20% - Accent4 13" xfId="14474" hidden="1"/>
    <cellStyle name="20% - Accent4 13" xfId="14812" hidden="1"/>
    <cellStyle name="20% - Accent4 13" xfId="15149" hidden="1"/>
    <cellStyle name="20% - Accent4 13" xfId="9199" hidden="1"/>
    <cellStyle name="20% - Accent4 13" xfId="8655" hidden="1"/>
    <cellStyle name="20% - Accent4 13" xfId="6026" hidden="1"/>
    <cellStyle name="20% - Accent4 13" xfId="5234" hidden="1"/>
    <cellStyle name="20% - Accent4 13" xfId="3953" hidden="1"/>
    <cellStyle name="20% - Accent4 13" xfId="3275" hidden="1"/>
    <cellStyle name="20% - Accent4 13" xfId="1840" hidden="1"/>
    <cellStyle name="20% - Accent4 13" xfId="468" hidden="1"/>
    <cellStyle name="20% - Accent4 13" xfId="16471" hidden="1"/>
    <cellStyle name="20% - Accent4 13" xfId="16586" hidden="1"/>
    <cellStyle name="20% - Accent4 13" xfId="17309" hidden="1"/>
    <cellStyle name="20% - Accent4 13" xfId="17482" hidden="1"/>
    <cellStyle name="20% - Accent4 13" xfId="17875" hidden="1"/>
    <cellStyle name="20% - Accent4 13" xfId="18023" hidden="1"/>
    <cellStyle name="20% - Accent4 13" xfId="18361" hidden="1"/>
    <cellStyle name="20% - Accent4 13" xfId="18698" hidden="1"/>
    <cellStyle name="20% - Accent4 13" xfId="19263" hidden="1"/>
    <cellStyle name="20% - Accent4 13" xfId="19378" hidden="1"/>
    <cellStyle name="20% - Accent4 13" xfId="20101" hidden="1"/>
    <cellStyle name="20% - Accent4 13" xfId="20274" hidden="1"/>
    <cellStyle name="20% - Accent4 13" xfId="20667" hidden="1"/>
    <cellStyle name="20% - Accent4 13" xfId="20815" hidden="1"/>
    <cellStyle name="20% - Accent4 13" xfId="21153" hidden="1"/>
    <cellStyle name="20% - Accent4 13" xfId="21490" hidden="1"/>
    <cellStyle name="20% - Accent4 13" xfId="15707" hidden="1"/>
    <cellStyle name="20% - Accent4 13" xfId="9751" hidden="1"/>
    <cellStyle name="20% - Accent4 13" xfId="6611" hidden="1"/>
    <cellStyle name="20% - Accent4 13" xfId="5768" hidden="1"/>
    <cellStyle name="20% - Accent4 13" xfId="4220" hidden="1"/>
    <cellStyle name="20% - Accent4 13" xfId="3501" hidden="1"/>
    <cellStyle name="20% - Accent4 13" xfId="2013" hidden="1"/>
    <cellStyle name="20% - Accent4 13" xfId="573" hidden="1"/>
    <cellStyle name="20% - Accent4 13" xfId="22622" hidden="1"/>
    <cellStyle name="20% - Accent4 13" xfId="22737" hidden="1"/>
    <cellStyle name="20% - Accent4 13" xfId="23460" hidden="1"/>
    <cellStyle name="20% - Accent4 13" xfId="23633" hidden="1"/>
    <cellStyle name="20% - Accent4 13" xfId="24026" hidden="1"/>
    <cellStyle name="20% - Accent4 13" xfId="24174" hidden="1"/>
    <cellStyle name="20% - Accent4 13" xfId="24512" hidden="1"/>
    <cellStyle name="20% - Accent4 13" xfId="24849" hidden="1"/>
    <cellStyle name="20% - Accent4 13" xfId="25414" hidden="1"/>
    <cellStyle name="20% - Accent4 13" xfId="25529" hidden="1"/>
    <cellStyle name="20% - Accent4 13" xfId="26252" hidden="1"/>
    <cellStyle name="20% - Accent4 13" xfId="26425" hidden="1"/>
    <cellStyle name="20% - Accent4 13" xfId="26818" hidden="1"/>
    <cellStyle name="20% - Accent4 13" xfId="26966" hidden="1"/>
    <cellStyle name="20% - Accent4 13" xfId="27304" hidden="1"/>
    <cellStyle name="20% - Accent4 13" xfId="27641" hidden="1"/>
    <cellStyle name="20% - Accent4 13" xfId="21963" hidden="1"/>
    <cellStyle name="20% - Accent4 13" xfId="16131" hidden="1"/>
    <cellStyle name="20% - Accent4 13" xfId="7313" hidden="1"/>
    <cellStyle name="20% - Accent4 13" xfId="6277" hidden="1"/>
    <cellStyle name="20% - Accent4 13" xfId="4532" hidden="1"/>
    <cellStyle name="20% - Accent4 13" xfId="3757" hidden="1"/>
    <cellStyle name="20% - Accent4 13" xfId="2194" hidden="1"/>
    <cellStyle name="20% - Accent4 13" xfId="710" hidden="1"/>
    <cellStyle name="20% - Accent4 13" xfId="28341" hidden="1"/>
    <cellStyle name="20% - Accent4 13" xfId="28456" hidden="1"/>
    <cellStyle name="20% - Accent4 13" xfId="29179" hidden="1"/>
    <cellStyle name="20% - Accent4 13" xfId="29352" hidden="1"/>
    <cellStyle name="20% - Accent4 13" xfId="29745" hidden="1"/>
    <cellStyle name="20% - Accent4 13" xfId="29893" hidden="1"/>
    <cellStyle name="20% - Accent4 13" xfId="30231" hidden="1"/>
    <cellStyle name="20% - Accent4 13" xfId="30568" hidden="1"/>
    <cellStyle name="20% - Accent4 13" xfId="31133" hidden="1"/>
    <cellStyle name="20% - Accent4 13" xfId="31248" hidden="1"/>
    <cellStyle name="20% - Accent4 13" xfId="31971" hidden="1"/>
    <cellStyle name="20% - Accent4 13" xfId="32144" hidden="1"/>
    <cellStyle name="20% - Accent4 13" xfId="32537" hidden="1"/>
    <cellStyle name="20% - Accent4 13" xfId="32685" hidden="1"/>
    <cellStyle name="20% - Accent4 13" xfId="33023" hidden="1"/>
    <cellStyle name="20% - Accent4 13" xfId="33360" hidden="1"/>
    <cellStyle name="20% - Accent4 3 2 3 2" xfId="825" hidden="1"/>
    <cellStyle name="20% - Accent4 3 2 3 2" xfId="1033" hidden="1"/>
    <cellStyle name="20% - Accent4 3 2 3 2" xfId="3597" hidden="1"/>
    <cellStyle name="20% - Accent4 3 2 3 2" xfId="4112" hidden="1"/>
    <cellStyle name="20% - Accent4 3 2 3 2" xfId="5431" hidden="1"/>
    <cellStyle name="20% - Accent4 3 2 3 2" xfId="6128" hidden="1"/>
    <cellStyle name="20% - Accent4 3 2 3 2" xfId="7145" hidden="1"/>
    <cellStyle name="20% - Accent4 3 2 3 2" xfId="8349" hidden="1"/>
    <cellStyle name="20% - Accent4 3 2 3 2" xfId="10206" hidden="1"/>
    <cellStyle name="20% - Accent4 3 2 3 2" xfId="10321" hidden="1"/>
    <cellStyle name="20% - Accent4 3 2 3 2" xfId="11044" hidden="1"/>
    <cellStyle name="20% - Accent4 3 2 3 2" xfId="11217" hidden="1"/>
    <cellStyle name="20% - Accent4 3 2 3 2" xfId="11610" hidden="1"/>
    <cellStyle name="20% - Accent4 3 2 3 2" xfId="11758" hidden="1"/>
    <cellStyle name="20% - Accent4 3 2 3 2" xfId="12096" hidden="1"/>
    <cellStyle name="20% - Accent4 3 2 3 2" xfId="12433" hidden="1"/>
    <cellStyle name="20% - Accent4 3 2 3 2" xfId="12998" hidden="1"/>
    <cellStyle name="20% - Accent4 3 2 3 2" xfId="13113" hidden="1"/>
    <cellStyle name="20% - Accent4 3 2 3 2" xfId="13836" hidden="1"/>
    <cellStyle name="20% - Accent4 3 2 3 2" xfId="14009" hidden="1"/>
    <cellStyle name="20% - Accent4 3 2 3 2" xfId="14402" hidden="1"/>
    <cellStyle name="20% - Accent4 3 2 3 2" xfId="14550" hidden="1"/>
    <cellStyle name="20% - Accent4 3 2 3 2" xfId="14888" hidden="1"/>
    <cellStyle name="20% - Accent4 3 2 3 2" xfId="15225" hidden="1"/>
    <cellStyle name="20% - Accent4 3 2 3 2" xfId="9121" hidden="1"/>
    <cellStyle name="20% - Accent4 3 2 3 2" xfId="8577" hidden="1"/>
    <cellStyle name="20% - Accent4 3 2 3 2" xfId="5949" hidden="1"/>
    <cellStyle name="20% - Accent4 3 2 3 2" xfId="5158" hidden="1"/>
    <cellStyle name="20% - Accent4 3 2 3 2" xfId="3873" hidden="1"/>
    <cellStyle name="20% - Accent4 3 2 3 2" xfId="3194" hidden="1"/>
    <cellStyle name="20% - Accent4 3 2 3 2" xfId="1752" hidden="1"/>
    <cellStyle name="20% - Accent4 3 2 3 2" xfId="345" hidden="1"/>
    <cellStyle name="20% - Accent4 3 2 3 2" xfId="16547" hidden="1"/>
    <cellStyle name="20% - Accent4 3 2 3 2" xfId="16662" hidden="1"/>
    <cellStyle name="20% - Accent4 3 2 3 2" xfId="17385" hidden="1"/>
    <cellStyle name="20% - Accent4 3 2 3 2" xfId="17558" hidden="1"/>
    <cellStyle name="20% - Accent4 3 2 3 2" xfId="17951" hidden="1"/>
    <cellStyle name="20% - Accent4 3 2 3 2" xfId="18099" hidden="1"/>
    <cellStyle name="20% - Accent4 3 2 3 2" xfId="18437" hidden="1"/>
    <cellStyle name="20% - Accent4 3 2 3 2" xfId="18774" hidden="1"/>
    <cellStyle name="20% - Accent4 3 2 3 2" xfId="19339" hidden="1"/>
    <cellStyle name="20% - Accent4 3 2 3 2" xfId="19454" hidden="1"/>
    <cellStyle name="20% - Accent4 3 2 3 2" xfId="20177" hidden="1"/>
    <cellStyle name="20% - Accent4 3 2 3 2" xfId="20350" hidden="1"/>
    <cellStyle name="20% - Accent4 3 2 3 2" xfId="20743" hidden="1"/>
    <cellStyle name="20% - Accent4 3 2 3 2" xfId="20891" hidden="1"/>
    <cellStyle name="20% - Accent4 3 2 3 2" xfId="21229" hidden="1"/>
    <cellStyle name="20% - Accent4 3 2 3 2" xfId="21566" hidden="1"/>
    <cellStyle name="20% - Accent4 3 2 3 2" xfId="15629" hidden="1"/>
    <cellStyle name="20% - Accent4 3 2 3 2" xfId="9674" hidden="1"/>
    <cellStyle name="20% - Accent4 3 2 3 2" xfId="6520" hidden="1"/>
    <cellStyle name="20% - Accent4 3 2 3 2" xfId="5672" hidden="1"/>
    <cellStyle name="20% - Accent4 3 2 3 2" xfId="4143" hidden="1"/>
    <cellStyle name="20% - Accent4 3 2 3 2" xfId="3422" hidden="1"/>
    <cellStyle name="20% - Accent4 3 2 3 2" xfId="1925" hidden="1"/>
    <cellStyle name="20% - Accent4 3 2 3 2" xfId="486" hidden="1"/>
    <cellStyle name="20% - Accent4 3 2 3 2" xfId="22698" hidden="1"/>
    <cellStyle name="20% - Accent4 3 2 3 2" xfId="22813" hidden="1"/>
    <cellStyle name="20% - Accent4 3 2 3 2" xfId="23536" hidden="1"/>
    <cellStyle name="20% - Accent4 3 2 3 2" xfId="23709" hidden="1"/>
    <cellStyle name="20% - Accent4 3 2 3 2" xfId="24102" hidden="1"/>
    <cellStyle name="20% - Accent4 3 2 3 2" xfId="24250" hidden="1"/>
    <cellStyle name="20% - Accent4 3 2 3 2" xfId="24588" hidden="1"/>
    <cellStyle name="20% - Accent4 3 2 3 2" xfId="24925" hidden="1"/>
    <cellStyle name="20% - Accent4 3 2 3 2" xfId="25490" hidden="1"/>
    <cellStyle name="20% - Accent4 3 2 3 2" xfId="25605" hidden="1"/>
    <cellStyle name="20% - Accent4 3 2 3 2" xfId="26328" hidden="1"/>
    <cellStyle name="20% - Accent4 3 2 3 2" xfId="26501" hidden="1"/>
    <cellStyle name="20% - Accent4 3 2 3 2" xfId="26894" hidden="1"/>
    <cellStyle name="20% - Accent4 3 2 3 2" xfId="27042" hidden="1"/>
    <cellStyle name="20% - Accent4 3 2 3 2" xfId="27380" hidden="1"/>
    <cellStyle name="20% - Accent4 3 2 3 2" xfId="27717" hidden="1"/>
    <cellStyle name="20% - Accent4 3 2 3 2" xfId="21885" hidden="1"/>
    <cellStyle name="20% - Accent4 3 2 3 2" xfId="16055" hidden="1"/>
    <cellStyle name="20% - Accent4 3 2 3 2" xfId="7225" hidden="1"/>
    <cellStyle name="20% - Accent4 3 2 3 2" xfId="6180" hidden="1"/>
    <cellStyle name="20% - Accent4 3 2 3 2" xfId="4368" hidden="1"/>
    <cellStyle name="20% - Accent4 3 2 3 2" xfId="3678" hidden="1"/>
    <cellStyle name="20% - Accent4 3 2 3 2" xfId="2111" hidden="1"/>
    <cellStyle name="20% - Accent4 3 2 3 2" xfId="599" hidden="1"/>
    <cellStyle name="20% - Accent4 3 2 3 2" xfId="28417" hidden="1"/>
    <cellStyle name="20% - Accent4 3 2 3 2" xfId="28532" hidden="1"/>
    <cellStyle name="20% - Accent4 3 2 3 2" xfId="29255" hidden="1"/>
    <cellStyle name="20% - Accent4 3 2 3 2" xfId="29428" hidden="1"/>
    <cellStyle name="20% - Accent4 3 2 3 2" xfId="29821" hidden="1"/>
    <cellStyle name="20% - Accent4 3 2 3 2" xfId="29969" hidden="1"/>
    <cellStyle name="20% - Accent4 3 2 3 2" xfId="30307" hidden="1"/>
    <cellStyle name="20% - Accent4 3 2 3 2" xfId="30644" hidden="1"/>
    <cellStyle name="20% - Accent4 3 2 3 2" xfId="31209" hidden="1"/>
    <cellStyle name="20% - Accent4 3 2 3 2" xfId="31324" hidden="1"/>
    <cellStyle name="20% - Accent4 3 2 3 2" xfId="32047" hidden="1"/>
    <cellStyle name="20% - Accent4 3 2 3 2" xfId="32220" hidden="1"/>
    <cellStyle name="20% - Accent4 3 2 3 2" xfId="32613" hidden="1"/>
    <cellStyle name="20% - Accent4 3 2 3 2" xfId="32761" hidden="1"/>
    <cellStyle name="20% - Accent4 3 2 3 2" xfId="33099" hidden="1"/>
    <cellStyle name="20% - Accent4 3 2 3 2" xfId="33436" hidden="1"/>
    <cellStyle name="20% - Accent4 3 2 4 2" xfId="782" hidden="1"/>
    <cellStyle name="20% - Accent4 3 2 4 2" xfId="990" hidden="1"/>
    <cellStyle name="20% - Accent4 3 2 4 2" xfId="3554" hidden="1"/>
    <cellStyle name="20% - Accent4 3 2 4 2" xfId="4069" hidden="1"/>
    <cellStyle name="20% - Accent4 3 2 4 2" xfId="5388" hidden="1"/>
    <cellStyle name="20% - Accent4 3 2 4 2" xfId="6085" hidden="1"/>
    <cellStyle name="20% - Accent4 3 2 4 2" xfId="7102" hidden="1"/>
    <cellStyle name="20% - Accent4 3 2 4 2" xfId="8306" hidden="1"/>
    <cellStyle name="20% - Accent4 3 2 4 2" xfId="10163" hidden="1"/>
    <cellStyle name="20% - Accent4 3 2 4 2" xfId="10278" hidden="1"/>
    <cellStyle name="20% - Accent4 3 2 4 2" xfId="11001" hidden="1"/>
    <cellStyle name="20% - Accent4 3 2 4 2" xfId="11174" hidden="1"/>
    <cellStyle name="20% - Accent4 3 2 4 2" xfId="11567" hidden="1"/>
    <cellStyle name="20% - Accent4 3 2 4 2" xfId="11715" hidden="1"/>
    <cellStyle name="20% - Accent4 3 2 4 2" xfId="12053" hidden="1"/>
    <cellStyle name="20% - Accent4 3 2 4 2" xfId="12390" hidden="1"/>
    <cellStyle name="20% - Accent4 3 2 4 2" xfId="12955" hidden="1"/>
    <cellStyle name="20% - Accent4 3 2 4 2" xfId="13070" hidden="1"/>
    <cellStyle name="20% - Accent4 3 2 4 2" xfId="13793" hidden="1"/>
    <cellStyle name="20% - Accent4 3 2 4 2" xfId="13966" hidden="1"/>
    <cellStyle name="20% - Accent4 3 2 4 2" xfId="14359" hidden="1"/>
    <cellStyle name="20% - Accent4 3 2 4 2" xfId="14507" hidden="1"/>
    <cellStyle name="20% - Accent4 3 2 4 2" xfId="14845" hidden="1"/>
    <cellStyle name="20% - Accent4 3 2 4 2" xfId="15182" hidden="1"/>
    <cellStyle name="20% - Accent4 3 2 4 2" xfId="9165" hidden="1"/>
    <cellStyle name="20% - Accent4 3 2 4 2" xfId="8620" hidden="1"/>
    <cellStyle name="20% - Accent4 3 2 4 2" xfId="5992" hidden="1"/>
    <cellStyle name="20% - Accent4 3 2 4 2" xfId="5201" hidden="1"/>
    <cellStyle name="20% - Accent4 3 2 4 2" xfId="3918" hidden="1"/>
    <cellStyle name="20% - Accent4 3 2 4 2" xfId="3238" hidden="1"/>
    <cellStyle name="20% - Accent4 3 2 4 2" xfId="1800" hidden="1"/>
    <cellStyle name="20% - Accent4 3 2 4 2" xfId="414" hidden="1"/>
    <cellStyle name="20% - Accent4 3 2 4 2" xfId="16504" hidden="1"/>
    <cellStyle name="20% - Accent4 3 2 4 2" xfId="16619" hidden="1"/>
    <cellStyle name="20% - Accent4 3 2 4 2" xfId="17342" hidden="1"/>
    <cellStyle name="20% - Accent4 3 2 4 2" xfId="17515" hidden="1"/>
    <cellStyle name="20% - Accent4 3 2 4 2" xfId="17908" hidden="1"/>
    <cellStyle name="20% - Accent4 3 2 4 2" xfId="18056" hidden="1"/>
    <cellStyle name="20% - Accent4 3 2 4 2" xfId="18394" hidden="1"/>
    <cellStyle name="20% - Accent4 3 2 4 2" xfId="18731" hidden="1"/>
    <cellStyle name="20% - Accent4 3 2 4 2" xfId="19296" hidden="1"/>
    <cellStyle name="20% - Accent4 3 2 4 2" xfId="19411" hidden="1"/>
    <cellStyle name="20% - Accent4 3 2 4 2" xfId="20134" hidden="1"/>
    <cellStyle name="20% - Accent4 3 2 4 2" xfId="20307" hidden="1"/>
    <cellStyle name="20% - Accent4 3 2 4 2" xfId="20700" hidden="1"/>
    <cellStyle name="20% - Accent4 3 2 4 2" xfId="20848" hidden="1"/>
    <cellStyle name="20% - Accent4 3 2 4 2" xfId="21186" hidden="1"/>
    <cellStyle name="20% - Accent4 3 2 4 2" xfId="21523" hidden="1"/>
    <cellStyle name="20% - Accent4 3 2 4 2" xfId="15673" hidden="1"/>
    <cellStyle name="20% - Accent4 3 2 4 2" xfId="9717" hidden="1"/>
    <cellStyle name="20% - Accent4 3 2 4 2" xfId="6573" hidden="1"/>
    <cellStyle name="20% - Accent4 3 2 4 2" xfId="5725" hidden="1"/>
    <cellStyle name="20% - Accent4 3 2 4 2" xfId="4187" hidden="1"/>
    <cellStyle name="20% - Accent4 3 2 4 2" xfId="3468" hidden="1"/>
    <cellStyle name="20% - Accent4 3 2 4 2" xfId="1977" hidden="1"/>
    <cellStyle name="20% - Accent4 3 2 4 2" xfId="535" hidden="1"/>
    <cellStyle name="20% - Accent4 3 2 4 2" xfId="22655" hidden="1"/>
    <cellStyle name="20% - Accent4 3 2 4 2" xfId="22770" hidden="1"/>
    <cellStyle name="20% - Accent4 3 2 4 2" xfId="23493" hidden="1"/>
    <cellStyle name="20% - Accent4 3 2 4 2" xfId="23666" hidden="1"/>
    <cellStyle name="20% - Accent4 3 2 4 2" xfId="24059" hidden="1"/>
    <cellStyle name="20% - Accent4 3 2 4 2" xfId="24207" hidden="1"/>
    <cellStyle name="20% - Accent4 3 2 4 2" xfId="24545" hidden="1"/>
    <cellStyle name="20% - Accent4 3 2 4 2" xfId="24882" hidden="1"/>
    <cellStyle name="20% - Accent4 3 2 4 2" xfId="25447" hidden="1"/>
    <cellStyle name="20% - Accent4 3 2 4 2" xfId="25562" hidden="1"/>
    <cellStyle name="20% - Accent4 3 2 4 2" xfId="26285" hidden="1"/>
    <cellStyle name="20% - Accent4 3 2 4 2" xfId="26458" hidden="1"/>
    <cellStyle name="20% - Accent4 3 2 4 2" xfId="26851" hidden="1"/>
    <cellStyle name="20% - Accent4 3 2 4 2" xfId="26999" hidden="1"/>
    <cellStyle name="20% - Accent4 3 2 4 2" xfId="27337" hidden="1"/>
    <cellStyle name="20% - Accent4 3 2 4 2" xfId="27674" hidden="1"/>
    <cellStyle name="20% - Accent4 3 2 4 2" xfId="21929" hidden="1"/>
    <cellStyle name="20% - Accent4 3 2 4 2" xfId="16098" hidden="1"/>
    <cellStyle name="20% - Accent4 3 2 4 2" xfId="7276" hidden="1"/>
    <cellStyle name="20% - Accent4 3 2 4 2" xfId="6237" hidden="1"/>
    <cellStyle name="20% - Accent4 3 2 4 2" xfId="4472" hidden="1"/>
    <cellStyle name="20% - Accent4 3 2 4 2" xfId="3724" hidden="1"/>
    <cellStyle name="20% - Accent4 3 2 4 2" xfId="2158" hidden="1"/>
    <cellStyle name="20% - Accent4 3 2 4 2" xfId="656" hidden="1"/>
    <cellStyle name="20% - Accent4 3 2 4 2" xfId="28374" hidden="1"/>
    <cellStyle name="20% - Accent4 3 2 4 2" xfId="28489" hidden="1"/>
    <cellStyle name="20% - Accent4 3 2 4 2" xfId="29212" hidden="1"/>
    <cellStyle name="20% - Accent4 3 2 4 2" xfId="29385" hidden="1"/>
    <cellStyle name="20% - Accent4 3 2 4 2" xfId="29778" hidden="1"/>
    <cellStyle name="20% - Accent4 3 2 4 2" xfId="29926" hidden="1"/>
    <cellStyle name="20% - Accent4 3 2 4 2" xfId="30264" hidden="1"/>
    <cellStyle name="20% - Accent4 3 2 4 2" xfId="30601" hidden="1"/>
    <cellStyle name="20% - Accent4 3 2 4 2" xfId="31166" hidden="1"/>
    <cellStyle name="20% - Accent4 3 2 4 2" xfId="31281" hidden="1"/>
    <cellStyle name="20% - Accent4 3 2 4 2" xfId="32004" hidden="1"/>
    <cellStyle name="20% - Accent4 3 2 4 2" xfId="32177" hidden="1"/>
    <cellStyle name="20% - Accent4 3 2 4 2" xfId="32570" hidden="1"/>
    <cellStyle name="20% - Accent4 3 2 4 2" xfId="32718" hidden="1"/>
    <cellStyle name="20% - Accent4 3 2 4 2" xfId="33056" hidden="1"/>
    <cellStyle name="20% - Accent4 3 2 4 2" xfId="33393" hidden="1"/>
    <cellStyle name="20% - Accent4 3 3 3 2" xfId="781" hidden="1"/>
    <cellStyle name="20% - Accent4 3 3 3 2" xfId="989" hidden="1"/>
    <cellStyle name="20% - Accent4 3 3 3 2" xfId="3553" hidden="1"/>
    <cellStyle name="20% - Accent4 3 3 3 2" xfId="4068" hidden="1"/>
    <cellStyle name="20% - Accent4 3 3 3 2" xfId="5387" hidden="1"/>
    <cellStyle name="20% - Accent4 3 3 3 2" xfId="6084" hidden="1"/>
    <cellStyle name="20% - Accent4 3 3 3 2" xfId="7101" hidden="1"/>
    <cellStyle name="20% - Accent4 3 3 3 2" xfId="8305" hidden="1"/>
    <cellStyle name="20% - Accent4 3 3 3 2" xfId="10162" hidden="1"/>
    <cellStyle name="20% - Accent4 3 3 3 2" xfId="10277" hidden="1"/>
    <cellStyle name="20% - Accent4 3 3 3 2" xfId="11000" hidden="1"/>
    <cellStyle name="20% - Accent4 3 3 3 2" xfId="11173" hidden="1"/>
    <cellStyle name="20% - Accent4 3 3 3 2" xfId="11566" hidden="1"/>
    <cellStyle name="20% - Accent4 3 3 3 2" xfId="11714" hidden="1"/>
    <cellStyle name="20% - Accent4 3 3 3 2" xfId="12052" hidden="1"/>
    <cellStyle name="20% - Accent4 3 3 3 2" xfId="12389" hidden="1"/>
    <cellStyle name="20% - Accent4 3 3 3 2" xfId="12954" hidden="1"/>
    <cellStyle name="20% - Accent4 3 3 3 2" xfId="13069" hidden="1"/>
    <cellStyle name="20% - Accent4 3 3 3 2" xfId="13792" hidden="1"/>
    <cellStyle name="20% - Accent4 3 3 3 2" xfId="13965" hidden="1"/>
    <cellStyle name="20% - Accent4 3 3 3 2" xfId="14358" hidden="1"/>
    <cellStyle name="20% - Accent4 3 3 3 2" xfId="14506" hidden="1"/>
    <cellStyle name="20% - Accent4 3 3 3 2" xfId="14844" hidden="1"/>
    <cellStyle name="20% - Accent4 3 3 3 2" xfId="15181" hidden="1"/>
    <cellStyle name="20% - Accent4 3 3 3 2" xfId="9166" hidden="1"/>
    <cellStyle name="20% - Accent4 3 3 3 2" xfId="8621" hidden="1"/>
    <cellStyle name="20% - Accent4 3 3 3 2" xfId="5993" hidden="1"/>
    <cellStyle name="20% - Accent4 3 3 3 2" xfId="5202" hidden="1"/>
    <cellStyle name="20% - Accent4 3 3 3 2" xfId="3919" hidden="1"/>
    <cellStyle name="20% - Accent4 3 3 3 2" xfId="3239" hidden="1"/>
    <cellStyle name="20% - Accent4 3 3 3 2" xfId="1801" hidden="1"/>
    <cellStyle name="20% - Accent4 3 3 3 2" xfId="415" hidden="1"/>
    <cellStyle name="20% - Accent4 3 3 3 2" xfId="16503" hidden="1"/>
    <cellStyle name="20% - Accent4 3 3 3 2" xfId="16618" hidden="1"/>
    <cellStyle name="20% - Accent4 3 3 3 2" xfId="17341" hidden="1"/>
    <cellStyle name="20% - Accent4 3 3 3 2" xfId="17514" hidden="1"/>
    <cellStyle name="20% - Accent4 3 3 3 2" xfId="17907" hidden="1"/>
    <cellStyle name="20% - Accent4 3 3 3 2" xfId="18055" hidden="1"/>
    <cellStyle name="20% - Accent4 3 3 3 2" xfId="18393" hidden="1"/>
    <cellStyle name="20% - Accent4 3 3 3 2" xfId="18730" hidden="1"/>
    <cellStyle name="20% - Accent4 3 3 3 2" xfId="19295" hidden="1"/>
    <cellStyle name="20% - Accent4 3 3 3 2" xfId="19410" hidden="1"/>
    <cellStyle name="20% - Accent4 3 3 3 2" xfId="20133" hidden="1"/>
    <cellStyle name="20% - Accent4 3 3 3 2" xfId="20306" hidden="1"/>
    <cellStyle name="20% - Accent4 3 3 3 2" xfId="20699" hidden="1"/>
    <cellStyle name="20% - Accent4 3 3 3 2" xfId="20847" hidden="1"/>
    <cellStyle name="20% - Accent4 3 3 3 2" xfId="21185" hidden="1"/>
    <cellStyle name="20% - Accent4 3 3 3 2" xfId="21522" hidden="1"/>
    <cellStyle name="20% - Accent4 3 3 3 2" xfId="15674" hidden="1"/>
    <cellStyle name="20% - Accent4 3 3 3 2" xfId="9718" hidden="1"/>
    <cellStyle name="20% - Accent4 3 3 3 2" xfId="6574" hidden="1"/>
    <cellStyle name="20% - Accent4 3 3 3 2" xfId="5726" hidden="1"/>
    <cellStyle name="20% - Accent4 3 3 3 2" xfId="4188" hidden="1"/>
    <cellStyle name="20% - Accent4 3 3 3 2" xfId="3469" hidden="1"/>
    <cellStyle name="20% - Accent4 3 3 3 2" xfId="1978" hidden="1"/>
    <cellStyle name="20% - Accent4 3 3 3 2" xfId="536" hidden="1"/>
    <cellStyle name="20% - Accent4 3 3 3 2" xfId="22654" hidden="1"/>
    <cellStyle name="20% - Accent4 3 3 3 2" xfId="22769" hidden="1"/>
    <cellStyle name="20% - Accent4 3 3 3 2" xfId="23492" hidden="1"/>
    <cellStyle name="20% - Accent4 3 3 3 2" xfId="23665" hidden="1"/>
    <cellStyle name="20% - Accent4 3 3 3 2" xfId="24058" hidden="1"/>
    <cellStyle name="20% - Accent4 3 3 3 2" xfId="24206" hidden="1"/>
    <cellStyle name="20% - Accent4 3 3 3 2" xfId="24544" hidden="1"/>
    <cellStyle name="20% - Accent4 3 3 3 2" xfId="24881" hidden="1"/>
    <cellStyle name="20% - Accent4 3 3 3 2" xfId="25446" hidden="1"/>
    <cellStyle name="20% - Accent4 3 3 3 2" xfId="25561" hidden="1"/>
    <cellStyle name="20% - Accent4 3 3 3 2" xfId="26284" hidden="1"/>
    <cellStyle name="20% - Accent4 3 3 3 2" xfId="26457" hidden="1"/>
    <cellStyle name="20% - Accent4 3 3 3 2" xfId="26850" hidden="1"/>
    <cellStyle name="20% - Accent4 3 3 3 2" xfId="26998" hidden="1"/>
    <cellStyle name="20% - Accent4 3 3 3 2" xfId="27336" hidden="1"/>
    <cellStyle name="20% - Accent4 3 3 3 2" xfId="27673" hidden="1"/>
    <cellStyle name="20% - Accent4 3 3 3 2" xfId="21930" hidden="1"/>
    <cellStyle name="20% - Accent4 3 3 3 2" xfId="16099" hidden="1"/>
    <cellStyle name="20% - Accent4 3 3 3 2" xfId="7277" hidden="1"/>
    <cellStyle name="20% - Accent4 3 3 3 2" xfId="6239" hidden="1"/>
    <cellStyle name="20% - Accent4 3 3 3 2" xfId="4476" hidden="1"/>
    <cellStyle name="20% - Accent4 3 3 3 2" xfId="3725" hidden="1"/>
    <cellStyle name="20% - Accent4 3 3 3 2" xfId="2159" hidden="1"/>
    <cellStyle name="20% - Accent4 3 3 3 2" xfId="660" hidden="1"/>
    <cellStyle name="20% - Accent4 3 3 3 2" xfId="28373" hidden="1"/>
    <cellStyle name="20% - Accent4 3 3 3 2" xfId="28488" hidden="1"/>
    <cellStyle name="20% - Accent4 3 3 3 2" xfId="29211" hidden="1"/>
    <cellStyle name="20% - Accent4 3 3 3 2" xfId="29384" hidden="1"/>
    <cellStyle name="20% - Accent4 3 3 3 2" xfId="29777" hidden="1"/>
    <cellStyle name="20% - Accent4 3 3 3 2" xfId="29925" hidden="1"/>
    <cellStyle name="20% - Accent4 3 3 3 2" xfId="30263" hidden="1"/>
    <cellStyle name="20% - Accent4 3 3 3 2" xfId="30600" hidden="1"/>
    <cellStyle name="20% - Accent4 3 3 3 2" xfId="31165" hidden="1"/>
    <cellStyle name="20% - Accent4 3 3 3 2" xfId="31280" hidden="1"/>
    <cellStyle name="20% - Accent4 3 3 3 2" xfId="32003" hidden="1"/>
    <cellStyle name="20% - Accent4 3 3 3 2" xfId="32176" hidden="1"/>
    <cellStyle name="20% - Accent4 3 3 3 2" xfId="32569" hidden="1"/>
    <cellStyle name="20% - Accent4 3 3 3 2" xfId="32717" hidden="1"/>
    <cellStyle name="20% - Accent4 3 3 3 2" xfId="33055" hidden="1"/>
    <cellStyle name="20% - Accent4 3 3 3 2" xfId="33392" hidden="1"/>
    <cellStyle name="20% - Accent4 4 2 3 2" xfId="826" hidden="1"/>
    <cellStyle name="20% - Accent4 4 2 3 2" xfId="1034" hidden="1"/>
    <cellStyle name="20% - Accent4 4 2 3 2" xfId="3598" hidden="1"/>
    <cellStyle name="20% - Accent4 4 2 3 2" xfId="4113" hidden="1"/>
    <cellStyle name="20% - Accent4 4 2 3 2" xfId="5432" hidden="1"/>
    <cellStyle name="20% - Accent4 4 2 3 2" xfId="6129" hidden="1"/>
    <cellStyle name="20% - Accent4 4 2 3 2" xfId="7146" hidden="1"/>
    <cellStyle name="20% - Accent4 4 2 3 2" xfId="8350" hidden="1"/>
    <cellStyle name="20% - Accent4 4 2 3 2" xfId="10207" hidden="1"/>
    <cellStyle name="20% - Accent4 4 2 3 2" xfId="10322" hidden="1"/>
    <cellStyle name="20% - Accent4 4 2 3 2" xfId="11045" hidden="1"/>
    <cellStyle name="20% - Accent4 4 2 3 2" xfId="11218" hidden="1"/>
    <cellStyle name="20% - Accent4 4 2 3 2" xfId="11611" hidden="1"/>
    <cellStyle name="20% - Accent4 4 2 3 2" xfId="11759" hidden="1"/>
    <cellStyle name="20% - Accent4 4 2 3 2" xfId="12097" hidden="1"/>
    <cellStyle name="20% - Accent4 4 2 3 2" xfId="12434" hidden="1"/>
    <cellStyle name="20% - Accent4 4 2 3 2" xfId="12999" hidden="1"/>
    <cellStyle name="20% - Accent4 4 2 3 2" xfId="13114" hidden="1"/>
    <cellStyle name="20% - Accent4 4 2 3 2" xfId="13837" hidden="1"/>
    <cellStyle name="20% - Accent4 4 2 3 2" xfId="14010" hidden="1"/>
    <cellStyle name="20% - Accent4 4 2 3 2" xfId="14403" hidden="1"/>
    <cellStyle name="20% - Accent4 4 2 3 2" xfId="14551" hidden="1"/>
    <cellStyle name="20% - Accent4 4 2 3 2" xfId="14889" hidden="1"/>
    <cellStyle name="20% - Accent4 4 2 3 2" xfId="15226" hidden="1"/>
    <cellStyle name="20% - Accent4 4 2 3 2" xfId="9120" hidden="1"/>
    <cellStyle name="20% - Accent4 4 2 3 2" xfId="8576" hidden="1"/>
    <cellStyle name="20% - Accent4 4 2 3 2" xfId="5948" hidden="1"/>
    <cellStyle name="20% - Accent4 4 2 3 2" xfId="5157" hidden="1"/>
    <cellStyle name="20% - Accent4 4 2 3 2" xfId="3872" hidden="1"/>
    <cellStyle name="20% - Accent4 4 2 3 2" xfId="3193" hidden="1"/>
    <cellStyle name="20% - Accent4 4 2 3 2" xfId="1751" hidden="1"/>
    <cellStyle name="20% - Accent4 4 2 3 2" xfId="344" hidden="1"/>
    <cellStyle name="20% - Accent4 4 2 3 2" xfId="16548" hidden="1"/>
    <cellStyle name="20% - Accent4 4 2 3 2" xfId="16663" hidden="1"/>
    <cellStyle name="20% - Accent4 4 2 3 2" xfId="17386" hidden="1"/>
    <cellStyle name="20% - Accent4 4 2 3 2" xfId="17559" hidden="1"/>
    <cellStyle name="20% - Accent4 4 2 3 2" xfId="17952" hidden="1"/>
    <cellStyle name="20% - Accent4 4 2 3 2" xfId="18100" hidden="1"/>
    <cellStyle name="20% - Accent4 4 2 3 2" xfId="18438" hidden="1"/>
    <cellStyle name="20% - Accent4 4 2 3 2" xfId="18775" hidden="1"/>
    <cellStyle name="20% - Accent4 4 2 3 2" xfId="19340" hidden="1"/>
    <cellStyle name="20% - Accent4 4 2 3 2" xfId="19455" hidden="1"/>
    <cellStyle name="20% - Accent4 4 2 3 2" xfId="20178" hidden="1"/>
    <cellStyle name="20% - Accent4 4 2 3 2" xfId="20351" hidden="1"/>
    <cellStyle name="20% - Accent4 4 2 3 2" xfId="20744" hidden="1"/>
    <cellStyle name="20% - Accent4 4 2 3 2" xfId="20892" hidden="1"/>
    <cellStyle name="20% - Accent4 4 2 3 2" xfId="21230" hidden="1"/>
    <cellStyle name="20% - Accent4 4 2 3 2" xfId="21567" hidden="1"/>
    <cellStyle name="20% - Accent4 4 2 3 2" xfId="15628" hidden="1"/>
    <cellStyle name="20% - Accent4 4 2 3 2" xfId="9673" hidden="1"/>
    <cellStyle name="20% - Accent4 4 2 3 2" xfId="6519" hidden="1"/>
    <cellStyle name="20% - Accent4 4 2 3 2" xfId="5671" hidden="1"/>
    <cellStyle name="20% - Accent4 4 2 3 2" xfId="4142" hidden="1"/>
    <cellStyle name="20% - Accent4 4 2 3 2" xfId="3421" hidden="1"/>
    <cellStyle name="20% - Accent4 4 2 3 2" xfId="1924" hidden="1"/>
    <cellStyle name="20% - Accent4 4 2 3 2" xfId="485" hidden="1"/>
    <cellStyle name="20% - Accent4 4 2 3 2" xfId="22699" hidden="1"/>
    <cellStyle name="20% - Accent4 4 2 3 2" xfId="22814" hidden="1"/>
    <cellStyle name="20% - Accent4 4 2 3 2" xfId="23537" hidden="1"/>
    <cellStyle name="20% - Accent4 4 2 3 2" xfId="23710" hidden="1"/>
    <cellStyle name="20% - Accent4 4 2 3 2" xfId="24103" hidden="1"/>
    <cellStyle name="20% - Accent4 4 2 3 2" xfId="24251" hidden="1"/>
    <cellStyle name="20% - Accent4 4 2 3 2" xfId="24589" hidden="1"/>
    <cellStyle name="20% - Accent4 4 2 3 2" xfId="24926" hidden="1"/>
    <cellStyle name="20% - Accent4 4 2 3 2" xfId="25491" hidden="1"/>
    <cellStyle name="20% - Accent4 4 2 3 2" xfId="25606" hidden="1"/>
    <cellStyle name="20% - Accent4 4 2 3 2" xfId="26329" hidden="1"/>
    <cellStyle name="20% - Accent4 4 2 3 2" xfId="26502" hidden="1"/>
    <cellStyle name="20% - Accent4 4 2 3 2" xfId="26895" hidden="1"/>
    <cellStyle name="20% - Accent4 4 2 3 2" xfId="27043" hidden="1"/>
    <cellStyle name="20% - Accent4 4 2 3 2" xfId="27381" hidden="1"/>
    <cellStyle name="20% - Accent4 4 2 3 2" xfId="27718" hidden="1"/>
    <cellStyle name="20% - Accent4 4 2 3 2" xfId="21884" hidden="1"/>
    <cellStyle name="20% - Accent4 4 2 3 2" xfId="16054" hidden="1"/>
    <cellStyle name="20% - Accent4 4 2 3 2" xfId="7224" hidden="1"/>
    <cellStyle name="20% - Accent4 4 2 3 2" xfId="6179" hidden="1"/>
    <cellStyle name="20% - Accent4 4 2 3 2" xfId="4367" hidden="1"/>
    <cellStyle name="20% - Accent4 4 2 3 2" xfId="3677" hidden="1"/>
    <cellStyle name="20% - Accent4 4 2 3 2" xfId="2110" hidden="1"/>
    <cellStyle name="20% - Accent4 4 2 3 2" xfId="598" hidden="1"/>
    <cellStyle name="20% - Accent4 4 2 3 2" xfId="28418" hidden="1"/>
    <cellStyle name="20% - Accent4 4 2 3 2" xfId="28533" hidden="1"/>
    <cellStyle name="20% - Accent4 4 2 3 2" xfId="29256" hidden="1"/>
    <cellStyle name="20% - Accent4 4 2 3 2" xfId="29429" hidden="1"/>
    <cellStyle name="20% - Accent4 4 2 3 2" xfId="29822" hidden="1"/>
    <cellStyle name="20% - Accent4 4 2 3 2" xfId="29970" hidden="1"/>
    <cellStyle name="20% - Accent4 4 2 3 2" xfId="30308" hidden="1"/>
    <cellStyle name="20% - Accent4 4 2 3 2" xfId="30645" hidden="1"/>
    <cellStyle name="20% - Accent4 4 2 3 2" xfId="31210" hidden="1"/>
    <cellStyle name="20% - Accent4 4 2 3 2" xfId="31325" hidden="1"/>
    <cellStyle name="20% - Accent4 4 2 3 2" xfId="32048" hidden="1"/>
    <cellStyle name="20% - Accent4 4 2 3 2" xfId="32221" hidden="1"/>
    <cellStyle name="20% - Accent4 4 2 3 2" xfId="32614" hidden="1"/>
    <cellStyle name="20% - Accent4 4 2 3 2" xfId="32762" hidden="1"/>
    <cellStyle name="20% - Accent4 4 2 3 2" xfId="33100" hidden="1"/>
    <cellStyle name="20% - Accent4 4 2 3 2" xfId="33437" hidden="1"/>
    <cellStyle name="20% - Accent4 4 2 4 2" xfId="784" hidden="1"/>
    <cellStyle name="20% - Accent4 4 2 4 2" xfId="992" hidden="1"/>
    <cellStyle name="20% - Accent4 4 2 4 2" xfId="3556" hidden="1"/>
    <cellStyle name="20% - Accent4 4 2 4 2" xfId="4071" hidden="1"/>
    <cellStyle name="20% - Accent4 4 2 4 2" xfId="5390" hidden="1"/>
    <cellStyle name="20% - Accent4 4 2 4 2" xfId="6087" hidden="1"/>
    <cellStyle name="20% - Accent4 4 2 4 2" xfId="7104" hidden="1"/>
    <cellStyle name="20% - Accent4 4 2 4 2" xfId="8308" hidden="1"/>
    <cellStyle name="20% - Accent4 4 2 4 2" xfId="10165" hidden="1"/>
    <cellStyle name="20% - Accent4 4 2 4 2" xfId="10280" hidden="1"/>
    <cellStyle name="20% - Accent4 4 2 4 2" xfId="11003" hidden="1"/>
    <cellStyle name="20% - Accent4 4 2 4 2" xfId="11176" hidden="1"/>
    <cellStyle name="20% - Accent4 4 2 4 2" xfId="11569" hidden="1"/>
    <cellStyle name="20% - Accent4 4 2 4 2" xfId="11717" hidden="1"/>
    <cellStyle name="20% - Accent4 4 2 4 2" xfId="12055" hidden="1"/>
    <cellStyle name="20% - Accent4 4 2 4 2" xfId="12392" hidden="1"/>
    <cellStyle name="20% - Accent4 4 2 4 2" xfId="12957" hidden="1"/>
    <cellStyle name="20% - Accent4 4 2 4 2" xfId="13072" hidden="1"/>
    <cellStyle name="20% - Accent4 4 2 4 2" xfId="13795" hidden="1"/>
    <cellStyle name="20% - Accent4 4 2 4 2" xfId="13968" hidden="1"/>
    <cellStyle name="20% - Accent4 4 2 4 2" xfId="14361" hidden="1"/>
    <cellStyle name="20% - Accent4 4 2 4 2" xfId="14509" hidden="1"/>
    <cellStyle name="20% - Accent4 4 2 4 2" xfId="14847" hidden="1"/>
    <cellStyle name="20% - Accent4 4 2 4 2" xfId="15184" hidden="1"/>
    <cellStyle name="20% - Accent4 4 2 4 2" xfId="9163" hidden="1"/>
    <cellStyle name="20% - Accent4 4 2 4 2" xfId="8618" hidden="1"/>
    <cellStyle name="20% - Accent4 4 2 4 2" xfId="5990" hidden="1"/>
    <cellStyle name="20% - Accent4 4 2 4 2" xfId="5199" hidden="1"/>
    <cellStyle name="20% - Accent4 4 2 4 2" xfId="3916" hidden="1"/>
    <cellStyle name="20% - Accent4 4 2 4 2" xfId="3236" hidden="1"/>
    <cellStyle name="20% - Accent4 4 2 4 2" xfId="1798" hidden="1"/>
    <cellStyle name="20% - Accent4 4 2 4 2" xfId="410" hidden="1"/>
    <cellStyle name="20% - Accent4 4 2 4 2" xfId="16506" hidden="1"/>
    <cellStyle name="20% - Accent4 4 2 4 2" xfId="16621" hidden="1"/>
    <cellStyle name="20% - Accent4 4 2 4 2" xfId="17344" hidden="1"/>
    <cellStyle name="20% - Accent4 4 2 4 2" xfId="17517" hidden="1"/>
    <cellStyle name="20% - Accent4 4 2 4 2" xfId="17910" hidden="1"/>
    <cellStyle name="20% - Accent4 4 2 4 2" xfId="18058" hidden="1"/>
    <cellStyle name="20% - Accent4 4 2 4 2" xfId="18396" hidden="1"/>
    <cellStyle name="20% - Accent4 4 2 4 2" xfId="18733" hidden="1"/>
    <cellStyle name="20% - Accent4 4 2 4 2" xfId="19298" hidden="1"/>
    <cellStyle name="20% - Accent4 4 2 4 2" xfId="19413" hidden="1"/>
    <cellStyle name="20% - Accent4 4 2 4 2" xfId="20136" hidden="1"/>
    <cellStyle name="20% - Accent4 4 2 4 2" xfId="20309" hidden="1"/>
    <cellStyle name="20% - Accent4 4 2 4 2" xfId="20702" hidden="1"/>
    <cellStyle name="20% - Accent4 4 2 4 2" xfId="20850" hidden="1"/>
    <cellStyle name="20% - Accent4 4 2 4 2" xfId="21188" hidden="1"/>
    <cellStyle name="20% - Accent4 4 2 4 2" xfId="21525" hidden="1"/>
    <cellStyle name="20% - Accent4 4 2 4 2" xfId="15671" hidden="1"/>
    <cellStyle name="20% - Accent4 4 2 4 2" xfId="9715" hidden="1"/>
    <cellStyle name="20% - Accent4 4 2 4 2" xfId="6571" hidden="1"/>
    <cellStyle name="20% - Accent4 4 2 4 2" xfId="5722" hidden="1"/>
    <cellStyle name="20% - Accent4 4 2 4 2" xfId="4185" hidden="1"/>
    <cellStyle name="20% - Accent4 4 2 4 2" xfId="3466" hidden="1"/>
    <cellStyle name="20% - Accent4 4 2 4 2" xfId="1975" hidden="1"/>
    <cellStyle name="20% - Accent4 4 2 4 2" xfId="533" hidden="1"/>
    <cellStyle name="20% - Accent4 4 2 4 2" xfId="22657" hidden="1"/>
    <cellStyle name="20% - Accent4 4 2 4 2" xfId="22772" hidden="1"/>
    <cellStyle name="20% - Accent4 4 2 4 2" xfId="23495" hidden="1"/>
    <cellStyle name="20% - Accent4 4 2 4 2" xfId="23668" hidden="1"/>
    <cellStyle name="20% - Accent4 4 2 4 2" xfId="24061" hidden="1"/>
    <cellStyle name="20% - Accent4 4 2 4 2" xfId="24209" hidden="1"/>
    <cellStyle name="20% - Accent4 4 2 4 2" xfId="24547" hidden="1"/>
    <cellStyle name="20% - Accent4 4 2 4 2" xfId="24884" hidden="1"/>
    <cellStyle name="20% - Accent4 4 2 4 2" xfId="25449" hidden="1"/>
    <cellStyle name="20% - Accent4 4 2 4 2" xfId="25564" hidden="1"/>
    <cellStyle name="20% - Accent4 4 2 4 2" xfId="26287" hidden="1"/>
    <cellStyle name="20% - Accent4 4 2 4 2" xfId="26460" hidden="1"/>
    <cellStyle name="20% - Accent4 4 2 4 2" xfId="26853" hidden="1"/>
    <cellStyle name="20% - Accent4 4 2 4 2" xfId="27001" hidden="1"/>
    <cellStyle name="20% - Accent4 4 2 4 2" xfId="27339" hidden="1"/>
    <cellStyle name="20% - Accent4 4 2 4 2" xfId="27676" hidden="1"/>
    <cellStyle name="20% - Accent4 4 2 4 2" xfId="21927" hidden="1"/>
    <cellStyle name="20% - Accent4 4 2 4 2" xfId="16096" hidden="1"/>
    <cellStyle name="20% - Accent4 4 2 4 2" xfId="7274" hidden="1"/>
    <cellStyle name="20% - Accent4 4 2 4 2" xfId="6235" hidden="1"/>
    <cellStyle name="20% - Accent4 4 2 4 2" xfId="4468" hidden="1"/>
    <cellStyle name="20% - Accent4 4 2 4 2" xfId="3722" hidden="1"/>
    <cellStyle name="20% - Accent4 4 2 4 2" xfId="2156" hidden="1"/>
    <cellStyle name="20% - Accent4 4 2 4 2" xfId="651" hidden="1"/>
    <cellStyle name="20% - Accent4 4 2 4 2" xfId="28376" hidden="1"/>
    <cellStyle name="20% - Accent4 4 2 4 2" xfId="28491" hidden="1"/>
    <cellStyle name="20% - Accent4 4 2 4 2" xfId="29214" hidden="1"/>
    <cellStyle name="20% - Accent4 4 2 4 2" xfId="29387" hidden="1"/>
    <cellStyle name="20% - Accent4 4 2 4 2" xfId="29780" hidden="1"/>
    <cellStyle name="20% - Accent4 4 2 4 2" xfId="29928" hidden="1"/>
    <cellStyle name="20% - Accent4 4 2 4 2" xfId="30266" hidden="1"/>
    <cellStyle name="20% - Accent4 4 2 4 2" xfId="30603" hidden="1"/>
    <cellStyle name="20% - Accent4 4 2 4 2" xfId="31168" hidden="1"/>
    <cellStyle name="20% - Accent4 4 2 4 2" xfId="31283" hidden="1"/>
    <cellStyle name="20% - Accent4 4 2 4 2" xfId="32006" hidden="1"/>
    <cellStyle name="20% - Accent4 4 2 4 2" xfId="32179" hidden="1"/>
    <cellStyle name="20% - Accent4 4 2 4 2" xfId="32572" hidden="1"/>
    <cellStyle name="20% - Accent4 4 2 4 2" xfId="32720" hidden="1"/>
    <cellStyle name="20% - Accent4 4 2 4 2" xfId="33058" hidden="1"/>
    <cellStyle name="20% - Accent4 4 2 4 2" xfId="33395" hidden="1"/>
    <cellStyle name="20% - Accent4 4 3 3 2" xfId="783" hidden="1"/>
    <cellStyle name="20% - Accent4 4 3 3 2" xfId="991" hidden="1"/>
    <cellStyle name="20% - Accent4 4 3 3 2" xfId="3555" hidden="1"/>
    <cellStyle name="20% - Accent4 4 3 3 2" xfId="4070" hidden="1"/>
    <cellStyle name="20% - Accent4 4 3 3 2" xfId="5389" hidden="1"/>
    <cellStyle name="20% - Accent4 4 3 3 2" xfId="6086" hidden="1"/>
    <cellStyle name="20% - Accent4 4 3 3 2" xfId="7103" hidden="1"/>
    <cellStyle name="20% - Accent4 4 3 3 2" xfId="8307" hidden="1"/>
    <cellStyle name="20% - Accent4 4 3 3 2" xfId="10164" hidden="1"/>
    <cellStyle name="20% - Accent4 4 3 3 2" xfId="10279" hidden="1"/>
    <cellStyle name="20% - Accent4 4 3 3 2" xfId="11002" hidden="1"/>
    <cellStyle name="20% - Accent4 4 3 3 2" xfId="11175" hidden="1"/>
    <cellStyle name="20% - Accent4 4 3 3 2" xfId="11568" hidden="1"/>
    <cellStyle name="20% - Accent4 4 3 3 2" xfId="11716" hidden="1"/>
    <cellStyle name="20% - Accent4 4 3 3 2" xfId="12054" hidden="1"/>
    <cellStyle name="20% - Accent4 4 3 3 2" xfId="12391" hidden="1"/>
    <cellStyle name="20% - Accent4 4 3 3 2" xfId="12956" hidden="1"/>
    <cellStyle name="20% - Accent4 4 3 3 2" xfId="13071" hidden="1"/>
    <cellStyle name="20% - Accent4 4 3 3 2" xfId="13794" hidden="1"/>
    <cellStyle name="20% - Accent4 4 3 3 2" xfId="13967" hidden="1"/>
    <cellStyle name="20% - Accent4 4 3 3 2" xfId="14360" hidden="1"/>
    <cellStyle name="20% - Accent4 4 3 3 2" xfId="14508" hidden="1"/>
    <cellStyle name="20% - Accent4 4 3 3 2" xfId="14846" hidden="1"/>
    <cellStyle name="20% - Accent4 4 3 3 2" xfId="15183" hidden="1"/>
    <cellStyle name="20% - Accent4 4 3 3 2" xfId="9164" hidden="1"/>
    <cellStyle name="20% - Accent4 4 3 3 2" xfId="8619" hidden="1"/>
    <cellStyle name="20% - Accent4 4 3 3 2" xfId="5991" hidden="1"/>
    <cellStyle name="20% - Accent4 4 3 3 2" xfId="5200" hidden="1"/>
    <cellStyle name="20% - Accent4 4 3 3 2" xfId="3917" hidden="1"/>
    <cellStyle name="20% - Accent4 4 3 3 2" xfId="3237" hidden="1"/>
    <cellStyle name="20% - Accent4 4 3 3 2" xfId="1799" hidden="1"/>
    <cellStyle name="20% - Accent4 4 3 3 2" xfId="411" hidden="1"/>
    <cellStyle name="20% - Accent4 4 3 3 2" xfId="16505" hidden="1"/>
    <cellStyle name="20% - Accent4 4 3 3 2" xfId="16620" hidden="1"/>
    <cellStyle name="20% - Accent4 4 3 3 2" xfId="17343" hidden="1"/>
    <cellStyle name="20% - Accent4 4 3 3 2" xfId="17516" hidden="1"/>
    <cellStyle name="20% - Accent4 4 3 3 2" xfId="17909" hidden="1"/>
    <cellStyle name="20% - Accent4 4 3 3 2" xfId="18057" hidden="1"/>
    <cellStyle name="20% - Accent4 4 3 3 2" xfId="18395" hidden="1"/>
    <cellStyle name="20% - Accent4 4 3 3 2" xfId="18732" hidden="1"/>
    <cellStyle name="20% - Accent4 4 3 3 2" xfId="19297" hidden="1"/>
    <cellStyle name="20% - Accent4 4 3 3 2" xfId="19412" hidden="1"/>
    <cellStyle name="20% - Accent4 4 3 3 2" xfId="20135" hidden="1"/>
    <cellStyle name="20% - Accent4 4 3 3 2" xfId="20308" hidden="1"/>
    <cellStyle name="20% - Accent4 4 3 3 2" xfId="20701" hidden="1"/>
    <cellStyle name="20% - Accent4 4 3 3 2" xfId="20849" hidden="1"/>
    <cellStyle name="20% - Accent4 4 3 3 2" xfId="21187" hidden="1"/>
    <cellStyle name="20% - Accent4 4 3 3 2" xfId="21524" hidden="1"/>
    <cellStyle name="20% - Accent4 4 3 3 2" xfId="15672" hidden="1"/>
    <cellStyle name="20% - Accent4 4 3 3 2" xfId="9716" hidden="1"/>
    <cellStyle name="20% - Accent4 4 3 3 2" xfId="6572" hidden="1"/>
    <cellStyle name="20% - Accent4 4 3 3 2" xfId="5724" hidden="1"/>
    <cellStyle name="20% - Accent4 4 3 3 2" xfId="4186" hidden="1"/>
    <cellStyle name="20% - Accent4 4 3 3 2" xfId="3467" hidden="1"/>
    <cellStyle name="20% - Accent4 4 3 3 2" xfId="1976" hidden="1"/>
    <cellStyle name="20% - Accent4 4 3 3 2" xfId="534" hidden="1"/>
    <cellStyle name="20% - Accent4 4 3 3 2" xfId="22656" hidden="1"/>
    <cellStyle name="20% - Accent4 4 3 3 2" xfId="22771" hidden="1"/>
    <cellStyle name="20% - Accent4 4 3 3 2" xfId="23494" hidden="1"/>
    <cellStyle name="20% - Accent4 4 3 3 2" xfId="23667" hidden="1"/>
    <cellStyle name="20% - Accent4 4 3 3 2" xfId="24060" hidden="1"/>
    <cellStyle name="20% - Accent4 4 3 3 2" xfId="24208" hidden="1"/>
    <cellStyle name="20% - Accent4 4 3 3 2" xfId="24546" hidden="1"/>
    <cellStyle name="20% - Accent4 4 3 3 2" xfId="24883" hidden="1"/>
    <cellStyle name="20% - Accent4 4 3 3 2" xfId="25448" hidden="1"/>
    <cellStyle name="20% - Accent4 4 3 3 2" xfId="25563" hidden="1"/>
    <cellStyle name="20% - Accent4 4 3 3 2" xfId="26286" hidden="1"/>
    <cellStyle name="20% - Accent4 4 3 3 2" xfId="26459" hidden="1"/>
    <cellStyle name="20% - Accent4 4 3 3 2" xfId="26852" hidden="1"/>
    <cellStyle name="20% - Accent4 4 3 3 2" xfId="27000" hidden="1"/>
    <cellStyle name="20% - Accent4 4 3 3 2" xfId="27338" hidden="1"/>
    <cellStyle name="20% - Accent4 4 3 3 2" xfId="27675" hidden="1"/>
    <cellStyle name="20% - Accent4 4 3 3 2" xfId="21928" hidden="1"/>
    <cellStyle name="20% - Accent4 4 3 3 2" xfId="16097" hidden="1"/>
    <cellStyle name="20% - Accent4 4 3 3 2" xfId="7275" hidden="1"/>
    <cellStyle name="20% - Accent4 4 3 3 2" xfId="6236" hidden="1"/>
    <cellStyle name="20% - Accent4 4 3 3 2" xfId="4471" hidden="1"/>
    <cellStyle name="20% - Accent4 4 3 3 2" xfId="3723" hidden="1"/>
    <cellStyle name="20% - Accent4 4 3 3 2" xfId="2157" hidden="1"/>
    <cellStyle name="20% - Accent4 4 3 3 2" xfId="652" hidden="1"/>
    <cellStyle name="20% - Accent4 4 3 3 2" xfId="28375" hidden="1"/>
    <cellStyle name="20% - Accent4 4 3 3 2" xfId="28490" hidden="1"/>
    <cellStyle name="20% - Accent4 4 3 3 2" xfId="29213" hidden="1"/>
    <cellStyle name="20% - Accent4 4 3 3 2" xfId="29386" hidden="1"/>
    <cellStyle name="20% - Accent4 4 3 3 2" xfId="29779" hidden="1"/>
    <cellStyle name="20% - Accent4 4 3 3 2" xfId="29927" hidden="1"/>
    <cellStyle name="20% - Accent4 4 3 3 2" xfId="30265" hidden="1"/>
    <cellStyle name="20% - Accent4 4 3 3 2" xfId="30602" hidden="1"/>
    <cellStyle name="20% - Accent4 4 3 3 2" xfId="31167" hidden="1"/>
    <cellStyle name="20% - Accent4 4 3 3 2" xfId="31282" hidden="1"/>
    <cellStyle name="20% - Accent4 4 3 3 2" xfId="32005" hidden="1"/>
    <cellStyle name="20% - Accent4 4 3 3 2" xfId="32178" hidden="1"/>
    <cellStyle name="20% - Accent4 4 3 3 2" xfId="32571" hidden="1"/>
    <cellStyle name="20% - Accent4 4 3 3 2" xfId="32719" hidden="1"/>
    <cellStyle name="20% - Accent4 4 3 3 2" xfId="33057" hidden="1"/>
    <cellStyle name="20% - Accent4 4 3 3 2" xfId="33394" hidden="1"/>
    <cellStyle name="20% - Accent4 5 2" xfId="763" hidden="1"/>
    <cellStyle name="20% - Accent4 5 2" xfId="971" hidden="1"/>
    <cellStyle name="20% - Accent4 5 2" xfId="3535" hidden="1"/>
    <cellStyle name="20% - Accent4 5 2" xfId="4050" hidden="1"/>
    <cellStyle name="20% - Accent4 5 2" xfId="5369" hidden="1"/>
    <cellStyle name="20% - Accent4 5 2" xfId="6066" hidden="1"/>
    <cellStyle name="20% - Accent4 5 2" xfId="7083" hidden="1"/>
    <cellStyle name="20% - Accent4 5 2" xfId="8287" hidden="1"/>
    <cellStyle name="20% - Accent4 5 2" xfId="10144" hidden="1"/>
    <cellStyle name="20% - Accent4 5 2" xfId="10259" hidden="1"/>
    <cellStyle name="20% - Accent4 5 2" xfId="10982" hidden="1"/>
    <cellStyle name="20% - Accent4 5 2" xfId="11155" hidden="1"/>
    <cellStyle name="20% - Accent4 5 2" xfId="11548" hidden="1"/>
    <cellStyle name="20% - Accent4 5 2" xfId="11696" hidden="1"/>
    <cellStyle name="20% - Accent4 5 2" xfId="12034" hidden="1"/>
    <cellStyle name="20% - Accent4 5 2" xfId="12371" hidden="1"/>
    <cellStyle name="20% - Accent4 5 2" xfId="12936" hidden="1"/>
    <cellStyle name="20% - Accent4 5 2" xfId="13051" hidden="1"/>
    <cellStyle name="20% - Accent4 5 2" xfId="13774" hidden="1"/>
    <cellStyle name="20% - Accent4 5 2" xfId="13947" hidden="1"/>
    <cellStyle name="20% - Accent4 5 2" xfId="14340" hidden="1"/>
    <cellStyle name="20% - Accent4 5 2" xfId="14488" hidden="1"/>
    <cellStyle name="20% - Accent4 5 2" xfId="14826" hidden="1"/>
    <cellStyle name="20% - Accent4 5 2" xfId="15163" hidden="1"/>
    <cellStyle name="20% - Accent4 5 2" xfId="9184" hidden="1"/>
    <cellStyle name="20% - Accent4 5 2" xfId="8639" hidden="1"/>
    <cellStyle name="20% - Accent4 5 2" xfId="6012" hidden="1"/>
    <cellStyle name="20% - Accent4 5 2" xfId="5220" hidden="1"/>
    <cellStyle name="20% - Accent4 5 2" xfId="3939" hidden="1"/>
    <cellStyle name="20% - Accent4 5 2" xfId="3257" hidden="1"/>
    <cellStyle name="20% - Accent4 5 2" xfId="1823" hidden="1"/>
    <cellStyle name="20% - Accent4 5 2" xfId="446" hidden="1"/>
    <cellStyle name="20% - Accent4 5 2" xfId="16485" hidden="1"/>
    <cellStyle name="20% - Accent4 5 2" xfId="16600" hidden="1"/>
    <cellStyle name="20% - Accent4 5 2" xfId="17323" hidden="1"/>
    <cellStyle name="20% - Accent4 5 2" xfId="17496" hidden="1"/>
    <cellStyle name="20% - Accent4 5 2" xfId="17889" hidden="1"/>
    <cellStyle name="20% - Accent4 5 2" xfId="18037" hidden="1"/>
    <cellStyle name="20% - Accent4 5 2" xfId="18375" hidden="1"/>
    <cellStyle name="20% - Accent4 5 2" xfId="18712" hidden="1"/>
    <cellStyle name="20% - Accent4 5 2" xfId="19277" hidden="1"/>
    <cellStyle name="20% - Accent4 5 2" xfId="19392" hidden="1"/>
    <cellStyle name="20% - Accent4 5 2" xfId="20115" hidden="1"/>
    <cellStyle name="20% - Accent4 5 2" xfId="20288" hidden="1"/>
    <cellStyle name="20% - Accent4 5 2" xfId="20681" hidden="1"/>
    <cellStyle name="20% - Accent4 5 2" xfId="20829" hidden="1"/>
    <cellStyle name="20% - Accent4 5 2" xfId="21167" hidden="1"/>
    <cellStyle name="20% - Accent4 5 2" xfId="21504" hidden="1"/>
    <cellStyle name="20% - Accent4 5 2" xfId="15692" hidden="1"/>
    <cellStyle name="20% - Accent4 5 2" xfId="9736" hidden="1"/>
    <cellStyle name="20% - Accent4 5 2" xfId="6595" hidden="1"/>
    <cellStyle name="20% - Accent4 5 2" xfId="5749" hidden="1"/>
    <cellStyle name="20% - Accent4 5 2" xfId="4206" hidden="1"/>
    <cellStyle name="20% - Accent4 5 2" xfId="3487" hidden="1"/>
    <cellStyle name="20% - Accent4 5 2" xfId="1998" hidden="1"/>
    <cellStyle name="20% - Accent4 5 2" xfId="558" hidden="1"/>
    <cellStyle name="20% - Accent4 5 2" xfId="22636" hidden="1"/>
    <cellStyle name="20% - Accent4 5 2" xfId="22751" hidden="1"/>
    <cellStyle name="20% - Accent4 5 2" xfId="23474" hidden="1"/>
    <cellStyle name="20% - Accent4 5 2" xfId="23647" hidden="1"/>
    <cellStyle name="20% - Accent4 5 2" xfId="24040" hidden="1"/>
    <cellStyle name="20% - Accent4 5 2" xfId="24188" hidden="1"/>
    <cellStyle name="20% - Accent4 5 2" xfId="24526" hidden="1"/>
    <cellStyle name="20% - Accent4 5 2" xfId="24863" hidden="1"/>
    <cellStyle name="20% - Accent4 5 2" xfId="25428" hidden="1"/>
    <cellStyle name="20% - Accent4 5 2" xfId="25543" hidden="1"/>
    <cellStyle name="20% - Accent4 5 2" xfId="26266" hidden="1"/>
    <cellStyle name="20% - Accent4 5 2" xfId="26439" hidden="1"/>
    <cellStyle name="20% - Accent4 5 2" xfId="26832" hidden="1"/>
    <cellStyle name="20% - Accent4 5 2" xfId="26980" hidden="1"/>
    <cellStyle name="20% - Accent4 5 2" xfId="27318" hidden="1"/>
    <cellStyle name="20% - Accent4 5 2" xfId="27655" hidden="1"/>
    <cellStyle name="20% - Accent4 5 2" xfId="21948" hidden="1"/>
    <cellStyle name="20% - Accent4 5 2" xfId="16117" hidden="1"/>
    <cellStyle name="20% - Accent4 5 2" xfId="7298" hidden="1"/>
    <cellStyle name="20% - Accent4 5 2" xfId="6258" hidden="1"/>
    <cellStyle name="20% - Accent4 5 2" xfId="4507" hidden="1"/>
    <cellStyle name="20% - Accent4 5 2" xfId="3743" hidden="1"/>
    <cellStyle name="20% - Accent4 5 2" xfId="2178" hidden="1"/>
    <cellStyle name="20% - Accent4 5 2" xfId="687" hidden="1"/>
    <cellStyle name="20% - Accent4 5 2" xfId="28355" hidden="1"/>
    <cellStyle name="20% - Accent4 5 2" xfId="28470" hidden="1"/>
    <cellStyle name="20% - Accent4 5 2" xfId="29193" hidden="1"/>
    <cellStyle name="20% - Accent4 5 2" xfId="29366" hidden="1"/>
    <cellStyle name="20% - Accent4 5 2" xfId="29759" hidden="1"/>
    <cellStyle name="20% - Accent4 5 2" xfId="29907" hidden="1"/>
    <cellStyle name="20% - Accent4 5 2" xfId="30245" hidden="1"/>
    <cellStyle name="20% - Accent4 5 2" xfId="30582" hidden="1"/>
    <cellStyle name="20% - Accent4 5 2" xfId="31147" hidden="1"/>
    <cellStyle name="20% - Accent4 5 2" xfId="31262" hidden="1"/>
    <cellStyle name="20% - Accent4 5 2" xfId="31985" hidden="1"/>
    <cellStyle name="20% - Accent4 5 2" xfId="32158" hidden="1"/>
    <cellStyle name="20% - Accent4 5 2" xfId="32551" hidden="1"/>
    <cellStyle name="20% - Accent4 5 2" xfId="32699" hidden="1"/>
    <cellStyle name="20% - Accent4 5 2" xfId="33037" hidden="1"/>
    <cellStyle name="20% - Accent4 5 2" xfId="33374" hidden="1"/>
    <cellStyle name="20% - Accent4 7" xfId="130" hidden="1"/>
    <cellStyle name="20% - Accent4 7" xfId="232" hidden="1"/>
    <cellStyle name="20% - Accent4 7" xfId="311" hidden="1"/>
    <cellStyle name="20% - Accent4 7" xfId="638" hidden="1"/>
    <cellStyle name="20% - Accent4 7" xfId="2393" hidden="1"/>
    <cellStyle name="20% - Accent4 7" xfId="2541" hidden="1"/>
    <cellStyle name="20% - Accent4 7" xfId="2720" hidden="1"/>
    <cellStyle name="20% - Accent4 7" xfId="3041" hidden="1"/>
    <cellStyle name="20% - Accent4 7" xfId="1852" hidden="1"/>
    <cellStyle name="20% - Accent4 7" xfId="2256" hidden="1"/>
    <cellStyle name="20% - Accent4 7" xfId="4317" hidden="1"/>
    <cellStyle name="20% - Accent4 7" xfId="4559" hidden="1"/>
    <cellStyle name="20% - Accent4 7" xfId="4720" hidden="1"/>
    <cellStyle name="20% - Accent4 7" xfId="4932" hidden="1"/>
    <cellStyle name="20% - Accent4 7" xfId="1715" hidden="1"/>
    <cellStyle name="20% - Accent4 7" xfId="1952" hidden="1"/>
    <cellStyle name="20% - Accent4 7" xfId="6335" hidden="1"/>
    <cellStyle name="20% - Accent4 7" xfId="6442" hidden="1"/>
    <cellStyle name="20% - Accent4 7" xfId="6640" hidden="1"/>
    <cellStyle name="20% - Accent4 7" xfId="7488" hidden="1"/>
    <cellStyle name="20% - Accent4 7" xfId="7646" hidden="1"/>
    <cellStyle name="20% - Accent4 7" xfId="7828" hidden="1"/>
    <cellStyle name="20% - Accent4 7" xfId="8740" hidden="1"/>
    <cellStyle name="20% - Accent4 7" xfId="8918" hidden="1"/>
    <cellStyle name="20% - Accent4 7" xfId="9821" hidden="1"/>
    <cellStyle name="20% - Accent4 7" xfId="9917" hidden="1"/>
    <cellStyle name="20% - Accent4 7" xfId="9993" hidden="1"/>
    <cellStyle name="20% - Accent4 7" xfId="10071" hidden="1"/>
    <cellStyle name="20% - Accent4 7" xfId="10656" hidden="1"/>
    <cellStyle name="20% - Accent4 7" xfId="10732" hidden="1"/>
    <cellStyle name="20% - Accent4 7" xfId="10811" hidden="1"/>
    <cellStyle name="20% - Accent4 7" xfId="10910" hidden="1"/>
    <cellStyle name="20% - Accent4 7" xfId="10429" hidden="1"/>
    <cellStyle name="20% - Accent4 7" xfId="10600" hidden="1"/>
    <cellStyle name="20% - Accent4 7" xfId="11251" hidden="1"/>
    <cellStyle name="20% - Accent4 7" xfId="11327" hidden="1"/>
    <cellStyle name="20% - Accent4 7" xfId="11405" hidden="1"/>
    <cellStyle name="20% - Accent4 7" xfId="11492" hidden="1"/>
    <cellStyle name="20% - Accent4 7" xfId="10393" hidden="1"/>
    <cellStyle name="20% - Accent4 7" xfId="10482" hidden="1"/>
    <cellStyle name="20% - Accent4 7" xfId="11783" hidden="1"/>
    <cellStyle name="20% - Accent4 7" xfId="11859" hidden="1"/>
    <cellStyle name="20% - Accent4 7" xfId="11937" hidden="1"/>
    <cellStyle name="20% - Accent4 7" xfId="12120" hidden="1"/>
    <cellStyle name="20% - Accent4 7" xfId="12196" hidden="1"/>
    <cellStyle name="20% - Accent4 7" xfId="12274" hidden="1"/>
    <cellStyle name="20% - Accent4 7" xfId="12457" hidden="1"/>
    <cellStyle name="20% - Accent4 7" xfId="12533" hidden="1"/>
    <cellStyle name="20% - Accent4 7" xfId="12613" hidden="1"/>
    <cellStyle name="20% - Accent4 7" xfId="12709" hidden="1"/>
    <cellStyle name="20% - Accent4 7" xfId="12785" hidden="1"/>
    <cellStyle name="20% - Accent4 7" xfId="12863" hidden="1"/>
    <cellStyle name="20% - Accent4 7" xfId="13448" hidden="1"/>
    <cellStyle name="20% - Accent4 7" xfId="13524" hidden="1"/>
    <cellStyle name="20% - Accent4 7" xfId="13603" hidden="1"/>
    <cellStyle name="20% - Accent4 7" xfId="13702" hidden="1"/>
    <cellStyle name="20% - Accent4 7" xfId="13221" hidden="1"/>
    <cellStyle name="20% - Accent4 7" xfId="13392" hidden="1"/>
    <cellStyle name="20% - Accent4 7" xfId="14043" hidden="1"/>
    <cellStyle name="20% - Accent4 7" xfId="14119" hidden="1"/>
    <cellStyle name="20% - Accent4 7" xfId="14197" hidden="1"/>
    <cellStyle name="20% - Accent4 7" xfId="14284" hidden="1"/>
    <cellStyle name="20% - Accent4 7" xfId="13185" hidden="1"/>
    <cellStyle name="20% - Accent4 7" xfId="13274" hidden="1"/>
    <cellStyle name="20% - Accent4 7" xfId="14575" hidden="1"/>
    <cellStyle name="20% - Accent4 7" xfId="14651" hidden="1"/>
    <cellStyle name="20% - Accent4 7" xfId="14729" hidden="1"/>
    <cellStyle name="20% - Accent4 7" xfId="14912" hidden="1"/>
    <cellStyle name="20% - Accent4 7" xfId="14988" hidden="1"/>
    <cellStyle name="20% - Accent4 7" xfId="15066" hidden="1"/>
    <cellStyle name="20% - Accent4 7" xfId="15249" hidden="1"/>
    <cellStyle name="20% - Accent4 7" xfId="15325" hidden="1"/>
    <cellStyle name="20% - Accent4 7" xfId="9640" hidden="1"/>
    <cellStyle name="20% - Accent4 7" xfId="9506" hidden="1"/>
    <cellStyle name="20% - Accent4 7" xfId="9389" hidden="1"/>
    <cellStyle name="20% - Accent4 7" xfId="9279" hidden="1"/>
    <cellStyle name="20% - Accent4 7" xfId="7019" hidden="1"/>
    <cellStyle name="20% - Accent4 7" xfId="6930" hidden="1"/>
    <cellStyle name="20% - Accent4 7" xfId="6836" hidden="1"/>
    <cellStyle name="20% - Accent4 7" xfId="6454" hidden="1"/>
    <cellStyle name="20% - Accent4 7" xfId="7895" hidden="1"/>
    <cellStyle name="20% - Accent4 7" xfId="7239" hidden="1"/>
    <cellStyle name="20% - Accent4 7" xfId="4883" hidden="1"/>
    <cellStyle name="20% - Accent4 7" xfId="4713" hidden="1"/>
    <cellStyle name="20% - Accent4 7" xfId="4517" hidden="1"/>
    <cellStyle name="20% - Accent4 7" xfId="4265" hidden="1"/>
    <cellStyle name="20% - Accent4 7" xfId="8012" hidden="1"/>
    <cellStyle name="20% - Accent4 7" xfId="7625" hidden="1"/>
    <cellStyle name="20% - Accent4 7" xfId="2798" hidden="1"/>
    <cellStyle name="20% - Accent4 7" xfId="2545" hidden="1"/>
    <cellStyle name="20% - Accent4 7" xfId="2369" hidden="1"/>
    <cellStyle name="20% - Accent4 7" xfId="1419" hidden="1"/>
    <cellStyle name="20% - Accent4 7" xfId="1226" hidden="1"/>
    <cellStyle name="20% - Accent4 7" xfId="1069" hidden="1"/>
    <cellStyle name="20% - Accent4 7" xfId="15396" hidden="1"/>
    <cellStyle name="20% - Accent4 7" xfId="15494" hidden="1"/>
    <cellStyle name="20% - Accent4 7" xfId="16162" hidden="1"/>
    <cellStyle name="20% - Accent4 7" xfId="16258" hidden="1"/>
    <cellStyle name="20% - Accent4 7" xfId="16334" hidden="1"/>
    <cellStyle name="20% - Accent4 7" xfId="16412" hidden="1"/>
    <cellStyle name="20% - Accent4 7" xfId="16997" hidden="1"/>
    <cellStyle name="20% - Accent4 7" xfId="17073" hidden="1"/>
    <cellStyle name="20% - Accent4 7" xfId="17152" hidden="1"/>
    <cellStyle name="20% - Accent4 7" xfId="17251" hidden="1"/>
    <cellStyle name="20% - Accent4 7" xfId="16770" hidden="1"/>
    <cellStyle name="20% - Accent4 7" xfId="16941" hidden="1"/>
    <cellStyle name="20% - Accent4 7" xfId="17592" hidden="1"/>
    <cellStyle name="20% - Accent4 7" xfId="17668" hidden="1"/>
    <cellStyle name="20% - Accent4 7" xfId="17746" hidden="1"/>
    <cellStyle name="20% - Accent4 7" xfId="17833" hidden="1"/>
    <cellStyle name="20% - Accent4 7" xfId="16734" hidden="1"/>
    <cellStyle name="20% - Accent4 7" xfId="16823" hidden="1"/>
    <cellStyle name="20% - Accent4 7" xfId="18124" hidden="1"/>
    <cellStyle name="20% - Accent4 7" xfId="18200" hidden="1"/>
    <cellStyle name="20% - Accent4 7" xfId="18278" hidden="1"/>
    <cellStyle name="20% - Accent4 7" xfId="18461" hidden="1"/>
    <cellStyle name="20% - Accent4 7" xfId="18537" hidden="1"/>
    <cellStyle name="20% - Accent4 7" xfId="18615" hidden="1"/>
    <cellStyle name="20% - Accent4 7" xfId="18798" hidden="1"/>
    <cellStyle name="20% - Accent4 7" xfId="18874" hidden="1"/>
    <cellStyle name="20% - Accent4 7" xfId="18954" hidden="1"/>
    <cellStyle name="20% - Accent4 7" xfId="19050" hidden="1"/>
    <cellStyle name="20% - Accent4 7" xfId="19126" hidden="1"/>
    <cellStyle name="20% - Accent4 7" xfId="19204" hidden="1"/>
    <cellStyle name="20% - Accent4 7" xfId="19789" hidden="1"/>
    <cellStyle name="20% - Accent4 7" xfId="19865" hidden="1"/>
    <cellStyle name="20% - Accent4 7" xfId="19944" hidden="1"/>
    <cellStyle name="20% - Accent4 7" xfId="20043" hidden="1"/>
    <cellStyle name="20% - Accent4 7" xfId="19562" hidden="1"/>
    <cellStyle name="20% - Accent4 7" xfId="19733" hidden="1"/>
    <cellStyle name="20% - Accent4 7" xfId="20384" hidden="1"/>
    <cellStyle name="20% - Accent4 7" xfId="20460" hidden="1"/>
    <cellStyle name="20% - Accent4 7" xfId="20538" hidden="1"/>
    <cellStyle name="20% - Accent4 7" xfId="20625" hidden="1"/>
    <cellStyle name="20% - Accent4 7" xfId="19526" hidden="1"/>
    <cellStyle name="20% - Accent4 7" xfId="19615" hidden="1"/>
    <cellStyle name="20% - Accent4 7" xfId="20916" hidden="1"/>
    <cellStyle name="20% - Accent4 7" xfId="20992" hidden="1"/>
    <cellStyle name="20% - Accent4 7" xfId="21070" hidden="1"/>
    <cellStyle name="20% - Accent4 7" xfId="21253" hidden="1"/>
    <cellStyle name="20% - Accent4 7" xfId="21329" hidden="1"/>
    <cellStyle name="20% - Accent4 7" xfId="21407" hidden="1"/>
    <cellStyle name="20% - Accent4 7" xfId="21590" hidden="1"/>
    <cellStyle name="20% - Accent4 7" xfId="21666" hidden="1"/>
    <cellStyle name="20% - Accent4 7" xfId="16029" hidden="1"/>
    <cellStyle name="20% - Accent4 7" xfId="15933" hidden="1"/>
    <cellStyle name="20% - Accent4 7" xfId="15855" hidden="1"/>
    <cellStyle name="20% - Accent4 7" xfId="15770" hidden="1"/>
    <cellStyle name="20% - Accent4 7" xfId="8003" hidden="1"/>
    <cellStyle name="20% - Accent4 7" xfId="7804" hidden="1"/>
    <cellStyle name="20% - Accent4 7" xfId="7560" hidden="1"/>
    <cellStyle name="20% - Accent4 7" xfId="7185" hidden="1"/>
    <cellStyle name="20% - Accent4 7" xfId="8731" hidden="1"/>
    <cellStyle name="20% - Accent4 7" xfId="8162" hidden="1"/>
    <cellStyle name="20% - Accent4 7" xfId="5319" hidden="1"/>
    <cellStyle name="20% - Accent4 7" xfId="5119" hidden="1"/>
    <cellStyle name="20% - Accent4 7" xfId="5013" hidden="1"/>
    <cellStyle name="20% - Accent4 7" xfId="4790" hidden="1"/>
    <cellStyle name="20% - Accent4 7" xfId="8928" hidden="1"/>
    <cellStyle name="20% - Accent4 7" xfId="8495" hidden="1"/>
    <cellStyle name="20% - Accent4 7" xfId="3082" hidden="1"/>
    <cellStyle name="20% - Accent4 7" xfId="2928" hidden="1"/>
    <cellStyle name="20% - Accent4 7" xfId="2786" hidden="1"/>
    <cellStyle name="20% - Accent4 7" xfId="1567" hidden="1"/>
    <cellStyle name="20% - Accent4 7" xfId="1418" hidden="1"/>
    <cellStyle name="20% - Accent4 7" xfId="1148" hidden="1"/>
    <cellStyle name="20% - Accent4 7" xfId="21736" hidden="1"/>
    <cellStyle name="20% - Accent4 7" xfId="21804" hidden="1"/>
    <cellStyle name="20% - Accent4 7" xfId="22313" hidden="1"/>
    <cellStyle name="20% - Accent4 7" xfId="22409" hidden="1"/>
    <cellStyle name="20% - Accent4 7" xfId="22485" hidden="1"/>
    <cellStyle name="20% - Accent4 7" xfId="22563" hidden="1"/>
    <cellStyle name="20% - Accent4 7" xfId="23148" hidden="1"/>
    <cellStyle name="20% - Accent4 7" xfId="23224" hidden="1"/>
    <cellStyle name="20% - Accent4 7" xfId="23303" hidden="1"/>
    <cellStyle name="20% - Accent4 7" xfId="23402" hidden="1"/>
    <cellStyle name="20% - Accent4 7" xfId="22921" hidden="1"/>
    <cellStyle name="20% - Accent4 7" xfId="23092" hidden="1"/>
    <cellStyle name="20% - Accent4 7" xfId="23743" hidden="1"/>
    <cellStyle name="20% - Accent4 7" xfId="23819" hidden="1"/>
    <cellStyle name="20% - Accent4 7" xfId="23897" hidden="1"/>
    <cellStyle name="20% - Accent4 7" xfId="23984" hidden="1"/>
    <cellStyle name="20% - Accent4 7" xfId="22885" hidden="1"/>
    <cellStyle name="20% - Accent4 7" xfId="22974" hidden="1"/>
    <cellStyle name="20% - Accent4 7" xfId="24275" hidden="1"/>
    <cellStyle name="20% - Accent4 7" xfId="24351" hidden="1"/>
    <cellStyle name="20% - Accent4 7" xfId="24429" hidden="1"/>
    <cellStyle name="20% - Accent4 7" xfId="24612" hidden="1"/>
    <cellStyle name="20% - Accent4 7" xfId="24688" hidden="1"/>
    <cellStyle name="20% - Accent4 7" xfId="24766" hidden="1"/>
    <cellStyle name="20% - Accent4 7" xfId="24949" hidden="1"/>
    <cellStyle name="20% - Accent4 7" xfId="25025" hidden="1"/>
    <cellStyle name="20% - Accent4 7" xfId="25105" hidden="1"/>
    <cellStyle name="20% - Accent4 7" xfId="25201" hidden="1"/>
    <cellStyle name="20% - Accent4 7" xfId="25277" hidden="1"/>
    <cellStyle name="20% - Accent4 7" xfId="25355" hidden="1"/>
    <cellStyle name="20% - Accent4 7" xfId="25940" hidden="1"/>
    <cellStyle name="20% - Accent4 7" xfId="26016" hidden="1"/>
    <cellStyle name="20% - Accent4 7" xfId="26095" hidden="1"/>
    <cellStyle name="20% - Accent4 7" xfId="26194" hidden="1"/>
    <cellStyle name="20% - Accent4 7" xfId="25713" hidden="1"/>
    <cellStyle name="20% - Accent4 7" xfId="25884" hidden="1"/>
    <cellStyle name="20% - Accent4 7" xfId="26535" hidden="1"/>
    <cellStyle name="20% - Accent4 7" xfId="26611" hidden="1"/>
    <cellStyle name="20% - Accent4 7" xfId="26689" hidden="1"/>
    <cellStyle name="20% - Accent4 7" xfId="26776" hidden="1"/>
    <cellStyle name="20% - Accent4 7" xfId="25677" hidden="1"/>
    <cellStyle name="20% - Accent4 7" xfId="25766" hidden="1"/>
    <cellStyle name="20% - Accent4 7" xfId="27067" hidden="1"/>
    <cellStyle name="20% - Accent4 7" xfId="27143" hidden="1"/>
    <cellStyle name="20% - Accent4 7" xfId="27221" hidden="1"/>
    <cellStyle name="20% - Accent4 7" xfId="27404" hidden="1"/>
    <cellStyle name="20% - Accent4 7" xfId="27480" hidden="1"/>
    <cellStyle name="20% - Accent4 7" xfId="27558" hidden="1"/>
    <cellStyle name="20% - Accent4 7" xfId="27741" hidden="1"/>
    <cellStyle name="20% - Accent4 7" xfId="27817" hidden="1"/>
    <cellStyle name="20% - Accent4 7" xfId="22282" hidden="1"/>
    <cellStyle name="20% - Accent4 7" xfId="22186" hidden="1"/>
    <cellStyle name="20% - Accent4 7" xfId="22108" hidden="1"/>
    <cellStyle name="20% - Accent4 7" xfId="22023" hidden="1"/>
    <cellStyle name="20% - Accent4 7" xfId="8912" hidden="1"/>
    <cellStyle name="20% - Accent4 7" xfId="8701" hidden="1"/>
    <cellStyle name="20% - Accent4 7" xfId="8467" hidden="1"/>
    <cellStyle name="20% - Accent4 7" xfId="8117" hidden="1"/>
    <cellStyle name="20% - Accent4 7" xfId="9797" hidden="1"/>
    <cellStyle name="20% - Accent4 7" xfId="9087" hidden="1"/>
    <cellStyle name="20% - Accent4 7" xfId="5873" hidden="1"/>
    <cellStyle name="20% - Accent4 7" xfId="5627" hidden="1"/>
    <cellStyle name="20% - Accent4 7" xfId="5530" hidden="1"/>
    <cellStyle name="20% - Accent4 7" xfId="5245" hidden="1"/>
    <cellStyle name="20% - Accent4 7" xfId="15503" hidden="1"/>
    <cellStyle name="20% - Accent4 7" xfId="9550" hidden="1"/>
    <cellStyle name="20% - Accent4 7" xfId="3391" hidden="1"/>
    <cellStyle name="20% - Accent4 7" xfId="3297" hidden="1"/>
    <cellStyle name="20% - Accent4 7" xfId="3088" hidden="1"/>
    <cellStyle name="20% - Accent4 7" xfId="1690" hidden="1"/>
    <cellStyle name="20% - Accent4 7" xfId="1574" hidden="1"/>
    <cellStyle name="20% - Accent4 7" xfId="1291" hidden="1"/>
    <cellStyle name="20% - Accent4 7" xfId="27888" hidden="1"/>
    <cellStyle name="20% - Accent4 7" xfId="27952" hidden="1"/>
    <cellStyle name="20% - Accent4 7" xfId="28032" hidden="1"/>
    <cellStyle name="20% - Accent4 7" xfId="28128" hidden="1"/>
    <cellStyle name="20% - Accent4 7" xfId="28204" hidden="1"/>
    <cellStyle name="20% - Accent4 7" xfId="28282" hidden="1"/>
    <cellStyle name="20% - Accent4 7" xfId="28867" hidden="1"/>
    <cellStyle name="20% - Accent4 7" xfId="28943" hidden="1"/>
    <cellStyle name="20% - Accent4 7" xfId="29022" hidden="1"/>
    <cellStyle name="20% - Accent4 7" xfId="29121" hidden="1"/>
    <cellStyle name="20% - Accent4 7" xfId="28640" hidden="1"/>
    <cellStyle name="20% - Accent4 7" xfId="28811" hidden="1"/>
    <cellStyle name="20% - Accent4 7" xfId="29462" hidden="1"/>
    <cellStyle name="20% - Accent4 7" xfId="29538" hidden="1"/>
    <cellStyle name="20% - Accent4 7" xfId="29616" hidden="1"/>
    <cellStyle name="20% - Accent4 7" xfId="29703" hidden="1"/>
    <cellStyle name="20% - Accent4 7" xfId="28604" hidden="1"/>
    <cellStyle name="20% - Accent4 7" xfId="28693" hidden="1"/>
    <cellStyle name="20% - Accent4 7" xfId="29994" hidden="1"/>
    <cellStyle name="20% - Accent4 7" xfId="30070" hidden="1"/>
    <cellStyle name="20% - Accent4 7" xfId="30148" hidden="1"/>
    <cellStyle name="20% - Accent4 7" xfId="30331" hidden="1"/>
    <cellStyle name="20% - Accent4 7" xfId="30407" hidden="1"/>
    <cellStyle name="20% - Accent4 7" xfId="30485" hidden="1"/>
    <cellStyle name="20% - Accent4 7" xfId="30668" hidden="1"/>
    <cellStyle name="20% - Accent4 7" xfId="30744" hidden="1"/>
    <cellStyle name="20% - Accent4 7" xfId="30824" hidden="1"/>
    <cellStyle name="20% - Accent4 7" xfId="30920" hidden="1"/>
    <cellStyle name="20% - Accent4 7" xfId="30996" hidden="1"/>
    <cellStyle name="20% - Accent4 7" xfId="31074" hidden="1"/>
    <cellStyle name="20% - Accent4 7" xfId="31659" hidden="1"/>
    <cellStyle name="20% - Accent4 7" xfId="31735" hidden="1"/>
    <cellStyle name="20% - Accent4 7" xfId="31814" hidden="1"/>
    <cellStyle name="20% - Accent4 7" xfId="31913" hidden="1"/>
    <cellStyle name="20% - Accent4 7" xfId="31432" hidden="1"/>
    <cellStyle name="20% - Accent4 7" xfId="31603" hidden="1"/>
    <cellStyle name="20% - Accent4 7" xfId="32254" hidden="1"/>
    <cellStyle name="20% - Accent4 7" xfId="32330" hidden="1"/>
    <cellStyle name="20% - Accent4 7" xfId="32408" hidden="1"/>
    <cellStyle name="20% - Accent4 7" xfId="32495" hidden="1"/>
    <cellStyle name="20% - Accent4 7" xfId="31396" hidden="1"/>
    <cellStyle name="20% - Accent4 7" xfId="31485" hidden="1"/>
    <cellStyle name="20% - Accent4 7" xfId="32786" hidden="1"/>
    <cellStyle name="20% - Accent4 7" xfId="32862" hidden="1"/>
    <cellStyle name="20% - Accent4 7" xfId="32940" hidden="1"/>
    <cellStyle name="20% - Accent4 7" xfId="33123" hidden="1"/>
    <cellStyle name="20% - Accent4 7" xfId="33199" hidden="1"/>
    <cellStyle name="20% - Accent4 7" xfId="33277" hidden="1"/>
    <cellStyle name="20% - Accent4 7" xfId="33460" hidden="1"/>
    <cellStyle name="20% - Accent4 7" xfId="33536" hidden="1"/>
    <cellStyle name="20% - Accent4 8" xfId="146" hidden="1"/>
    <cellStyle name="20% - Accent4 8" xfId="223" hidden="1"/>
    <cellStyle name="20% - Accent4 8" xfId="303" hidden="1"/>
    <cellStyle name="20% - Accent4 8" xfId="571" hidden="1"/>
    <cellStyle name="20% - Accent4 8" xfId="2375" hidden="1"/>
    <cellStyle name="20% - Accent4 8" xfId="2509" hidden="1"/>
    <cellStyle name="20% - Accent4 8" xfId="2674" hidden="1"/>
    <cellStyle name="20% - Accent4 8" xfId="3075" hidden="1"/>
    <cellStyle name="20% - Accent4 8" xfId="2280" hidden="1"/>
    <cellStyle name="20% - Accent4 8" xfId="2045" hidden="1"/>
    <cellStyle name="20% - Accent4 8" xfId="1942" hidden="1"/>
    <cellStyle name="20% - Accent4 8" xfId="4542" hidden="1"/>
    <cellStyle name="20% - Accent4 8" xfId="4690" hidden="1"/>
    <cellStyle name="20% - Accent4 8" xfId="4939" hidden="1"/>
    <cellStyle name="20% - Accent4 8" xfId="1887" hidden="1"/>
    <cellStyle name="20% - Accent4 8" xfId="2085" hidden="1"/>
    <cellStyle name="20% - Accent4 8" xfId="2064" hidden="1"/>
    <cellStyle name="20% - Accent4 8" xfId="6425" hidden="1"/>
    <cellStyle name="20% - Accent4 8" xfId="6624" hidden="1"/>
    <cellStyle name="20% - Accent4 8" xfId="1618" hidden="1"/>
    <cellStyle name="20% - Accent4 8" xfId="7620" hidden="1"/>
    <cellStyle name="20% - Accent4 8" xfId="7797" hidden="1"/>
    <cellStyle name="20% - Accent4 8" xfId="4927" hidden="1"/>
    <cellStyle name="20% - Accent4 8" xfId="8884" hidden="1"/>
    <cellStyle name="20% - Accent4 8" xfId="9837" hidden="1"/>
    <cellStyle name="20% - Accent4 8" xfId="9908" hidden="1"/>
    <cellStyle name="20% - Accent4 8" xfId="9985" hidden="1"/>
    <cellStyle name="20% - Accent4 8" xfId="10063" hidden="1"/>
    <cellStyle name="20% - Accent4 8" xfId="10647" hidden="1"/>
    <cellStyle name="20% - Accent4 8" xfId="10724" hidden="1"/>
    <cellStyle name="20% - Accent4 8" xfId="10803" hidden="1"/>
    <cellStyle name="20% - Accent4 8" xfId="10914" hidden="1"/>
    <cellStyle name="20% - Accent4 8" xfId="10618" hidden="1"/>
    <cellStyle name="20% - Accent4 8" xfId="10511" hidden="1"/>
    <cellStyle name="20% - Accent4 8" xfId="10479" hidden="1"/>
    <cellStyle name="20% - Accent4 8" xfId="11319" hidden="1"/>
    <cellStyle name="20% - Accent4 8" xfId="11397" hidden="1"/>
    <cellStyle name="20% - Accent4 8" xfId="11495" hidden="1"/>
    <cellStyle name="20% - Accent4 8" xfId="10460" hidden="1"/>
    <cellStyle name="20% - Accent4 8" xfId="10543" hidden="1"/>
    <cellStyle name="20% - Accent4 8" xfId="10527" hidden="1"/>
    <cellStyle name="20% - Accent4 8" xfId="11851" hidden="1"/>
    <cellStyle name="20% - Accent4 8" xfId="11929" hidden="1"/>
    <cellStyle name="20% - Accent4 8" xfId="10361" hidden="1"/>
    <cellStyle name="20% - Accent4 8" xfId="12188" hidden="1"/>
    <cellStyle name="20% - Accent4 8" xfId="12266" hidden="1"/>
    <cellStyle name="20% - Accent4 8" xfId="11490" hidden="1"/>
    <cellStyle name="20% - Accent4 8" xfId="12525" hidden="1"/>
    <cellStyle name="20% - Accent4 8" xfId="12629" hidden="1"/>
    <cellStyle name="20% - Accent4 8" xfId="12700" hidden="1"/>
    <cellStyle name="20% - Accent4 8" xfId="12777" hidden="1"/>
    <cellStyle name="20% - Accent4 8" xfId="12855" hidden="1"/>
    <cellStyle name="20% - Accent4 8" xfId="13439" hidden="1"/>
    <cellStyle name="20% - Accent4 8" xfId="13516" hidden="1"/>
    <cellStyle name="20% - Accent4 8" xfId="13595" hidden="1"/>
    <cellStyle name="20% - Accent4 8" xfId="13706" hidden="1"/>
    <cellStyle name="20% - Accent4 8" xfId="13410" hidden="1"/>
    <cellStyle name="20% - Accent4 8" xfId="13303" hidden="1"/>
    <cellStyle name="20% - Accent4 8" xfId="13271" hidden="1"/>
    <cellStyle name="20% - Accent4 8" xfId="14111" hidden="1"/>
    <cellStyle name="20% - Accent4 8" xfId="14189" hidden="1"/>
    <cellStyle name="20% - Accent4 8" xfId="14287" hidden="1"/>
    <cellStyle name="20% - Accent4 8" xfId="13252" hidden="1"/>
    <cellStyle name="20% - Accent4 8" xfId="13335" hidden="1"/>
    <cellStyle name="20% - Accent4 8" xfId="13319" hidden="1"/>
    <cellStyle name="20% - Accent4 8" xfId="14643" hidden="1"/>
    <cellStyle name="20% - Accent4 8" xfId="14721" hidden="1"/>
    <cellStyle name="20% - Accent4 8" xfId="13153" hidden="1"/>
    <cellStyle name="20% - Accent4 8" xfId="14980" hidden="1"/>
    <cellStyle name="20% - Accent4 8" xfId="15058" hidden="1"/>
    <cellStyle name="20% - Accent4 8" xfId="14282" hidden="1"/>
    <cellStyle name="20% - Accent4 8" xfId="15317" hidden="1"/>
    <cellStyle name="20% - Accent4 8" xfId="9623" hidden="1"/>
    <cellStyle name="20% - Accent4 8" xfId="9525" hidden="1"/>
    <cellStyle name="20% - Accent4 8" xfId="9408" hidden="1"/>
    <cellStyle name="20% - Accent4 8" xfId="9301" hidden="1"/>
    <cellStyle name="20% - Accent4 8" xfId="7030" hidden="1"/>
    <cellStyle name="20% - Accent4 8" xfId="6941" hidden="1"/>
    <cellStyle name="20% - Accent4 8" xfId="6850" hidden="1"/>
    <cellStyle name="20% - Accent4 8" xfId="6431" hidden="1"/>
    <cellStyle name="20% - Accent4 8" xfId="7189" hidden="1"/>
    <cellStyle name="20% - Accent4 8" xfId="7487" hidden="1"/>
    <cellStyle name="20% - Accent4 8" xfId="7628" hidden="1"/>
    <cellStyle name="20% - Accent4 8" xfId="4762" hidden="1"/>
    <cellStyle name="20% - Accent4 8" xfId="4555" hidden="1"/>
    <cellStyle name="20% - Accent4 8" xfId="4260" hidden="1"/>
    <cellStyle name="20% - Accent4 8" xfId="7752" hidden="1"/>
    <cellStyle name="20% - Accent4 8" xfId="7414" hidden="1"/>
    <cellStyle name="20% - Accent4 8" xfId="7442" hidden="1"/>
    <cellStyle name="20% - Accent4 8" xfId="2603" hidden="1"/>
    <cellStyle name="20% - Accent4 8" xfId="2389" hidden="1"/>
    <cellStyle name="20% - Accent4 8" xfId="8109" hidden="1"/>
    <cellStyle name="20% - Accent4 8" xfId="1263" hidden="1"/>
    <cellStyle name="20% - Accent4 8" xfId="1090" hidden="1"/>
    <cellStyle name="20% - Accent4 8" xfId="4267" hidden="1"/>
    <cellStyle name="20% - Accent4 8" xfId="15478" hidden="1"/>
    <cellStyle name="20% - Accent4 8" xfId="16178" hidden="1"/>
    <cellStyle name="20% - Accent4 8" xfId="16249" hidden="1"/>
    <cellStyle name="20% - Accent4 8" xfId="16326" hidden="1"/>
    <cellStyle name="20% - Accent4 8" xfId="16404" hidden="1"/>
    <cellStyle name="20% - Accent4 8" xfId="16988" hidden="1"/>
    <cellStyle name="20% - Accent4 8" xfId="17065" hidden="1"/>
    <cellStyle name="20% - Accent4 8" xfId="17144" hidden="1"/>
    <cellStyle name="20% - Accent4 8" xfId="17255" hidden="1"/>
    <cellStyle name="20% - Accent4 8" xfId="16959" hidden="1"/>
    <cellStyle name="20% - Accent4 8" xfId="16852" hidden="1"/>
    <cellStyle name="20% - Accent4 8" xfId="16820" hidden="1"/>
    <cellStyle name="20% - Accent4 8" xfId="17660" hidden="1"/>
    <cellStyle name="20% - Accent4 8" xfId="17738" hidden="1"/>
    <cellStyle name="20% - Accent4 8" xfId="17836" hidden="1"/>
    <cellStyle name="20% - Accent4 8" xfId="16801" hidden="1"/>
    <cellStyle name="20% - Accent4 8" xfId="16884" hidden="1"/>
    <cellStyle name="20% - Accent4 8" xfId="16868" hidden="1"/>
    <cellStyle name="20% - Accent4 8" xfId="18192" hidden="1"/>
    <cellStyle name="20% - Accent4 8" xfId="18270" hidden="1"/>
    <cellStyle name="20% - Accent4 8" xfId="16702" hidden="1"/>
    <cellStyle name="20% - Accent4 8" xfId="18529" hidden="1"/>
    <cellStyle name="20% - Accent4 8" xfId="18607" hidden="1"/>
    <cellStyle name="20% - Accent4 8" xfId="17831" hidden="1"/>
    <cellStyle name="20% - Accent4 8" xfId="18866" hidden="1"/>
    <cellStyle name="20% - Accent4 8" xfId="18970" hidden="1"/>
    <cellStyle name="20% - Accent4 8" xfId="19041" hidden="1"/>
    <cellStyle name="20% - Accent4 8" xfId="19118" hidden="1"/>
    <cellStyle name="20% - Accent4 8" xfId="19196" hidden="1"/>
    <cellStyle name="20% - Accent4 8" xfId="19780" hidden="1"/>
    <cellStyle name="20% - Accent4 8" xfId="19857" hidden="1"/>
    <cellStyle name="20% - Accent4 8" xfId="19936" hidden="1"/>
    <cellStyle name="20% - Accent4 8" xfId="20047" hidden="1"/>
    <cellStyle name="20% - Accent4 8" xfId="19751" hidden="1"/>
    <cellStyle name="20% - Accent4 8" xfId="19644" hidden="1"/>
    <cellStyle name="20% - Accent4 8" xfId="19612" hidden="1"/>
    <cellStyle name="20% - Accent4 8" xfId="20452" hidden="1"/>
    <cellStyle name="20% - Accent4 8" xfId="20530" hidden="1"/>
    <cellStyle name="20% - Accent4 8" xfId="20628" hidden="1"/>
    <cellStyle name="20% - Accent4 8" xfId="19593" hidden="1"/>
    <cellStyle name="20% - Accent4 8" xfId="19676" hidden="1"/>
    <cellStyle name="20% - Accent4 8" xfId="19660" hidden="1"/>
    <cellStyle name="20% - Accent4 8" xfId="20984" hidden="1"/>
    <cellStyle name="20% - Accent4 8" xfId="21062" hidden="1"/>
    <cellStyle name="20% - Accent4 8" xfId="19494" hidden="1"/>
    <cellStyle name="20% - Accent4 8" xfId="21321" hidden="1"/>
    <cellStyle name="20% - Accent4 8" xfId="21399" hidden="1"/>
    <cellStyle name="20% - Accent4 8" xfId="20623" hidden="1"/>
    <cellStyle name="20% - Accent4 8" xfId="21658" hidden="1"/>
    <cellStyle name="20% - Accent4 8" xfId="16013" hidden="1"/>
    <cellStyle name="20% - Accent4 8" xfId="15942" hidden="1"/>
    <cellStyle name="20% - Accent4 8" xfId="15863" hidden="1"/>
    <cellStyle name="20% - Accent4 8" xfId="15780" hidden="1"/>
    <cellStyle name="20% - Accent4 8" xfId="8026" hidden="1"/>
    <cellStyle name="20% - Accent4 8" xfId="7859" hidden="1"/>
    <cellStyle name="20% - Accent4 8" xfId="7609" hidden="1"/>
    <cellStyle name="20% - Accent4 8" xfId="7168" hidden="1"/>
    <cellStyle name="20% - Accent4 8" xfId="8116" hidden="1"/>
    <cellStyle name="20% - Accent4 8" xfId="8429" hidden="1"/>
    <cellStyle name="20% - Accent4 8" xfId="8499" hidden="1"/>
    <cellStyle name="20% - Accent4 8" xfId="5133" hidden="1"/>
    <cellStyle name="20% - Accent4 8" xfId="5029" hidden="1"/>
    <cellStyle name="20% - Accent4 8" xfId="4767" hidden="1"/>
    <cellStyle name="20% - Accent4 8" xfId="8551" hidden="1"/>
    <cellStyle name="20% - Accent4 8" xfId="8365" hidden="1"/>
    <cellStyle name="20% - Accent4 8" xfId="8386" hidden="1"/>
    <cellStyle name="20% - Accent4 8" xfId="2948" hidden="1"/>
    <cellStyle name="20% - Accent4 8" xfId="2824" hidden="1"/>
    <cellStyle name="20% - Accent4 8" xfId="9037" hidden="1"/>
    <cellStyle name="20% - Accent4 8" xfId="1435" hidden="1"/>
    <cellStyle name="20% - Accent4 8" xfId="1206" hidden="1"/>
    <cellStyle name="20% - Accent4 8" xfId="4793" hidden="1"/>
    <cellStyle name="20% - Accent4 8" xfId="21796" hidden="1"/>
    <cellStyle name="20% - Accent4 8" xfId="22329" hidden="1"/>
    <cellStyle name="20% - Accent4 8" xfId="22400" hidden="1"/>
    <cellStyle name="20% - Accent4 8" xfId="22477" hidden="1"/>
    <cellStyle name="20% - Accent4 8" xfId="22555" hidden="1"/>
    <cellStyle name="20% - Accent4 8" xfId="23139" hidden="1"/>
    <cellStyle name="20% - Accent4 8" xfId="23216" hidden="1"/>
    <cellStyle name="20% - Accent4 8" xfId="23295" hidden="1"/>
    <cellStyle name="20% - Accent4 8" xfId="23406" hidden="1"/>
    <cellStyle name="20% - Accent4 8" xfId="23110" hidden="1"/>
    <cellStyle name="20% - Accent4 8" xfId="23003" hidden="1"/>
    <cellStyle name="20% - Accent4 8" xfId="22971" hidden="1"/>
    <cellStyle name="20% - Accent4 8" xfId="23811" hidden="1"/>
    <cellStyle name="20% - Accent4 8" xfId="23889" hidden="1"/>
    <cellStyle name="20% - Accent4 8" xfId="23987" hidden="1"/>
    <cellStyle name="20% - Accent4 8" xfId="22952" hidden="1"/>
    <cellStyle name="20% - Accent4 8" xfId="23035" hidden="1"/>
    <cellStyle name="20% - Accent4 8" xfId="23019" hidden="1"/>
    <cellStyle name="20% - Accent4 8" xfId="24343" hidden="1"/>
    <cellStyle name="20% - Accent4 8" xfId="24421" hidden="1"/>
    <cellStyle name="20% - Accent4 8" xfId="22853" hidden="1"/>
    <cellStyle name="20% - Accent4 8" xfId="24680" hidden="1"/>
    <cellStyle name="20% - Accent4 8" xfId="24758" hidden="1"/>
    <cellStyle name="20% - Accent4 8" xfId="23982" hidden="1"/>
    <cellStyle name="20% - Accent4 8" xfId="25017" hidden="1"/>
    <cellStyle name="20% - Accent4 8" xfId="25121" hidden="1"/>
    <cellStyle name="20% - Accent4 8" xfId="25192" hidden="1"/>
    <cellStyle name="20% - Accent4 8" xfId="25269" hidden="1"/>
    <cellStyle name="20% - Accent4 8" xfId="25347" hidden="1"/>
    <cellStyle name="20% - Accent4 8" xfId="25931" hidden="1"/>
    <cellStyle name="20% - Accent4 8" xfId="26008" hidden="1"/>
    <cellStyle name="20% - Accent4 8" xfId="26087" hidden="1"/>
    <cellStyle name="20% - Accent4 8" xfId="26198" hidden="1"/>
    <cellStyle name="20% - Accent4 8" xfId="25902" hidden="1"/>
    <cellStyle name="20% - Accent4 8" xfId="25795" hidden="1"/>
    <cellStyle name="20% - Accent4 8" xfId="25763" hidden="1"/>
    <cellStyle name="20% - Accent4 8" xfId="26603" hidden="1"/>
    <cellStyle name="20% - Accent4 8" xfId="26681" hidden="1"/>
    <cellStyle name="20% - Accent4 8" xfId="26779" hidden="1"/>
    <cellStyle name="20% - Accent4 8" xfId="25744" hidden="1"/>
    <cellStyle name="20% - Accent4 8" xfId="25827" hidden="1"/>
    <cellStyle name="20% - Accent4 8" xfId="25811" hidden="1"/>
    <cellStyle name="20% - Accent4 8" xfId="27135" hidden="1"/>
    <cellStyle name="20% - Accent4 8" xfId="27213" hidden="1"/>
    <cellStyle name="20% - Accent4 8" xfId="25645" hidden="1"/>
    <cellStyle name="20% - Accent4 8" xfId="27472" hidden="1"/>
    <cellStyle name="20% - Accent4 8" xfId="27550" hidden="1"/>
    <cellStyle name="20% - Accent4 8" xfId="26774" hidden="1"/>
    <cellStyle name="20% - Accent4 8" xfId="27809" hidden="1"/>
    <cellStyle name="20% - Accent4 8" xfId="22266" hidden="1"/>
    <cellStyle name="20% - Accent4 8" xfId="22195" hidden="1"/>
    <cellStyle name="20% - Accent4 8" xfId="22116" hidden="1"/>
    <cellStyle name="20% - Accent4 8" xfId="22033" hidden="1"/>
    <cellStyle name="20% - Accent4 8" xfId="8984" hidden="1"/>
    <cellStyle name="20% - Accent4 8" xfId="8726" hidden="1"/>
    <cellStyle name="20% - Accent4 8" xfId="8487" hidden="1"/>
    <cellStyle name="20% - Accent4 8" xfId="8097" hidden="1"/>
    <cellStyle name="20% - Accent4 8" xfId="9050" hidden="1"/>
    <cellStyle name="20% - Accent4 8" xfId="9480" hidden="1"/>
    <cellStyle name="20% - Accent4 8" xfId="9562" hidden="1"/>
    <cellStyle name="20% - Accent4 8" xfId="5639" hidden="1"/>
    <cellStyle name="20% - Accent4 8" xfId="5540" hidden="1"/>
    <cellStyle name="20% - Accent4 8" xfId="5136" hidden="1"/>
    <cellStyle name="20% - Accent4 8" xfId="9657" hidden="1"/>
    <cellStyle name="20% - Accent4 8" xfId="9390" hidden="1"/>
    <cellStyle name="20% - Accent4 8" xfId="9421" hidden="1"/>
    <cellStyle name="20% - Accent4 8" xfId="3309" hidden="1"/>
    <cellStyle name="20% - Accent4 8" xfId="3106" hidden="1"/>
    <cellStyle name="20% - Accent4 8" xfId="15585" hidden="1"/>
    <cellStyle name="20% - Accent4 8" xfId="1588" hidden="1"/>
    <cellStyle name="20% - Accent4 8" xfId="1395" hidden="1"/>
    <cellStyle name="20% - Accent4 8" xfId="5250" hidden="1"/>
    <cellStyle name="20% - Accent4 8" xfId="27944" hidden="1"/>
    <cellStyle name="20% - Accent4 8" xfId="28048" hidden="1"/>
    <cellStyle name="20% - Accent4 8" xfId="28119" hidden="1"/>
    <cellStyle name="20% - Accent4 8" xfId="28196" hidden="1"/>
    <cellStyle name="20% - Accent4 8" xfId="28274" hidden="1"/>
    <cellStyle name="20% - Accent4 8" xfId="28858" hidden="1"/>
    <cellStyle name="20% - Accent4 8" xfId="28935" hidden="1"/>
    <cellStyle name="20% - Accent4 8" xfId="29014" hidden="1"/>
    <cellStyle name="20% - Accent4 8" xfId="29125" hidden="1"/>
    <cellStyle name="20% - Accent4 8" xfId="28829" hidden="1"/>
    <cellStyle name="20% - Accent4 8" xfId="28722" hidden="1"/>
    <cellStyle name="20% - Accent4 8" xfId="28690" hidden="1"/>
    <cellStyle name="20% - Accent4 8" xfId="29530" hidden="1"/>
    <cellStyle name="20% - Accent4 8" xfId="29608" hidden="1"/>
    <cellStyle name="20% - Accent4 8" xfId="29706" hidden="1"/>
    <cellStyle name="20% - Accent4 8" xfId="28671" hidden="1"/>
    <cellStyle name="20% - Accent4 8" xfId="28754" hidden="1"/>
    <cellStyle name="20% - Accent4 8" xfId="28738" hidden="1"/>
    <cellStyle name="20% - Accent4 8" xfId="30062" hidden="1"/>
    <cellStyle name="20% - Accent4 8" xfId="30140" hidden="1"/>
    <cellStyle name="20% - Accent4 8" xfId="28572" hidden="1"/>
    <cellStyle name="20% - Accent4 8" xfId="30399" hidden="1"/>
    <cellStyle name="20% - Accent4 8" xfId="30477" hidden="1"/>
    <cellStyle name="20% - Accent4 8" xfId="29701" hidden="1"/>
    <cellStyle name="20% - Accent4 8" xfId="30736" hidden="1"/>
    <cellStyle name="20% - Accent4 8" xfId="30840" hidden="1"/>
    <cellStyle name="20% - Accent4 8" xfId="30911" hidden="1"/>
    <cellStyle name="20% - Accent4 8" xfId="30988" hidden="1"/>
    <cellStyle name="20% - Accent4 8" xfId="31066" hidden="1"/>
    <cellStyle name="20% - Accent4 8" xfId="31650" hidden="1"/>
    <cellStyle name="20% - Accent4 8" xfId="31727" hidden="1"/>
    <cellStyle name="20% - Accent4 8" xfId="31806" hidden="1"/>
    <cellStyle name="20% - Accent4 8" xfId="31917" hidden="1"/>
    <cellStyle name="20% - Accent4 8" xfId="31621" hidden="1"/>
    <cellStyle name="20% - Accent4 8" xfId="31514" hidden="1"/>
    <cellStyle name="20% - Accent4 8" xfId="31482" hidden="1"/>
    <cellStyle name="20% - Accent4 8" xfId="32322" hidden="1"/>
    <cellStyle name="20% - Accent4 8" xfId="32400" hidden="1"/>
    <cellStyle name="20% - Accent4 8" xfId="32498" hidden="1"/>
    <cellStyle name="20% - Accent4 8" xfId="31463" hidden="1"/>
    <cellStyle name="20% - Accent4 8" xfId="31546" hidden="1"/>
    <cellStyle name="20% - Accent4 8" xfId="31530" hidden="1"/>
    <cellStyle name="20% - Accent4 8" xfId="32854" hidden="1"/>
    <cellStyle name="20% - Accent4 8" xfId="32932" hidden="1"/>
    <cellStyle name="20% - Accent4 8" xfId="31364" hidden="1"/>
    <cellStyle name="20% - Accent4 8" xfId="33191" hidden="1"/>
    <cellStyle name="20% - Accent4 8" xfId="33269" hidden="1"/>
    <cellStyle name="20% - Accent4 8" xfId="32493" hidden="1"/>
    <cellStyle name="20% - Accent4 8" xfId="33528" hidden="1"/>
    <cellStyle name="20% - Accent4 9" xfId="159" hidden="1"/>
    <cellStyle name="20% - Accent4 9" xfId="239" hidden="1"/>
    <cellStyle name="20% - Accent4 9" xfId="319" hidden="1"/>
    <cellStyle name="20% - Accent4 9" xfId="653" hidden="1"/>
    <cellStyle name="20% - Accent4 9" xfId="2400" hidden="1"/>
    <cellStyle name="20% - Accent4 9" xfId="2551" hidden="1"/>
    <cellStyle name="20% - Accent4 9" xfId="2731" hidden="1"/>
    <cellStyle name="20% - Accent4 9" xfId="3806" hidden="1"/>
    <cellStyle name="20% - Accent4 9" xfId="2125" hidden="1"/>
    <cellStyle name="20% - Accent4 9" xfId="2232" hidden="1"/>
    <cellStyle name="20% - Accent4 9" xfId="4324" hidden="1"/>
    <cellStyle name="20% - Accent4 9" xfId="4569" hidden="1"/>
    <cellStyle name="20% - Accent4 9" xfId="4728" hidden="1"/>
    <cellStyle name="20% - Accent4 9" xfId="5829" hidden="1"/>
    <cellStyle name="20% - Accent4 9" xfId="3834" hidden="1"/>
    <cellStyle name="20% - Accent4 9" xfId="4027" hidden="1"/>
    <cellStyle name="20% - Accent4 9" xfId="6342" hidden="1"/>
    <cellStyle name="20% - Accent4 9" xfId="6449" hidden="1"/>
    <cellStyle name="20% - Accent4 9" xfId="6648" hidden="1"/>
    <cellStyle name="20% - Accent4 9" xfId="7502" hidden="1"/>
    <cellStyle name="20% - Accent4 9" xfId="7655" hidden="1"/>
    <cellStyle name="20% - Accent4 9" xfId="7836" hidden="1"/>
    <cellStyle name="20% - Accent4 9" xfId="8749" hidden="1"/>
    <cellStyle name="20% - Accent4 9" xfId="8926" hidden="1"/>
    <cellStyle name="20% - Accent4 9" xfId="9850" hidden="1"/>
    <cellStyle name="20% - Accent4 9" xfId="9924" hidden="1"/>
    <cellStyle name="20% - Accent4 9" xfId="10000" hidden="1"/>
    <cellStyle name="20% - Accent4 9" xfId="10078" hidden="1"/>
    <cellStyle name="20% - Accent4 9" xfId="10663" hidden="1"/>
    <cellStyle name="20% - Accent4 9" xfId="10739" hidden="1"/>
    <cellStyle name="20% - Accent4 9" xfId="10818" hidden="1"/>
    <cellStyle name="20% - Accent4 9" xfId="11087" hidden="1"/>
    <cellStyle name="20% - Accent4 9" xfId="10553" hidden="1"/>
    <cellStyle name="20% - Accent4 9" xfId="10581" hidden="1"/>
    <cellStyle name="20% - Accent4 9" xfId="11258" hidden="1"/>
    <cellStyle name="20% - Accent4 9" xfId="11334" hidden="1"/>
    <cellStyle name="20% - Accent4 9" xfId="11412" hidden="1"/>
    <cellStyle name="20% - Accent4 9" xfId="11645" hidden="1"/>
    <cellStyle name="20% - Accent4 9" xfId="11102" hidden="1"/>
    <cellStyle name="20% - Accent4 9" xfId="11133" hidden="1"/>
    <cellStyle name="20% - Accent4 9" xfId="11790" hidden="1"/>
    <cellStyle name="20% - Accent4 9" xfId="11866" hidden="1"/>
    <cellStyle name="20% - Accent4 9" xfId="11944" hidden="1"/>
    <cellStyle name="20% - Accent4 9" xfId="12127" hidden="1"/>
    <cellStyle name="20% - Accent4 9" xfId="12203" hidden="1"/>
    <cellStyle name="20% - Accent4 9" xfId="12281" hidden="1"/>
    <cellStyle name="20% - Accent4 9" xfId="12464" hidden="1"/>
    <cellStyle name="20% - Accent4 9" xfId="12540" hidden="1"/>
    <cellStyle name="20% - Accent4 9" xfId="12642" hidden="1"/>
    <cellStyle name="20% - Accent4 9" xfId="12716" hidden="1"/>
    <cellStyle name="20% - Accent4 9" xfId="12792" hidden="1"/>
    <cellStyle name="20% - Accent4 9" xfId="12870" hidden="1"/>
    <cellStyle name="20% - Accent4 9" xfId="13455" hidden="1"/>
    <cellStyle name="20% - Accent4 9" xfId="13531" hidden="1"/>
    <cellStyle name="20% - Accent4 9" xfId="13610" hidden="1"/>
    <cellStyle name="20% - Accent4 9" xfId="13879" hidden="1"/>
    <cellStyle name="20% - Accent4 9" xfId="13345" hidden="1"/>
    <cellStyle name="20% - Accent4 9" xfId="13373" hidden="1"/>
    <cellStyle name="20% - Accent4 9" xfId="14050" hidden="1"/>
    <cellStyle name="20% - Accent4 9" xfId="14126" hidden="1"/>
    <cellStyle name="20% - Accent4 9" xfId="14204" hidden="1"/>
    <cellStyle name="20% - Accent4 9" xfId="14437" hidden="1"/>
    <cellStyle name="20% - Accent4 9" xfId="13894" hidden="1"/>
    <cellStyle name="20% - Accent4 9" xfId="13925" hidden="1"/>
    <cellStyle name="20% - Accent4 9" xfId="14582" hidden="1"/>
    <cellStyle name="20% - Accent4 9" xfId="14658" hidden="1"/>
    <cellStyle name="20% - Accent4 9" xfId="14736" hidden="1"/>
    <cellStyle name="20% - Accent4 9" xfId="14919" hidden="1"/>
    <cellStyle name="20% - Accent4 9" xfId="14995" hidden="1"/>
    <cellStyle name="20% - Accent4 9" xfId="15073" hidden="1"/>
    <cellStyle name="20% - Accent4 9" xfId="15256" hidden="1"/>
    <cellStyle name="20% - Accent4 9" xfId="15332" hidden="1"/>
    <cellStyle name="20% - Accent4 9" xfId="9607" hidden="1"/>
    <cellStyle name="20% - Accent4 9" xfId="9498" hidden="1"/>
    <cellStyle name="20% - Accent4 9" xfId="9379" hidden="1"/>
    <cellStyle name="20% - Accent4 9" xfId="9272" hidden="1"/>
    <cellStyle name="20% - Accent4 9" xfId="7011" hidden="1"/>
    <cellStyle name="20% - Accent4 9" xfId="6923" hidden="1"/>
    <cellStyle name="20% - Accent4 9" xfId="6829" hidden="1"/>
    <cellStyle name="20% - Accent4 9" xfId="5669" hidden="1"/>
    <cellStyle name="20% - Accent4 9" xfId="7392" hidden="1"/>
    <cellStyle name="20% - Accent4 9" xfId="7337" hidden="1"/>
    <cellStyle name="20% - Accent4 9" xfId="4876" hidden="1"/>
    <cellStyle name="20% - Accent4 9" xfId="4703" hidden="1"/>
    <cellStyle name="20% - Accent4 9" xfId="4502" hidden="1"/>
    <cellStyle name="20% - Accent4 9" xfId="3638" hidden="1"/>
    <cellStyle name="20% - Accent4 9" xfId="5635" hidden="1"/>
    <cellStyle name="20% - Accent4 9" xfId="5249" hidden="1"/>
    <cellStyle name="20% - Accent4 9" xfId="2779" hidden="1"/>
    <cellStyle name="20% - Accent4 9" xfId="2533" hidden="1"/>
    <cellStyle name="20% - Accent4 9" xfId="2359" hidden="1"/>
    <cellStyle name="20% - Accent4 9" xfId="1408" hidden="1"/>
    <cellStyle name="20% - Accent4 9" xfId="1218" hidden="1"/>
    <cellStyle name="20% - Accent4 9" xfId="1062" hidden="1"/>
    <cellStyle name="20% - Accent4 9" xfId="100" hidden="1"/>
    <cellStyle name="20% - Accent4 9" xfId="15501" hidden="1"/>
    <cellStyle name="20% - Accent4 9" xfId="16191" hidden="1"/>
    <cellStyle name="20% - Accent4 9" xfId="16265" hidden="1"/>
    <cellStyle name="20% - Accent4 9" xfId="16341" hidden="1"/>
    <cellStyle name="20% - Accent4 9" xfId="16419" hidden="1"/>
    <cellStyle name="20% - Accent4 9" xfId="17004" hidden="1"/>
    <cellStyle name="20% - Accent4 9" xfId="17080" hidden="1"/>
    <cellStyle name="20% - Accent4 9" xfId="17159" hidden="1"/>
    <cellStyle name="20% - Accent4 9" xfId="17428" hidden="1"/>
    <cellStyle name="20% - Accent4 9" xfId="16894" hidden="1"/>
    <cellStyle name="20% - Accent4 9" xfId="16922" hidden="1"/>
    <cellStyle name="20% - Accent4 9" xfId="17599" hidden="1"/>
    <cellStyle name="20% - Accent4 9" xfId="17675" hidden="1"/>
    <cellStyle name="20% - Accent4 9" xfId="17753" hidden="1"/>
    <cellStyle name="20% - Accent4 9" xfId="17986" hidden="1"/>
    <cellStyle name="20% - Accent4 9" xfId="17443" hidden="1"/>
    <cellStyle name="20% - Accent4 9" xfId="17474" hidden="1"/>
    <cellStyle name="20% - Accent4 9" xfId="18131" hidden="1"/>
    <cellStyle name="20% - Accent4 9" xfId="18207" hidden="1"/>
    <cellStyle name="20% - Accent4 9" xfId="18285" hidden="1"/>
    <cellStyle name="20% - Accent4 9" xfId="18468" hidden="1"/>
    <cellStyle name="20% - Accent4 9" xfId="18544" hidden="1"/>
    <cellStyle name="20% - Accent4 9" xfId="18622" hidden="1"/>
    <cellStyle name="20% - Accent4 9" xfId="18805" hidden="1"/>
    <cellStyle name="20% - Accent4 9" xfId="18881" hidden="1"/>
    <cellStyle name="20% - Accent4 9" xfId="18983" hidden="1"/>
    <cellStyle name="20% - Accent4 9" xfId="19057" hidden="1"/>
    <cellStyle name="20% - Accent4 9" xfId="19133" hidden="1"/>
    <cellStyle name="20% - Accent4 9" xfId="19211" hidden="1"/>
    <cellStyle name="20% - Accent4 9" xfId="19796" hidden="1"/>
    <cellStyle name="20% - Accent4 9" xfId="19872" hidden="1"/>
    <cellStyle name="20% - Accent4 9" xfId="19951" hidden="1"/>
    <cellStyle name="20% - Accent4 9" xfId="20220" hidden="1"/>
    <cellStyle name="20% - Accent4 9" xfId="19686" hidden="1"/>
    <cellStyle name="20% - Accent4 9" xfId="19714" hidden="1"/>
    <cellStyle name="20% - Accent4 9" xfId="20391" hidden="1"/>
    <cellStyle name="20% - Accent4 9" xfId="20467" hidden="1"/>
    <cellStyle name="20% - Accent4 9" xfId="20545" hidden="1"/>
    <cellStyle name="20% - Accent4 9" xfId="20778" hidden="1"/>
    <cellStyle name="20% - Accent4 9" xfId="20235" hidden="1"/>
    <cellStyle name="20% - Accent4 9" xfId="20266" hidden="1"/>
    <cellStyle name="20% - Accent4 9" xfId="20923" hidden="1"/>
    <cellStyle name="20% - Accent4 9" xfId="20999" hidden="1"/>
    <cellStyle name="20% - Accent4 9" xfId="21077" hidden="1"/>
    <cellStyle name="20% - Accent4 9" xfId="21260" hidden="1"/>
    <cellStyle name="20% - Accent4 9" xfId="21336" hidden="1"/>
    <cellStyle name="20% - Accent4 9" xfId="21414" hidden="1"/>
    <cellStyle name="20% - Accent4 9" xfId="21597" hidden="1"/>
    <cellStyle name="20% - Accent4 9" xfId="21673" hidden="1"/>
    <cellStyle name="20% - Accent4 9" xfId="16000" hidden="1"/>
    <cellStyle name="20% - Accent4 9" xfId="15926" hidden="1"/>
    <cellStyle name="20% - Accent4 9" xfId="15847" hidden="1"/>
    <cellStyle name="20% - Accent4 9" xfId="15763" hidden="1"/>
    <cellStyle name="20% - Accent4 9" xfId="7993" hidden="1"/>
    <cellStyle name="20% - Accent4 9" xfId="7792" hidden="1"/>
    <cellStyle name="20% - Accent4 9" xfId="7538" hidden="1"/>
    <cellStyle name="20% - Accent4 9" xfId="6163" hidden="1"/>
    <cellStyle name="20% - Accent4 9" xfId="8242" hidden="1"/>
    <cellStyle name="20% - Accent4 9" xfId="8188" hidden="1"/>
    <cellStyle name="20% - Accent4 9" xfId="5312" hidden="1"/>
    <cellStyle name="20% - Accent4 9" xfId="5112" hidden="1"/>
    <cellStyle name="20% - Accent4 9" xfId="5006" hidden="1"/>
    <cellStyle name="20% - Accent4 9" xfId="3820" hidden="1"/>
    <cellStyle name="20% - Accent4 9" xfId="6146" hidden="1"/>
    <cellStyle name="20% - Accent4 9" xfId="5781" hidden="1"/>
    <cellStyle name="20% - Accent4 9" xfId="3069" hidden="1"/>
    <cellStyle name="20% - Accent4 9" xfId="2921" hidden="1"/>
    <cellStyle name="20% - Accent4 9" xfId="2758" hidden="1"/>
    <cellStyle name="20% - Accent4 9" xfId="1556" hidden="1"/>
    <cellStyle name="20% - Accent4 9" xfId="1399" hidden="1"/>
    <cellStyle name="20% - Accent4 9" xfId="1137" hidden="1"/>
    <cellStyle name="20% - Accent4 9" xfId="9803" hidden="1"/>
    <cellStyle name="20% - Accent4 9" xfId="21811" hidden="1"/>
    <cellStyle name="20% - Accent4 9" xfId="22342" hidden="1"/>
    <cellStyle name="20% - Accent4 9" xfId="22416" hidden="1"/>
    <cellStyle name="20% - Accent4 9" xfId="22492" hidden="1"/>
    <cellStyle name="20% - Accent4 9" xfId="22570" hidden="1"/>
    <cellStyle name="20% - Accent4 9" xfId="23155" hidden="1"/>
    <cellStyle name="20% - Accent4 9" xfId="23231" hidden="1"/>
    <cellStyle name="20% - Accent4 9" xfId="23310" hidden="1"/>
    <cellStyle name="20% - Accent4 9" xfId="23579" hidden="1"/>
    <cellStyle name="20% - Accent4 9" xfId="23045" hidden="1"/>
    <cellStyle name="20% - Accent4 9" xfId="23073" hidden="1"/>
    <cellStyle name="20% - Accent4 9" xfId="23750" hidden="1"/>
    <cellStyle name="20% - Accent4 9" xfId="23826" hidden="1"/>
    <cellStyle name="20% - Accent4 9" xfId="23904" hidden="1"/>
    <cellStyle name="20% - Accent4 9" xfId="24137" hidden="1"/>
    <cellStyle name="20% - Accent4 9" xfId="23594" hidden="1"/>
    <cellStyle name="20% - Accent4 9" xfId="23625" hidden="1"/>
    <cellStyle name="20% - Accent4 9" xfId="24282" hidden="1"/>
    <cellStyle name="20% - Accent4 9" xfId="24358" hidden="1"/>
    <cellStyle name="20% - Accent4 9" xfId="24436" hidden="1"/>
    <cellStyle name="20% - Accent4 9" xfId="24619" hidden="1"/>
    <cellStyle name="20% - Accent4 9" xfId="24695" hidden="1"/>
    <cellStyle name="20% - Accent4 9" xfId="24773" hidden="1"/>
    <cellStyle name="20% - Accent4 9" xfId="24956" hidden="1"/>
    <cellStyle name="20% - Accent4 9" xfId="25032" hidden="1"/>
    <cellStyle name="20% - Accent4 9" xfId="25134" hidden="1"/>
    <cellStyle name="20% - Accent4 9" xfId="25208" hidden="1"/>
    <cellStyle name="20% - Accent4 9" xfId="25284" hidden="1"/>
    <cellStyle name="20% - Accent4 9" xfId="25362" hidden="1"/>
    <cellStyle name="20% - Accent4 9" xfId="25947" hidden="1"/>
    <cellStyle name="20% - Accent4 9" xfId="26023" hidden="1"/>
    <cellStyle name="20% - Accent4 9" xfId="26102" hidden="1"/>
    <cellStyle name="20% - Accent4 9" xfId="26371" hidden="1"/>
    <cellStyle name="20% - Accent4 9" xfId="25837" hidden="1"/>
    <cellStyle name="20% - Accent4 9" xfId="25865" hidden="1"/>
    <cellStyle name="20% - Accent4 9" xfId="26542" hidden="1"/>
    <cellStyle name="20% - Accent4 9" xfId="26618" hidden="1"/>
    <cellStyle name="20% - Accent4 9" xfId="26696" hidden="1"/>
    <cellStyle name="20% - Accent4 9" xfId="26929" hidden="1"/>
    <cellStyle name="20% - Accent4 9" xfId="26386" hidden="1"/>
    <cellStyle name="20% - Accent4 9" xfId="26417" hidden="1"/>
    <cellStyle name="20% - Accent4 9" xfId="27074" hidden="1"/>
    <cellStyle name="20% - Accent4 9" xfId="27150" hidden="1"/>
    <cellStyle name="20% - Accent4 9" xfId="27228" hidden="1"/>
    <cellStyle name="20% - Accent4 9" xfId="27411" hidden="1"/>
    <cellStyle name="20% - Accent4 9" xfId="27487" hidden="1"/>
    <cellStyle name="20% - Accent4 9" xfId="27565" hidden="1"/>
    <cellStyle name="20% - Accent4 9" xfId="27748" hidden="1"/>
    <cellStyle name="20% - Accent4 9" xfId="27824" hidden="1"/>
    <cellStyle name="20% - Accent4 9" xfId="22253" hidden="1"/>
    <cellStyle name="20% - Accent4 9" xfId="22179" hidden="1"/>
    <cellStyle name="20% - Accent4 9" xfId="22100" hidden="1"/>
    <cellStyle name="20% - Accent4 9" xfId="22016" hidden="1"/>
    <cellStyle name="20% - Accent4 9" xfId="8899" hidden="1"/>
    <cellStyle name="20% - Accent4 9" xfId="8690" hidden="1"/>
    <cellStyle name="20% - Accent4 9" xfId="8458" hidden="1"/>
    <cellStyle name="20% - Accent4 9" xfId="6736" hidden="1"/>
    <cellStyle name="20% - Accent4 9" xfId="9320" hidden="1"/>
    <cellStyle name="20% - Accent4 9" xfId="9219" hidden="1"/>
    <cellStyle name="20% - Accent4 9" xfId="5865" hidden="1"/>
    <cellStyle name="20% - Accent4 9" xfId="5619" hidden="1"/>
    <cellStyle name="20% - Accent4 9" xfId="5520" hidden="1"/>
    <cellStyle name="20% - Accent4 9" xfId="4005" hidden="1"/>
    <cellStyle name="20% - Accent4 9" xfId="6703" hidden="1"/>
    <cellStyle name="20% - Accent4 9" xfId="6288" hidden="1"/>
    <cellStyle name="20% - Accent4 9" xfId="3384" hidden="1"/>
    <cellStyle name="20% - Accent4 9" xfId="3289" hidden="1"/>
    <cellStyle name="20% - Accent4 9" xfId="3067" hidden="1"/>
    <cellStyle name="20% - Accent4 9" xfId="1682" hidden="1"/>
    <cellStyle name="20% - Accent4 9" xfId="1560" hidden="1"/>
    <cellStyle name="20% - Accent4 9" xfId="1283" hidden="1"/>
    <cellStyle name="20% - Accent4 9" xfId="22296" hidden="1"/>
    <cellStyle name="20% - Accent4 9" xfId="27959" hidden="1"/>
    <cellStyle name="20% - Accent4 9" xfId="28061" hidden="1"/>
    <cellStyle name="20% - Accent4 9" xfId="28135" hidden="1"/>
    <cellStyle name="20% - Accent4 9" xfId="28211" hidden="1"/>
    <cellStyle name="20% - Accent4 9" xfId="28289" hidden="1"/>
    <cellStyle name="20% - Accent4 9" xfId="28874" hidden="1"/>
    <cellStyle name="20% - Accent4 9" xfId="28950" hidden="1"/>
    <cellStyle name="20% - Accent4 9" xfId="29029" hidden="1"/>
    <cellStyle name="20% - Accent4 9" xfId="29298" hidden="1"/>
    <cellStyle name="20% - Accent4 9" xfId="28764" hidden="1"/>
    <cellStyle name="20% - Accent4 9" xfId="28792" hidden="1"/>
    <cellStyle name="20% - Accent4 9" xfId="29469" hidden="1"/>
    <cellStyle name="20% - Accent4 9" xfId="29545" hidden="1"/>
    <cellStyle name="20% - Accent4 9" xfId="29623" hidden="1"/>
    <cellStyle name="20% - Accent4 9" xfId="29856" hidden="1"/>
    <cellStyle name="20% - Accent4 9" xfId="29313" hidden="1"/>
    <cellStyle name="20% - Accent4 9" xfId="29344" hidden="1"/>
    <cellStyle name="20% - Accent4 9" xfId="30001" hidden="1"/>
    <cellStyle name="20% - Accent4 9" xfId="30077" hidden="1"/>
    <cellStyle name="20% - Accent4 9" xfId="30155" hidden="1"/>
    <cellStyle name="20% - Accent4 9" xfId="30338" hidden="1"/>
    <cellStyle name="20% - Accent4 9" xfId="30414" hidden="1"/>
    <cellStyle name="20% - Accent4 9" xfId="30492" hidden="1"/>
    <cellStyle name="20% - Accent4 9" xfId="30675" hidden="1"/>
    <cellStyle name="20% - Accent4 9" xfId="30751" hidden="1"/>
    <cellStyle name="20% - Accent4 9" xfId="30853" hidden="1"/>
    <cellStyle name="20% - Accent4 9" xfId="30927" hidden="1"/>
    <cellStyle name="20% - Accent4 9" xfId="31003" hidden="1"/>
    <cellStyle name="20% - Accent4 9" xfId="31081" hidden="1"/>
    <cellStyle name="20% - Accent4 9" xfId="31666" hidden="1"/>
    <cellStyle name="20% - Accent4 9" xfId="31742" hidden="1"/>
    <cellStyle name="20% - Accent4 9" xfId="31821" hidden="1"/>
    <cellStyle name="20% - Accent4 9" xfId="32090" hidden="1"/>
    <cellStyle name="20% - Accent4 9" xfId="31556" hidden="1"/>
    <cellStyle name="20% - Accent4 9" xfId="31584" hidden="1"/>
    <cellStyle name="20% - Accent4 9" xfId="32261" hidden="1"/>
    <cellStyle name="20% - Accent4 9" xfId="32337" hidden="1"/>
    <cellStyle name="20% - Accent4 9" xfId="32415" hidden="1"/>
    <cellStyle name="20% - Accent4 9" xfId="32648" hidden="1"/>
    <cellStyle name="20% - Accent4 9" xfId="32105" hidden="1"/>
    <cellStyle name="20% - Accent4 9" xfId="32136" hidden="1"/>
    <cellStyle name="20% - Accent4 9" xfId="32793" hidden="1"/>
    <cellStyle name="20% - Accent4 9" xfId="32869" hidden="1"/>
    <cellStyle name="20% - Accent4 9" xfId="32947" hidden="1"/>
    <cellStyle name="20% - Accent4 9" xfId="33130" hidden="1"/>
    <cellStyle name="20% - Accent4 9" xfId="33206" hidden="1"/>
    <cellStyle name="20% - Accent4 9" xfId="33284" hidden="1"/>
    <cellStyle name="20% - Accent4 9" xfId="33467" hidden="1"/>
    <cellStyle name="20% - Accent4 9" xfId="33543" hidden="1"/>
    <cellStyle name="20% - Accent5" xfId="39" builtinId="46" hidden="1"/>
    <cellStyle name="20% - Accent5" xfId="83" builtinId="46" hidden="1" customBuiltin="1"/>
    <cellStyle name="20% - Accent5 10" xfId="187" hidden="1"/>
    <cellStyle name="20% - Accent5 10" xfId="267" hidden="1"/>
    <cellStyle name="20% - Accent5 10" xfId="394" hidden="1"/>
    <cellStyle name="20% - Accent5 10" xfId="719" hidden="1"/>
    <cellStyle name="20% - Accent5 10" xfId="2434" hidden="1"/>
    <cellStyle name="20% - Accent5 10" xfId="2587" hidden="1"/>
    <cellStyle name="20% - Accent5 10" xfId="2790" hidden="1"/>
    <cellStyle name="20% - Accent5 10" xfId="2863" hidden="1"/>
    <cellStyle name="20% - Accent5 10" xfId="2037" hidden="1"/>
    <cellStyle name="20% - Accent5 10" xfId="2042" hidden="1"/>
    <cellStyle name="20% - Accent5 10" xfId="4396" hidden="1"/>
    <cellStyle name="20% - Accent5 10" xfId="4604" hidden="1"/>
    <cellStyle name="20% - Accent5 10" xfId="4768" hidden="1"/>
    <cellStyle name="20% - Accent5 10" xfId="4846" hidden="1"/>
    <cellStyle name="20% - Accent5 10" xfId="1786" hidden="1"/>
    <cellStyle name="20% - Accent5 10" xfId="1717" hidden="1"/>
    <cellStyle name="20% - Accent5 10" xfId="6377" hidden="1"/>
    <cellStyle name="20% - Accent5 10" xfId="6482" hidden="1"/>
    <cellStyle name="20% - Accent5 10" xfId="6679" hidden="1"/>
    <cellStyle name="20% - Accent5 10" xfId="7553" hidden="1"/>
    <cellStyle name="20% - Accent5 10" xfId="7694" hidden="1"/>
    <cellStyle name="20% - Accent5 10" xfId="7873" hidden="1"/>
    <cellStyle name="20% - Accent5 10" xfId="8792" hidden="1"/>
    <cellStyle name="20% - Accent5 10" xfId="8963" hidden="1"/>
    <cellStyle name="20% - Accent5 10" xfId="9878" hidden="1"/>
    <cellStyle name="20% - Accent5 10" xfId="9952" hidden="1"/>
    <cellStyle name="20% - Accent5 10" xfId="10028" hidden="1"/>
    <cellStyle name="20% - Accent5 10" xfId="10106" hidden="1"/>
    <cellStyle name="20% - Accent5 10" xfId="10691" hidden="1"/>
    <cellStyle name="20% - Accent5 10" xfId="10767" hidden="1"/>
    <cellStyle name="20% - Accent5 10" xfId="10846" hidden="1"/>
    <cellStyle name="20% - Accent5 10" xfId="10881" hidden="1"/>
    <cellStyle name="20% - Accent5 10" xfId="10504" hidden="1"/>
    <cellStyle name="20% - Accent5 10" xfId="10508" hidden="1"/>
    <cellStyle name="20% - Accent5 10" xfId="11286" hidden="1"/>
    <cellStyle name="20% - Accent5 10" xfId="11362" hidden="1"/>
    <cellStyle name="20% - Accent5 10" xfId="11440" hidden="1"/>
    <cellStyle name="20% - Accent5 10" xfId="11469" hidden="1"/>
    <cellStyle name="20% - Accent5 10" xfId="10415" hidden="1"/>
    <cellStyle name="20% - Accent5 10" xfId="10394" hidden="1"/>
    <cellStyle name="20% - Accent5 10" xfId="11818" hidden="1"/>
    <cellStyle name="20% - Accent5 10" xfId="11894" hidden="1"/>
    <cellStyle name="20% - Accent5 10" xfId="11972" hidden="1"/>
    <cellStyle name="20% - Accent5 10" xfId="12155" hidden="1"/>
    <cellStyle name="20% - Accent5 10" xfId="12231" hidden="1"/>
    <cellStyle name="20% - Accent5 10" xfId="12309" hidden="1"/>
    <cellStyle name="20% - Accent5 10" xfId="12492" hidden="1"/>
    <cellStyle name="20% - Accent5 10" xfId="12568" hidden="1"/>
    <cellStyle name="20% - Accent5 10" xfId="12670" hidden="1"/>
    <cellStyle name="20% - Accent5 10" xfId="12744" hidden="1"/>
    <cellStyle name="20% - Accent5 10" xfId="12820" hidden="1"/>
    <cellStyle name="20% - Accent5 10" xfId="12898" hidden="1"/>
    <cellStyle name="20% - Accent5 10" xfId="13483" hidden="1"/>
    <cellStyle name="20% - Accent5 10" xfId="13559" hidden="1"/>
    <cellStyle name="20% - Accent5 10" xfId="13638" hidden="1"/>
    <cellStyle name="20% - Accent5 10" xfId="13673" hidden="1"/>
    <cellStyle name="20% - Accent5 10" xfId="13296" hidden="1"/>
    <cellStyle name="20% - Accent5 10" xfId="13300" hidden="1"/>
    <cellStyle name="20% - Accent5 10" xfId="14078" hidden="1"/>
    <cellStyle name="20% - Accent5 10" xfId="14154" hidden="1"/>
    <cellStyle name="20% - Accent5 10" xfId="14232" hidden="1"/>
    <cellStyle name="20% - Accent5 10" xfId="14261" hidden="1"/>
    <cellStyle name="20% - Accent5 10" xfId="13207" hidden="1"/>
    <cellStyle name="20% - Accent5 10" xfId="13186" hidden="1"/>
    <cellStyle name="20% - Accent5 10" xfId="14610" hidden="1"/>
    <cellStyle name="20% - Accent5 10" xfId="14686" hidden="1"/>
    <cellStyle name="20% - Accent5 10" xfId="14764" hidden="1"/>
    <cellStyle name="20% - Accent5 10" xfId="14947" hidden="1"/>
    <cellStyle name="20% - Accent5 10" xfId="15023" hidden="1"/>
    <cellStyle name="20% - Accent5 10" xfId="15101" hidden="1"/>
    <cellStyle name="20% - Accent5 10" xfId="15284" hidden="1"/>
    <cellStyle name="20% - Accent5 10" xfId="15360" hidden="1"/>
    <cellStyle name="20% - Accent5 10" xfId="9572" hidden="1"/>
    <cellStyle name="20% - Accent5 10" xfId="9459" hidden="1"/>
    <cellStyle name="20% - Accent5 10" xfId="9346" hidden="1"/>
    <cellStyle name="20% - Accent5 10" xfId="9230" hidden="1"/>
    <cellStyle name="20% - Accent5 10" xfId="6978" hidden="1"/>
    <cellStyle name="20% - Accent5 10" xfId="6892" hidden="1"/>
    <cellStyle name="20% - Accent5 10" xfId="6798" hidden="1"/>
    <cellStyle name="20% - Accent5 10" xfId="6726" hidden="1"/>
    <cellStyle name="20% - Accent5 10" xfId="7532" hidden="1"/>
    <cellStyle name="20% - Accent5 10" xfId="7494" hidden="1"/>
    <cellStyle name="20% - Accent5 10" xfId="4832" hidden="1"/>
    <cellStyle name="20% - Accent5 10" xfId="4667" hidden="1"/>
    <cellStyle name="20% - Accent5 10" xfId="4399" hidden="1"/>
    <cellStyle name="20% - Accent5 10" xfId="4298" hidden="1"/>
    <cellStyle name="20% - Accent5 10" xfId="7930" hidden="1"/>
    <cellStyle name="20% - Accent5 10" xfId="8011" hidden="1"/>
    <cellStyle name="20% - Accent5 10" xfId="2696" hidden="1"/>
    <cellStyle name="20% - Accent5 10" xfId="2499" hidden="1"/>
    <cellStyle name="20% - Accent5 10" xfId="2319" hidden="1"/>
    <cellStyle name="20% - Accent5 10" xfId="1355" hidden="1"/>
    <cellStyle name="20% - Accent5 10" xfId="1174" hidden="1"/>
    <cellStyle name="20% - Accent5 10" xfId="931" hidden="1"/>
    <cellStyle name="20% - Accent5 10" xfId="15427" hidden="1"/>
    <cellStyle name="20% - Accent5 10" xfId="15535" hidden="1"/>
    <cellStyle name="20% - Accent5 10" xfId="16219" hidden="1"/>
    <cellStyle name="20% - Accent5 10" xfId="16293" hidden="1"/>
    <cellStyle name="20% - Accent5 10" xfId="16369" hidden="1"/>
    <cellStyle name="20% - Accent5 10" xfId="16447" hidden="1"/>
    <cellStyle name="20% - Accent5 10" xfId="17032" hidden="1"/>
    <cellStyle name="20% - Accent5 10" xfId="17108" hidden="1"/>
    <cellStyle name="20% - Accent5 10" xfId="17187" hidden="1"/>
    <cellStyle name="20% - Accent5 10" xfId="17222" hidden="1"/>
    <cellStyle name="20% - Accent5 10" xfId="16845" hidden="1"/>
    <cellStyle name="20% - Accent5 10" xfId="16849" hidden="1"/>
    <cellStyle name="20% - Accent5 10" xfId="17627" hidden="1"/>
    <cellStyle name="20% - Accent5 10" xfId="17703" hidden="1"/>
    <cellStyle name="20% - Accent5 10" xfId="17781" hidden="1"/>
    <cellStyle name="20% - Accent5 10" xfId="17810" hidden="1"/>
    <cellStyle name="20% - Accent5 10" xfId="16756" hidden="1"/>
    <cellStyle name="20% - Accent5 10" xfId="16735" hidden="1"/>
    <cellStyle name="20% - Accent5 10" xfId="18159" hidden="1"/>
    <cellStyle name="20% - Accent5 10" xfId="18235" hidden="1"/>
    <cellStyle name="20% - Accent5 10" xfId="18313" hidden="1"/>
    <cellStyle name="20% - Accent5 10" xfId="18496" hidden="1"/>
    <cellStyle name="20% - Accent5 10" xfId="18572" hidden="1"/>
    <cellStyle name="20% - Accent5 10" xfId="18650" hidden="1"/>
    <cellStyle name="20% - Accent5 10" xfId="18833" hidden="1"/>
    <cellStyle name="20% - Accent5 10" xfId="18909" hidden="1"/>
    <cellStyle name="20% - Accent5 10" xfId="19011" hidden="1"/>
    <cellStyle name="20% - Accent5 10" xfId="19085" hidden="1"/>
    <cellStyle name="20% - Accent5 10" xfId="19161" hidden="1"/>
    <cellStyle name="20% - Accent5 10" xfId="19239" hidden="1"/>
    <cellStyle name="20% - Accent5 10" xfId="19824" hidden="1"/>
    <cellStyle name="20% - Accent5 10" xfId="19900" hidden="1"/>
    <cellStyle name="20% - Accent5 10" xfId="19979" hidden="1"/>
    <cellStyle name="20% - Accent5 10" xfId="20014" hidden="1"/>
    <cellStyle name="20% - Accent5 10" xfId="19637" hidden="1"/>
    <cellStyle name="20% - Accent5 10" xfId="19641" hidden="1"/>
    <cellStyle name="20% - Accent5 10" xfId="20419" hidden="1"/>
    <cellStyle name="20% - Accent5 10" xfId="20495" hidden="1"/>
    <cellStyle name="20% - Accent5 10" xfId="20573" hidden="1"/>
    <cellStyle name="20% - Accent5 10" xfId="20602" hidden="1"/>
    <cellStyle name="20% - Accent5 10" xfId="19548" hidden="1"/>
    <cellStyle name="20% - Accent5 10" xfId="19527" hidden="1"/>
    <cellStyle name="20% - Accent5 10" xfId="20951" hidden="1"/>
    <cellStyle name="20% - Accent5 10" xfId="21027" hidden="1"/>
    <cellStyle name="20% - Accent5 10" xfId="21105" hidden="1"/>
    <cellStyle name="20% - Accent5 10" xfId="21288" hidden="1"/>
    <cellStyle name="20% - Accent5 10" xfId="21364" hidden="1"/>
    <cellStyle name="20% - Accent5 10" xfId="21442" hidden="1"/>
    <cellStyle name="20% - Accent5 10" xfId="21625" hidden="1"/>
    <cellStyle name="20% - Accent5 10" xfId="21701" hidden="1"/>
    <cellStyle name="20% - Accent5 10" xfId="15972" hidden="1"/>
    <cellStyle name="20% - Accent5 10" xfId="15898" hidden="1"/>
    <cellStyle name="20% - Accent5 10" xfId="15817" hidden="1"/>
    <cellStyle name="20% - Accent5 10" xfId="15731" hidden="1"/>
    <cellStyle name="20% - Accent5 10" xfId="7950" hidden="1"/>
    <cellStyle name="20% - Accent5 10" xfId="7744" hidden="1"/>
    <cellStyle name="20% - Accent5 10" xfId="7464" hidden="1"/>
    <cellStyle name="20% - Accent5 10" xfId="7387" hidden="1"/>
    <cellStyle name="20% - Accent5 10" xfId="8449" hidden="1"/>
    <cellStyle name="20% - Accent5 10" xfId="8432" hidden="1"/>
    <cellStyle name="20% - Accent5 10" xfId="5280" hidden="1"/>
    <cellStyle name="20% - Accent5 10" xfId="5079" hidden="1"/>
    <cellStyle name="20% - Accent5 10" xfId="4972" hidden="1"/>
    <cellStyle name="20% - Accent5 10" xfId="4921" hidden="1"/>
    <cellStyle name="20% - Accent5 10" xfId="8806" hidden="1"/>
    <cellStyle name="20% - Accent5 10" xfId="8917" hidden="1"/>
    <cellStyle name="20% - Accent5 10" xfId="3015" hidden="1"/>
    <cellStyle name="20% - Accent5 10" xfId="2883" hidden="1"/>
    <cellStyle name="20% - Accent5 10" xfId="2656" hidden="1"/>
    <cellStyle name="20% - Accent5 10" xfId="1511" hidden="1"/>
    <cellStyle name="20% - Accent5 10" xfId="1323" hidden="1"/>
    <cellStyle name="20% - Accent5 10" xfId="1096" hidden="1"/>
    <cellStyle name="20% - Accent5 10" xfId="21761" hidden="1"/>
    <cellStyle name="20% - Accent5 10" xfId="21841" hidden="1"/>
    <cellStyle name="20% - Accent5 10" xfId="22370" hidden="1"/>
    <cellStyle name="20% - Accent5 10" xfId="22444" hidden="1"/>
    <cellStyle name="20% - Accent5 10" xfId="22520" hidden="1"/>
    <cellStyle name="20% - Accent5 10" xfId="22598" hidden="1"/>
    <cellStyle name="20% - Accent5 10" xfId="23183" hidden="1"/>
    <cellStyle name="20% - Accent5 10" xfId="23259" hidden="1"/>
    <cellStyle name="20% - Accent5 10" xfId="23338" hidden="1"/>
    <cellStyle name="20% - Accent5 10" xfId="23373" hidden="1"/>
    <cellStyle name="20% - Accent5 10" xfId="22996" hidden="1"/>
    <cellStyle name="20% - Accent5 10" xfId="23000" hidden="1"/>
    <cellStyle name="20% - Accent5 10" xfId="23778" hidden="1"/>
    <cellStyle name="20% - Accent5 10" xfId="23854" hidden="1"/>
    <cellStyle name="20% - Accent5 10" xfId="23932" hidden="1"/>
    <cellStyle name="20% - Accent5 10" xfId="23961" hidden="1"/>
    <cellStyle name="20% - Accent5 10" xfId="22907" hidden="1"/>
    <cellStyle name="20% - Accent5 10" xfId="22886" hidden="1"/>
    <cellStyle name="20% - Accent5 10" xfId="24310" hidden="1"/>
    <cellStyle name="20% - Accent5 10" xfId="24386" hidden="1"/>
    <cellStyle name="20% - Accent5 10" xfId="24464" hidden="1"/>
    <cellStyle name="20% - Accent5 10" xfId="24647" hidden="1"/>
    <cellStyle name="20% - Accent5 10" xfId="24723" hidden="1"/>
    <cellStyle name="20% - Accent5 10" xfId="24801" hidden="1"/>
    <cellStyle name="20% - Accent5 10" xfId="24984" hidden="1"/>
    <cellStyle name="20% - Accent5 10" xfId="25060" hidden="1"/>
    <cellStyle name="20% - Accent5 10" xfId="25162" hidden="1"/>
    <cellStyle name="20% - Accent5 10" xfId="25236" hidden="1"/>
    <cellStyle name="20% - Accent5 10" xfId="25312" hidden="1"/>
    <cellStyle name="20% - Accent5 10" xfId="25390" hidden="1"/>
    <cellStyle name="20% - Accent5 10" xfId="25975" hidden="1"/>
    <cellStyle name="20% - Accent5 10" xfId="26051" hidden="1"/>
    <cellStyle name="20% - Accent5 10" xfId="26130" hidden="1"/>
    <cellStyle name="20% - Accent5 10" xfId="26165" hidden="1"/>
    <cellStyle name="20% - Accent5 10" xfId="25788" hidden="1"/>
    <cellStyle name="20% - Accent5 10" xfId="25792" hidden="1"/>
    <cellStyle name="20% - Accent5 10" xfId="26570" hidden="1"/>
    <cellStyle name="20% - Accent5 10" xfId="26646" hidden="1"/>
    <cellStyle name="20% - Accent5 10" xfId="26724" hidden="1"/>
    <cellStyle name="20% - Accent5 10" xfId="26753" hidden="1"/>
    <cellStyle name="20% - Accent5 10" xfId="25699" hidden="1"/>
    <cellStyle name="20% - Accent5 10" xfId="25678" hidden="1"/>
    <cellStyle name="20% - Accent5 10" xfId="27102" hidden="1"/>
    <cellStyle name="20% - Accent5 10" xfId="27178" hidden="1"/>
    <cellStyle name="20% - Accent5 10" xfId="27256" hidden="1"/>
    <cellStyle name="20% - Accent5 10" xfId="27439" hidden="1"/>
    <cellStyle name="20% - Accent5 10" xfId="27515" hidden="1"/>
    <cellStyle name="20% - Accent5 10" xfId="27593" hidden="1"/>
    <cellStyle name="20% - Accent5 10" xfId="27776" hidden="1"/>
    <cellStyle name="20% - Accent5 10" xfId="27852" hidden="1"/>
    <cellStyle name="20% - Accent5 10" xfId="22225" hidden="1"/>
    <cellStyle name="20% - Accent5 10" xfId="22151" hidden="1"/>
    <cellStyle name="20% - Accent5 10" xfId="22070" hidden="1"/>
    <cellStyle name="20% - Accent5 10" xfId="21987" hidden="1"/>
    <cellStyle name="20% - Accent5 10" xfId="8849" hidden="1"/>
    <cellStyle name="20% - Accent5 10" xfId="8554" hidden="1"/>
    <cellStyle name="20% - Accent5 10" xfId="8414" hidden="1"/>
    <cellStyle name="20% - Accent5 10" xfId="8240" hidden="1"/>
    <cellStyle name="20% - Accent5 10" xfId="9509" hidden="1"/>
    <cellStyle name="20% - Accent5 10" xfId="9487" hidden="1"/>
    <cellStyle name="20% - Accent5 10" xfId="5826" hidden="1"/>
    <cellStyle name="20% - Accent5 10" xfId="5586" hidden="1"/>
    <cellStyle name="20% - Accent5 10" xfId="5490" hidden="1"/>
    <cellStyle name="20% - Accent5 10" xfId="5450" hidden="1"/>
    <cellStyle name="20% - Accent5 10" xfId="15439" hidden="1"/>
    <cellStyle name="20% - Accent5 10" xfId="15493" hidden="1"/>
    <cellStyle name="20% - Accent5 10" xfId="3348" hidden="1"/>
    <cellStyle name="20% - Accent5 10" xfId="3156" hidden="1"/>
    <cellStyle name="20% - Accent5 10" xfId="2985" hidden="1"/>
    <cellStyle name="20% - Accent5 10" xfId="1643" hidden="1"/>
    <cellStyle name="20% - Accent5 10" xfId="1488" hidden="1"/>
    <cellStyle name="20% - Accent5 10" xfId="1234" hidden="1"/>
    <cellStyle name="20% - Accent5 10" xfId="27911" hidden="1"/>
    <cellStyle name="20% - Accent5 10" xfId="27987" hidden="1"/>
    <cellStyle name="20% - Accent5 10" xfId="28089" hidden="1"/>
    <cellStyle name="20% - Accent5 10" xfId="28163" hidden="1"/>
    <cellStyle name="20% - Accent5 10" xfId="28239" hidden="1"/>
    <cellStyle name="20% - Accent5 10" xfId="28317" hidden="1"/>
    <cellStyle name="20% - Accent5 10" xfId="28902" hidden="1"/>
    <cellStyle name="20% - Accent5 10" xfId="28978" hidden="1"/>
    <cellStyle name="20% - Accent5 10" xfId="29057" hidden="1"/>
    <cellStyle name="20% - Accent5 10" xfId="29092" hidden="1"/>
    <cellStyle name="20% - Accent5 10" xfId="28715" hidden="1"/>
    <cellStyle name="20% - Accent5 10" xfId="28719" hidden="1"/>
    <cellStyle name="20% - Accent5 10" xfId="29497" hidden="1"/>
    <cellStyle name="20% - Accent5 10" xfId="29573" hidden="1"/>
    <cellStyle name="20% - Accent5 10" xfId="29651" hidden="1"/>
    <cellStyle name="20% - Accent5 10" xfId="29680" hidden="1"/>
    <cellStyle name="20% - Accent5 10" xfId="28626" hidden="1"/>
    <cellStyle name="20% - Accent5 10" xfId="28605" hidden="1"/>
    <cellStyle name="20% - Accent5 10" xfId="30029" hidden="1"/>
    <cellStyle name="20% - Accent5 10" xfId="30105" hidden="1"/>
    <cellStyle name="20% - Accent5 10" xfId="30183" hidden="1"/>
    <cellStyle name="20% - Accent5 10" xfId="30366" hidden="1"/>
    <cellStyle name="20% - Accent5 10" xfId="30442" hidden="1"/>
    <cellStyle name="20% - Accent5 10" xfId="30520" hidden="1"/>
    <cellStyle name="20% - Accent5 10" xfId="30703" hidden="1"/>
    <cellStyle name="20% - Accent5 10" xfId="30779" hidden="1"/>
    <cellStyle name="20% - Accent5 10" xfId="30881" hidden="1"/>
    <cellStyle name="20% - Accent5 10" xfId="30955" hidden="1"/>
    <cellStyle name="20% - Accent5 10" xfId="31031" hidden="1"/>
    <cellStyle name="20% - Accent5 10" xfId="31109" hidden="1"/>
    <cellStyle name="20% - Accent5 10" xfId="31694" hidden="1"/>
    <cellStyle name="20% - Accent5 10" xfId="31770" hidden="1"/>
    <cellStyle name="20% - Accent5 10" xfId="31849" hidden="1"/>
    <cellStyle name="20% - Accent5 10" xfId="31884" hidden="1"/>
    <cellStyle name="20% - Accent5 10" xfId="31507" hidden="1"/>
    <cellStyle name="20% - Accent5 10" xfId="31511" hidden="1"/>
    <cellStyle name="20% - Accent5 10" xfId="32289" hidden="1"/>
    <cellStyle name="20% - Accent5 10" xfId="32365" hidden="1"/>
    <cellStyle name="20% - Accent5 10" xfId="32443" hidden="1"/>
    <cellStyle name="20% - Accent5 10" xfId="32472" hidden="1"/>
    <cellStyle name="20% - Accent5 10" xfId="31418" hidden="1"/>
    <cellStyle name="20% - Accent5 10" xfId="31397" hidden="1"/>
    <cellStyle name="20% - Accent5 10" xfId="32821" hidden="1"/>
    <cellStyle name="20% - Accent5 10" xfId="32897" hidden="1"/>
    <cellStyle name="20% - Accent5 10" xfId="32975" hidden="1"/>
    <cellStyle name="20% - Accent5 10" xfId="33158" hidden="1"/>
    <cellStyle name="20% - Accent5 10" xfId="33234" hidden="1"/>
    <cellStyle name="20% - Accent5 10" xfId="33312" hidden="1"/>
    <cellStyle name="20% - Accent5 10" xfId="33495" hidden="1"/>
    <cellStyle name="20% - Accent5 10" xfId="33571" hidden="1"/>
    <cellStyle name="20% - Accent5 11" xfId="203" hidden="1"/>
    <cellStyle name="20% - Accent5 11" xfId="281" hidden="1"/>
    <cellStyle name="20% - Accent5 11" xfId="428" hidden="1"/>
    <cellStyle name="20% - Accent5 11" xfId="737" hidden="1"/>
    <cellStyle name="20% - Accent5 11" xfId="2452" hidden="1"/>
    <cellStyle name="20% - Accent5 11" xfId="2604" hidden="1"/>
    <cellStyle name="20% - Accent5 11" xfId="2811" hidden="1"/>
    <cellStyle name="20% - Accent5 11" xfId="3164" hidden="1"/>
    <cellStyle name="20% - Accent5 11" xfId="1880" hidden="1"/>
    <cellStyle name="20% - Accent5 11" xfId="1863" hidden="1"/>
    <cellStyle name="20% - Accent5 11" xfId="4431" hidden="1"/>
    <cellStyle name="20% - Accent5 11" xfId="4621" hidden="1"/>
    <cellStyle name="20% - Accent5 11" xfId="4782" hidden="1"/>
    <cellStyle name="20% - Accent5 11" xfId="5019" hidden="1"/>
    <cellStyle name="20% - Accent5 11" xfId="3615" hidden="1"/>
    <cellStyle name="20% - Accent5 11" xfId="2050" hidden="1"/>
    <cellStyle name="20% - Accent5 11" xfId="6393" hidden="1"/>
    <cellStyle name="20% - Accent5 11" xfId="6498" hidden="1"/>
    <cellStyle name="20% - Accent5 11" xfId="6695" hidden="1"/>
    <cellStyle name="20% - Accent5 11" xfId="7574" hidden="1"/>
    <cellStyle name="20% - Accent5 11" xfId="7717" hidden="1"/>
    <cellStyle name="20% - Accent5 11" xfId="7891" hidden="1"/>
    <cellStyle name="20% - Accent5 11" xfId="8813" hidden="1"/>
    <cellStyle name="20% - Accent5 11" xfId="8982" hidden="1"/>
    <cellStyle name="20% - Accent5 11" xfId="9891" hidden="1"/>
    <cellStyle name="20% - Accent5 11" xfId="9966" hidden="1"/>
    <cellStyle name="20% - Accent5 11" xfId="10041" hidden="1"/>
    <cellStyle name="20% - Accent5 11" xfId="10119" hidden="1"/>
    <cellStyle name="20% - Accent5 11" xfId="10705" hidden="1"/>
    <cellStyle name="20% - Accent5 11" xfId="10780" hidden="1"/>
    <cellStyle name="20% - Accent5 11" xfId="10859" hidden="1"/>
    <cellStyle name="20% - Accent5 11" xfId="10940" hidden="1"/>
    <cellStyle name="20% - Accent5 11" xfId="10454" hidden="1"/>
    <cellStyle name="20% - Accent5 11" xfId="10438" hidden="1"/>
    <cellStyle name="20% - Accent5 11" xfId="11300" hidden="1"/>
    <cellStyle name="20% - Accent5 11" xfId="11375" hidden="1"/>
    <cellStyle name="20% - Accent5 11" xfId="11453" hidden="1"/>
    <cellStyle name="20% - Accent5 11" xfId="11511" hidden="1"/>
    <cellStyle name="20% - Accent5 11" xfId="11060" hidden="1"/>
    <cellStyle name="20% - Accent5 11" xfId="10516" hidden="1"/>
    <cellStyle name="20% - Accent5 11" xfId="11832" hidden="1"/>
    <cellStyle name="20% - Accent5 11" xfId="11907" hidden="1"/>
    <cellStyle name="20% - Accent5 11" xfId="11985" hidden="1"/>
    <cellStyle name="20% - Accent5 11" xfId="12169" hidden="1"/>
    <cellStyle name="20% - Accent5 11" xfId="12244" hidden="1"/>
    <cellStyle name="20% - Accent5 11" xfId="12322" hidden="1"/>
    <cellStyle name="20% - Accent5 11" xfId="12506" hidden="1"/>
    <cellStyle name="20% - Accent5 11" xfId="12581" hidden="1"/>
    <cellStyle name="20% - Accent5 11" xfId="12683" hidden="1"/>
    <cellStyle name="20% - Accent5 11" xfId="12758" hidden="1"/>
    <cellStyle name="20% - Accent5 11" xfId="12833" hidden="1"/>
    <cellStyle name="20% - Accent5 11" xfId="12911" hidden="1"/>
    <cellStyle name="20% - Accent5 11" xfId="13497" hidden="1"/>
    <cellStyle name="20% - Accent5 11" xfId="13572" hidden="1"/>
    <cellStyle name="20% - Accent5 11" xfId="13651" hidden="1"/>
    <cellStyle name="20% - Accent5 11" xfId="13732" hidden="1"/>
    <cellStyle name="20% - Accent5 11" xfId="13246" hidden="1"/>
    <cellStyle name="20% - Accent5 11" xfId="13230" hidden="1"/>
    <cellStyle name="20% - Accent5 11" xfId="14092" hidden="1"/>
    <cellStyle name="20% - Accent5 11" xfId="14167" hidden="1"/>
    <cellStyle name="20% - Accent5 11" xfId="14245" hidden="1"/>
    <cellStyle name="20% - Accent5 11" xfId="14303" hidden="1"/>
    <cellStyle name="20% - Accent5 11" xfId="13852" hidden="1"/>
    <cellStyle name="20% - Accent5 11" xfId="13308" hidden="1"/>
    <cellStyle name="20% - Accent5 11" xfId="14624" hidden="1"/>
    <cellStyle name="20% - Accent5 11" xfId="14699" hidden="1"/>
    <cellStyle name="20% - Accent5 11" xfId="14777" hidden="1"/>
    <cellStyle name="20% - Accent5 11" xfId="14961" hidden="1"/>
    <cellStyle name="20% - Accent5 11" xfId="15036" hidden="1"/>
    <cellStyle name="20% - Accent5 11" xfId="15114" hidden="1"/>
    <cellStyle name="20% - Accent5 11" xfId="15298" hidden="1"/>
    <cellStyle name="20% - Accent5 11" xfId="15373" hidden="1"/>
    <cellStyle name="20% - Accent5 11" xfId="9555" hidden="1"/>
    <cellStyle name="20% - Accent5 11" xfId="9444" hidden="1"/>
    <cellStyle name="20% - Accent5 11" xfId="9331" hidden="1"/>
    <cellStyle name="20% - Accent5 11" xfId="9214" hidden="1"/>
    <cellStyle name="20% - Accent5 11" xfId="6962" hidden="1"/>
    <cellStyle name="20% - Accent5 11" xfId="6878" hidden="1"/>
    <cellStyle name="20% - Accent5 11" xfId="6783" hidden="1"/>
    <cellStyle name="20% - Accent5 11" xfId="6324" hidden="1"/>
    <cellStyle name="20% - Accent5 11" xfId="7779" hidden="1"/>
    <cellStyle name="20% - Accent5 11" xfId="7823" hidden="1"/>
    <cellStyle name="20% - Accent5 11" xfId="4812" hidden="1"/>
    <cellStyle name="20% - Accent5 11" xfId="4648" hidden="1"/>
    <cellStyle name="20% - Accent5 11" xfId="4342" hidden="1"/>
    <cellStyle name="20% - Accent5 11" xfId="4234" hidden="1"/>
    <cellStyle name="20% - Accent5 11" xfId="5932" hidden="1"/>
    <cellStyle name="20% - Accent5 11" xfId="7477" hidden="1"/>
    <cellStyle name="20% - Accent5 11" xfId="2670" hidden="1"/>
    <cellStyle name="20% - Accent5 11" xfId="2481" hidden="1"/>
    <cellStyle name="20% - Accent5 11" xfId="2306" hidden="1"/>
    <cellStyle name="20% - Accent5 11" xfId="1334" hidden="1"/>
    <cellStyle name="20% - Accent5 11" xfId="1158" hidden="1"/>
    <cellStyle name="20% - Accent5 11" xfId="917" hidden="1"/>
    <cellStyle name="20% - Accent5 11" xfId="15444" hidden="1"/>
    <cellStyle name="20% - Accent5 11" xfId="15552" hidden="1"/>
    <cellStyle name="20% - Accent5 11" xfId="16232" hidden="1"/>
    <cellStyle name="20% - Accent5 11" xfId="16307" hidden="1"/>
    <cellStyle name="20% - Accent5 11" xfId="16382" hidden="1"/>
    <cellStyle name="20% - Accent5 11" xfId="16460" hidden="1"/>
    <cellStyle name="20% - Accent5 11" xfId="17046" hidden="1"/>
    <cellStyle name="20% - Accent5 11" xfId="17121" hidden="1"/>
    <cellStyle name="20% - Accent5 11" xfId="17200" hidden="1"/>
    <cellStyle name="20% - Accent5 11" xfId="17281" hidden="1"/>
    <cellStyle name="20% - Accent5 11" xfId="16795" hidden="1"/>
    <cellStyle name="20% - Accent5 11" xfId="16779" hidden="1"/>
    <cellStyle name="20% - Accent5 11" xfId="17641" hidden="1"/>
    <cellStyle name="20% - Accent5 11" xfId="17716" hidden="1"/>
    <cellStyle name="20% - Accent5 11" xfId="17794" hidden="1"/>
    <cellStyle name="20% - Accent5 11" xfId="17852" hidden="1"/>
    <cellStyle name="20% - Accent5 11" xfId="17401" hidden="1"/>
    <cellStyle name="20% - Accent5 11" xfId="16857" hidden="1"/>
    <cellStyle name="20% - Accent5 11" xfId="18173" hidden="1"/>
    <cellStyle name="20% - Accent5 11" xfId="18248" hidden="1"/>
    <cellStyle name="20% - Accent5 11" xfId="18326" hidden="1"/>
    <cellStyle name="20% - Accent5 11" xfId="18510" hidden="1"/>
    <cellStyle name="20% - Accent5 11" xfId="18585" hidden="1"/>
    <cellStyle name="20% - Accent5 11" xfId="18663" hidden="1"/>
    <cellStyle name="20% - Accent5 11" xfId="18847" hidden="1"/>
    <cellStyle name="20% - Accent5 11" xfId="18922" hidden="1"/>
    <cellStyle name="20% - Accent5 11" xfId="19024" hidden="1"/>
    <cellStyle name="20% - Accent5 11" xfId="19099" hidden="1"/>
    <cellStyle name="20% - Accent5 11" xfId="19174" hidden="1"/>
    <cellStyle name="20% - Accent5 11" xfId="19252" hidden="1"/>
    <cellStyle name="20% - Accent5 11" xfId="19838" hidden="1"/>
    <cellStyle name="20% - Accent5 11" xfId="19913" hidden="1"/>
    <cellStyle name="20% - Accent5 11" xfId="19992" hidden="1"/>
    <cellStyle name="20% - Accent5 11" xfId="20073" hidden="1"/>
    <cellStyle name="20% - Accent5 11" xfId="19587" hidden="1"/>
    <cellStyle name="20% - Accent5 11" xfId="19571" hidden="1"/>
    <cellStyle name="20% - Accent5 11" xfId="20433" hidden="1"/>
    <cellStyle name="20% - Accent5 11" xfId="20508" hidden="1"/>
    <cellStyle name="20% - Accent5 11" xfId="20586" hidden="1"/>
    <cellStyle name="20% - Accent5 11" xfId="20644" hidden="1"/>
    <cellStyle name="20% - Accent5 11" xfId="20193" hidden="1"/>
    <cellStyle name="20% - Accent5 11" xfId="19649" hidden="1"/>
    <cellStyle name="20% - Accent5 11" xfId="20965" hidden="1"/>
    <cellStyle name="20% - Accent5 11" xfId="21040" hidden="1"/>
    <cellStyle name="20% - Accent5 11" xfId="21118" hidden="1"/>
    <cellStyle name="20% - Accent5 11" xfId="21302" hidden="1"/>
    <cellStyle name="20% - Accent5 11" xfId="21377" hidden="1"/>
    <cellStyle name="20% - Accent5 11" xfId="21455" hidden="1"/>
    <cellStyle name="20% - Accent5 11" xfId="21639" hidden="1"/>
    <cellStyle name="20% - Accent5 11" xfId="21714" hidden="1"/>
    <cellStyle name="20% - Accent5 11" xfId="15959" hidden="1"/>
    <cellStyle name="20% - Accent5 11" xfId="15884" hidden="1"/>
    <cellStyle name="20% - Accent5 11" xfId="15804" hidden="1"/>
    <cellStyle name="20% - Accent5 11" xfId="15718" hidden="1"/>
    <cellStyle name="20% - Accent5 11" xfId="7929" hidden="1"/>
    <cellStyle name="20% - Accent5 11" xfId="7708" hidden="1"/>
    <cellStyle name="20% - Accent5 11" xfId="7441" hidden="1"/>
    <cellStyle name="20% - Accent5 11" xfId="7003" hidden="1"/>
    <cellStyle name="20% - Accent5 11" xfId="8672" hidden="1"/>
    <cellStyle name="20% - Accent5 11" xfId="8713" hidden="1"/>
    <cellStyle name="20% - Accent5 11" xfId="5265" hidden="1"/>
    <cellStyle name="20% - Accent5 11" xfId="5065" hidden="1"/>
    <cellStyle name="20% - Accent5 11" xfId="4958" hidden="1"/>
    <cellStyle name="20% - Accent5 11" xfId="4552" hidden="1"/>
    <cellStyle name="20% - Accent5 11" xfId="6487" hidden="1"/>
    <cellStyle name="20% - Accent5 11" xfId="8423" hidden="1"/>
    <cellStyle name="20% - Accent5 11" xfId="2991" hidden="1"/>
    <cellStyle name="20% - Accent5 11" xfId="2867" hidden="1"/>
    <cellStyle name="20% - Accent5 11" xfId="2630" hidden="1"/>
    <cellStyle name="20% - Accent5 11" xfId="1486" hidden="1"/>
    <cellStyle name="20% - Accent5 11" xfId="1301" hidden="1"/>
    <cellStyle name="20% - Accent5 11" xfId="1080" hidden="1"/>
    <cellStyle name="20% - Accent5 11" xfId="21775" hidden="1"/>
    <cellStyle name="20% - Accent5 11" xfId="21854" hidden="1"/>
    <cellStyle name="20% - Accent5 11" xfId="22383" hidden="1"/>
    <cellStyle name="20% - Accent5 11" xfId="22458" hidden="1"/>
    <cellStyle name="20% - Accent5 11" xfId="22533" hidden="1"/>
    <cellStyle name="20% - Accent5 11" xfId="22611" hidden="1"/>
    <cellStyle name="20% - Accent5 11" xfId="23197" hidden="1"/>
    <cellStyle name="20% - Accent5 11" xfId="23272" hidden="1"/>
    <cellStyle name="20% - Accent5 11" xfId="23351" hidden="1"/>
    <cellStyle name="20% - Accent5 11" xfId="23432" hidden="1"/>
    <cellStyle name="20% - Accent5 11" xfId="22946" hidden="1"/>
    <cellStyle name="20% - Accent5 11" xfId="22930" hidden="1"/>
    <cellStyle name="20% - Accent5 11" xfId="23792" hidden="1"/>
    <cellStyle name="20% - Accent5 11" xfId="23867" hidden="1"/>
    <cellStyle name="20% - Accent5 11" xfId="23945" hidden="1"/>
    <cellStyle name="20% - Accent5 11" xfId="24003" hidden="1"/>
    <cellStyle name="20% - Accent5 11" xfId="23552" hidden="1"/>
    <cellStyle name="20% - Accent5 11" xfId="23008" hidden="1"/>
    <cellStyle name="20% - Accent5 11" xfId="24324" hidden="1"/>
    <cellStyle name="20% - Accent5 11" xfId="24399" hidden="1"/>
    <cellStyle name="20% - Accent5 11" xfId="24477" hidden="1"/>
    <cellStyle name="20% - Accent5 11" xfId="24661" hidden="1"/>
    <cellStyle name="20% - Accent5 11" xfId="24736" hidden="1"/>
    <cellStyle name="20% - Accent5 11" xfId="24814" hidden="1"/>
    <cellStyle name="20% - Accent5 11" xfId="24998" hidden="1"/>
    <cellStyle name="20% - Accent5 11" xfId="25073" hidden="1"/>
    <cellStyle name="20% - Accent5 11" xfId="25175" hidden="1"/>
    <cellStyle name="20% - Accent5 11" xfId="25250" hidden="1"/>
    <cellStyle name="20% - Accent5 11" xfId="25325" hidden="1"/>
    <cellStyle name="20% - Accent5 11" xfId="25403" hidden="1"/>
    <cellStyle name="20% - Accent5 11" xfId="25989" hidden="1"/>
    <cellStyle name="20% - Accent5 11" xfId="26064" hidden="1"/>
    <cellStyle name="20% - Accent5 11" xfId="26143" hidden="1"/>
    <cellStyle name="20% - Accent5 11" xfId="26224" hidden="1"/>
    <cellStyle name="20% - Accent5 11" xfId="25738" hidden="1"/>
    <cellStyle name="20% - Accent5 11" xfId="25722" hidden="1"/>
    <cellStyle name="20% - Accent5 11" xfId="26584" hidden="1"/>
    <cellStyle name="20% - Accent5 11" xfId="26659" hidden="1"/>
    <cellStyle name="20% - Accent5 11" xfId="26737" hidden="1"/>
    <cellStyle name="20% - Accent5 11" xfId="26795" hidden="1"/>
    <cellStyle name="20% - Accent5 11" xfId="26344" hidden="1"/>
    <cellStyle name="20% - Accent5 11" xfId="25800" hidden="1"/>
    <cellStyle name="20% - Accent5 11" xfId="27116" hidden="1"/>
    <cellStyle name="20% - Accent5 11" xfId="27191" hidden="1"/>
    <cellStyle name="20% - Accent5 11" xfId="27269" hidden="1"/>
    <cellStyle name="20% - Accent5 11" xfId="27453" hidden="1"/>
    <cellStyle name="20% - Accent5 11" xfId="27528" hidden="1"/>
    <cellStyle name="20% - Accent5 11" xfId="27606" hidden="1"/>
    <cellStyle name="20% - Accent5 11" xfId="27790" hidden="1"/>
    <cellStyle name="20% - Accent5 11" xfId="27865" hidden="1"/>
    <cellStyle name="20% - Accent5 11" xfId="22212" hidden="1"/>
    <cellStyle name="20% - Accent5 11" xfId="22137" hidden="1"/>
    <cellStyle name="20% - Accent5 11" xfId="22057" hidden="1"/>
    <cellStyle name="20% - Accent5 11" xfId="21974" hidden="1"/>
    <cellStyle name="20% - Accent5 11" xfId="8824" hidden="1"/>
    <cellStyle name="20% - Accent5 11" xfId="8532" hidden="1"/>
    <cellStyle name="20% - Accent5 11" xfId="8398" hidden="1"/>
    <cellStyle name="20% - Accent5 11" xfId="7989" hidden="1"/>
    <cellStyle name="20% - Accent5 11" xfId="9762" hidden="1"/>
    <cellStyle name="20% - Accent5 11" xfId="9782" hidden="1"/>
    <cellStyle name="20% - Accent5 11" xfId="5806" hidden="1"/>
    <cellStyle name="20% - Accent5 11" xfId="5571" hidden="1"/>
    <cellStyle name="20% - Accent5 11" xfId="5476" hidden="1"/>
    <cellStyle name="20% - Accent5 11" xfId="5032" hidden="1"/>
    <cellStyle name="20% - Accent5 11" xfId="7201" hidden="1"/>
    <cellStyle name="20% - Accent5 11" xfId="9469" hidden="1"/>
    <cellStyle name="20% - Accent5 11" xfId="3331" hidden="1"/>
    <cellStyle name="20% - Accent5 11" xfId="3143" hidden="1"/>
    <cellStyle name="20% - Accent5 11" xfId="2962" hidden="1"/>
    <cellStyle name="20% - Accent5 11" xfId="1627" hidden="1"/>
    <cellStyle name="20% - Accent5 11" xfId="1460" hidden="1"/>
    <cellStyle name="20% - Accent5 11" xfId="1197" hidden="1"/>
    <cellStyle name="20% - Accent5 11" xfId="27925" hidden="1"/>
    <cellStyle name="20% - Accent5 11" xfId="28000" hidden="1"/>
    <cellStyle name="20% - Accent5 11" xfId="28102" hidden="1"/>
    <cellStyle name="20% - Accent5 11" xfId="28177" hidden="1"/>
    <cellStyle name="20% - Accent5 11" xfId="28252" hidden="1"/>
    <cellStyle name="20% - Accent5 11" xfId="28330" hidden="1"/>
    <cellStyle name="20% - Accent5 11" xfId="28916" hidden="1"/>
    <cellStyle name="20% - Accent5 11" xfId="28991" hidden="1"/>
    <cellStyle name="20% - Accent5 11" xfId="29070" hidden="1"/>
    <cellStyle name="20% - Accent5 11" xfId="29151" hidden="1"/>
    <cellStyle name="20% - Accent5 11" xfId="28665" hidden="1"/>
    <cellStyle name="20% - Accent5 11" xfId="28649" hidden="1"/>
    <cellStyle name="20% - Accent5 11" xfId="29511" hidden="1"/>
    <cellStyle name="20% - Accent5 11" xfId="29586" hidden="1"/>
    <cellStyle name="20% - Accent5 11" xfId="29664" hidden="1"/>
    <cellStyle name="20% - Accent5 11" xfId="29722" hidden="1"/>
    <cellStyle name="20% - Accent5 11" xfId="29271" hidden="1"/>
    <cellStyle name="20% - Accent5 11" xfId="28727" hidden="1"/>
    <cellStyle name="20% - Accent5 11" xfId="30043" hidden="1"/>
    <cellStyle name="20% - Accent5 11" xfId="30118" hidden="1"/>
    <cellStyle name="20% - Accent5 11" xfId="30196" hidden="1"/>
    <cellStyle name="20% - Accent5 11" xfId="30380" hidden="1"/>
    <cellStyle name="20% - Accent5 11" xfId="30455" hidden="1"/>
    <cellStyle name="20% - Accent5 11" xfId="30533" hidden="1"/>
    <cellStyle name="20% - Accent5 11" xfId="30717" hidden="1"/>
    <cellStyle name="20% - Accent5 11" xfId="30792" hidden="1"/>
    <cellStyle name="20% - Accent5 11" xfId="30894" hidden="1"/>
    <cellStyle name="20% - Accent5 11" xfId="30969" hidden="1"/>
    <cellStyle name="20% - Accent5 11" xfId="31044" hidden="1"/>
    <cellStyle name="20% - Accent5 11" xfId="31122" hidden="1"/>
    <cellStyle name="20% - Accent5 11" xfId="31708" hidden="1"/>
    <cellStyle name="20% - Accent5 11" xfId="31783" hidden="1"/>
    <cellStyle name="20% - Accent5 11" xfId="31862" hidden="1"/>
    <cellStyle name="20% - Accent5 11" xfId="31943" hidden="1"/>
    <cellStyle name="20% - Accent5 11" xfId="31457" hidden="1"/>
    <cellStyle name="20% - Accent5 11" xfId="31441" hidden="1"/>
    <cellStyle name="20% - Accent5 11" xfId="32303" hidden="1"/>
    <cellStyle name="20% - Accent5 11" xfId="32378" hidden="1"/>
    <cellStyle name="20% - Accent5 11" xfId="32456" hidden="1"/>
    <cellStyle name="20% - Accent5 11" xfId="32514" hidden="1"/>
    <cellStyle name="20% - Accent5 11" xfId="32063" hidden="1"/>
    <cellStyle name="20% - Accent5 11" xfId="31519" hidden="1"/>
    <cellStyle name="20% - Accent5 11" xfId="32835" hidden="1"/>
    <cellStyle name="20% - Accent5 11" xfId="32910" hidden="1"/>
    <cellStyle name="20% - Accent5 11" xfId="32988" hidden="1"/>
    <cellStyle name="20% - Accent5 11" xfId="33172" hidden="1"/>
    <cellStyle name="20% - Accent5 11" xfId="33247" hidden="1"/>
    <cellStyle name="20% - Accent5 11" xfId="33325" hidden="1"/>
    <cellStyle name="20% - Accent5 11" xfId="33509" hidden="1"/>
    <cellStyle name="20% - Accent5 11" xfId="33584" hidden="1"/>
    <cellStyle name="20% - Accent5 12" xfId="750" hidden="1"/>
    <cellStyle name="20% - Accent5 12" xfId="957" hidden="1"/>
    <cellStyle name="20% - Accent5 12" xfId="3523" hidden="1"/>
    <cellStyle name="20% - Accent5 12" xfId="4038" hidden="1"/>
    <cellStyle name="20% - Accent5 12" xfId="5357" hidden="1"/>
    <cellStyle name="20% - Accent5 12" xfId="6054" hidden="1"/>
    <cellStyle name="20% - Accent5 12" xfId="7071" hidden="1"/>
    <cellStyle name="20% - Accent5 12" xfId="8274" hidden="1"/>
    <cellStyle name="20% - Accent5 12" xfId="10132" hidden="1"/>
    <cellStyle name="20% - Accent5 12" xfId="10247" hidden="1"/>
    <cellStyle name="20% - Accent5 12" xfId="10970" hidden="1"/>
    <cellStyle name="20% - Accent5 12" xfId="11143" hidden="1"/>
    <cellStyle name="20% - Accent5 12" xfId="11536" hidden="1"/>
    <cellStyle name="20% - Accent5 12" xfId="11684" hidden="1"/>
    <cellStyle name="20% - Accent5 12" xfId="12022" hidden="1"/>
    <cellStyle name="20% - Accent5 12" xfId="12359" hidden="1"/>
    <cellStyle name="20% - Accent5 12" xfId="12924" hidden="1"/>
    <cellStyle name="20% - Accent5 12" xfId="13039" hidden="1"/>
    <cellStyle name="20% - Accent5 12" xfId="13762" hidden="1"/>
    <cellStyle name="20% - Accent5 12" xfId="13935" hidden="1"/>
    <cellStyle name="20% - Accent5 12" xfId="14328" hidden="1"/>
    <cellStyle name="20% - Accent5 12" xfId="14476" hidden="1"/>
    <cellStyle name="20% - Accent5 12" xfId="14814" hidden="1"/>
    <cellStyle name="20% - Accent5 12" xfId="15151" hidden="1"/>
    <cellStyle name="20% - Accent5 12" xfId="9197" hidden="1"/>
    <cellStyle name="20% - Accent5 12" xfId="8653" hidden="1"/>
    <cellStyle name="20% - Accent5 12" xfId="6024" hidden="1"/>
    <cellStyle name="20% - Accent5 12" xfId="5232" hidden="1"/>
    <cellStyle name="20% - Accent5 12" xfId="3951" hidden="1"/>
    <cellStyle name="20% - Accent5 12" xfId="3270" hidden="1"/>
    <cellStyle name="20% - Accent5 12" xfId="1837" hidden="1"/>
    <cellStyle name="20% - Accent5 12" xfId="463" hidden="1"/>
    <cellStyle name="20% - Accent5 12" xfId="16473" hidden="1"/>
    <cellStyle name="20% - Accent5 12" xfId="16588" hidden="1"/>
    <cellStyle name="20% - Accent5 12" xfId="17311" hidden="1"/>
    <cellStyle name="20% - Accent5 12" xfId="17484" hidden="1"/>
    <cellStyle name="20% - Accent5 12" xfId="17877" hidden="1"/>
    <cellStyle name="20% - Accent5 12" xfId="18025" hidden="1"/>
    <cellStyle name="20% - Accent5 12" xfId="18363" hidden="1"/>
    <cellStyle name="20% - Accent5 12" xfId="18700" hidden="1"/>
    <cellStyle name="20% - Accent5 12" xfId="19265" hidden="1"/>
    <cellStyle name="20% - Accent5 12" xfId="19380" hidden="1"/>
    <cellStyle name="20% - Accent5 12" xfId="20103" hidden="1"/>
    <cellStyle name="20% - Accent5 12" xfId="20276" hidden="1"/>
    <cellStyle name="20% - Accent5 12" xfId="20669" hidden="1"/>
    <cellStyle name="20% - Accent5 12" xfId="20817" hidden="1"/>
    <cellStyle name="20% - Accent5 12" xfId="21155" hidden="1"/>
    <cellStyle name="20% - Accent5 12" xfId="21492" hidden="1"/>
    <cellStyle name="20% - Accent5 12" xfId="15705" hidden="1"/>
    <cellStyle name="20% - Accent5 12" xfId="9748" hidden="1"/>
    <cellStyle name="20% - Accent5 12" xfId="6607" hidden="1"/>
    <cellStyle name="20% - Accent5 12" xfId="5763" hidden="1"/>
    <cellStyle name="20% - Accent5 12" xfId="4218" hidden="1"/>
    <cellStyle name="20% - Accent5 12" xfId="3499" hidden="1"/>
    <cellStyle name="20% - Accent5 12" xfId="2010" hidden="1"/>
    <cellStyle name="20% - Accent5 12" xfId="570" hidden="1"/>
    <cellStyle name="20% - Accent5 12" xfId="22624" hidden="1"/>
    <cellStyle name="20% - Accent5 12" xfId="22739" hidden="1"/>
    <cellStyle name="20% - Accent5 12" xfId="23462" hidden="1"/>
    <cellStyle name="20% - Accent5 12" xfId="23635" hidden="1"/>
    <cellStyle name="20% - Accent5 12" xfId="24028" hidden="1"/>
    <cellStyle name="20% - Accent5 12" xfId="24176" hidden="1"/>
    <cellStyle name="20% - Accent5 12" xfId="24514" hidden="1"/>
    <cellStyle name="20% - Accent5 12" xfId="24851" hidden="1"/>
    <cellStyle name="20% - Accent5 12" xfId="25416" hidden="1"/>
    <cellStyle name="20% - Accent5 12" xfId="25531" hidden="1"/>
    <cellStyle name="20% - Accent5 12" xfId="26254" hidden="1"/>
    <cellStyle name="20% - Accent5 12" xfId="26427" hidden="1"/>
    <cellStyle name="20% - Accent5 12" xfId="26820" hidden="1"/>
    <cellStyle name="20% - Accent5 12" xfId="26968" hidden="1"/>
    <cellStyle name="20% - Accent5 12" xfId="27306" hidden="1"/>
    <cellStyle name="20% - Accent5 12" xfId="27643" hidden="1"/>
    <cellStyle name="20% - Accent5 12" xfId="21961" hidden="1"/>
    <cellStyle name="20% - Accent5 12" xfId="16129" hidden="1"/>
    <cellStyle name="20% - Accent5 12" xfId="7310" hidden="1"/>
    <cellStyle name="20% - Accent5 12" xfId="6275" hidden="1"/>
    <cellStyle name="20% - Accent5 12" xfId="4530" hidden="1"/>
    <cellStyle name="20% - Accent5 12" xfId="3755" hidden="1"/>
    <cellStyle name="20% - Accent5 12" xfId="2192" hidden="1"/>
    <cellStyle name="20% - Accent5 12" xfId="705" hidden="1"/>
    <cellStyle name="20% - Accent5 12" xfId="28343" hidden="1"/>
    <cellStyle name="20% - Accent5 12" xfId="28458" hidden="1"/>
    <cellStyle name="20% - Accent5 12" xfId="29181" hidden="1"/>
    <cellStyle name="20% - Accent5 12" xfId="29354" hidden="1"/>
    <cellStyle name="20% - Accent5 12" xfId="29747" hidden="1"/>
    <cellStyle name="20% - Accent5 12" xfId="29895" hidden="1"/>
    <cellStyle name="20% - Accent5 12" xfId="30233" hidden="1"/>
    <cellStyle name="20% - Accent5 12" xfId="30570" hidden="1"/>
    <cellStyle name="20% - Accent5 12" xfId="31135" hidden="1"/>
    <cellStyle name="20% - Accent5 12" xfId="31250" hidden="1"/>
    <cellStyle name="20% - Accent5 12" xfId="31973" hidden="1"/>
    <cellStyle name="20% - Accent5 12" xfId="32146" hidden="1"/>
    <cellStyle name="20% - Accent5 12" xfId="32539" hidden="1"/>
    <cellStyle name="20% - Accent5 12" xfId="32687" hidden="1"/>
    <cellStyle name="20% - Accent5 12" xfId="33025" hidden="1"/>
    <cellStyle name="20% - Accent5 12" xfId="33362" hidden="1"/>
    <cellStyle name="20% - Accent5 3 2 3 2" xfId="827" hidden="1"/>
    <cellStyle name="20% - Accent5 3 2 3 2" xfId="1035" hidden="1"/>
    <cellStyle name="20% - Accent5 3 2 3 2" xfId="3599" hidden="1"/>
    <cellStyle name="20% - Accent5 3 2 3 2" xfId="4114" hidden="1"/>
    <cellStyle name="20% - Accent5 3 2 3 2" xfId="5433" hidden="1"/>
    <cellStyle name="20% - Accent5 3 2 3 2" xfId="6130" hidden="1"/>
    <cellStyle name="20% - Accent5 3 2 3 2" xfId="7147" hidden="1"/>
    <cellStyle name="20% - Accent5 3 2 3 2" xfId="8351" hidden="1"/>
    <cellStyle name="20% - Accent5 3 2 3 2" xfId="10208" hidden="1"/>
    <cellStyle name="20% - Accent5 3 2 3 2" xfId="10323" hidden="1"/>
    <cellStyle name="20% - Accent5 3 2 3 2" xfId="11046" hidden="1"/>
    <cellStyle name="20% - Accent5 3 2 3 2" xfId="11219" hidden="1"/>
    <cellStyle name="20% - Accent5 3 2 3 2" xfId="11612" hidden="1"/>
    <cellStyle name="20% - Accent5 3 2 3 2" xfId="11760" hidden="1"/>
    <cellStyle name="20% - Accent5 3 2 3 2" xfId="12098" hidden="1"/>
    <cellStyle name="20% - Accent5 3 2 3 2" xfId="12435" hidden="1"/>
    <cellStyle name="20% - Accent5 3 2 3 2" xfId="13000" hidden="1"/>
    <cellStyle name="20% - Accent5 3 2 3 2" xfId="13115" hidden="1"/>
    <cellStyle name="20% - Accent5 3 2 3 2" xfId="13838" hidden="1"/>
    <cellStyle name="20% - Accent5 3 2 3 2" xfId="14011" hidden="1"/>
    <cellStyle name="20% - Accent5 3 2 3 2" xfId="14404" hidden="1"/>
    <cellStyle name="20% - Accent5 3 2 3 2" xfId="14552" hidden="1"/>
    <cellStyle name="20% - Accent5 3 2 3 2" xfId="14890" hidden="1"/>
    <cellStyle name="20% - Accent5 3 2 3 2" xfId="15227" hidden="1"/>
    <cellStyle name="20% - Accent5 3 2 3 2" xfId="9119" hidden="1"/>
    <cellStyle name="20% - Accent5 3 2 3 2" xfId="8575" hidden="1"/>
    <cellStyle name="20% - Accent5 3 2 3 2" xfId="5947" hidden="1"/>
    <cellStyle name="20% - Accent5 3 2 3 2" xfId="5156" hidden="1"/>
    <cellStyle name="20% - Accent5 3 2 3 2" xfId="3871" hidden="1"/>
    <cellStyle name="20% - Accent5 3 2 3 2" xfId="3192" hidden="1"/>
    <cellStyle name="20% - Accent5 3 2 3 2" xfId="1749" hidden="1"/>
    <cellStyle name="20% - Accent5 3 2 3 2" xfId="341" hidden="1"/>
    <cellStyle name="20% - Accent5 3 2 3 2" xfId="16549" hidden="1"/>
    <cellStyle name="20% - Accent5 3 2 3 2" xfId="16664" hidden="1"/>
    <cellStyle name="20% - Accent5 3 2 3 2" xfId="17387" hidden="1"/>
    <cellStyle name="20% - Accent5 3 2 3 2" xfId="17560" hidden="1"/>
    <cellStyle name="20% - Accent5 3 2 3 2" xfId="17953" hidden="1"/>
    <cellStyle name="20% - Accent5 3 2 3 2" xfId="18101" hidden="1"/>
    <cellStyle name="20% - Accent5 3 2 3 2" xfId="18439" hidden="1"/>
    <cellStyle name="20% - Accent5 3 2 3 2" xfId="18776" hidden="1"/>
    <cellStyle name="20% - Accent5 3 2 3 2" xfId="19341" hidden="1"/>
    <cellStyle name="20% - Accent5 3 2 3 2" xfId="19456" hidden="1"/>
    <cellStyle name="20% - Accent5 3 2 3 2" xfId="20179" hidden="1"/>
    <cellStyle name="20% - Accent5 3 2 3 2" xfId="20352" hidden="1"/>
    <cellStyle name="20% - Accent5 3 2 3 2" xfId="20745" hidden="1"/>
    <cellStyle name="20% - Accent5 3 2 3 2" xfId="20893" hidden="1"/>
    <cellStyle name="20% - Accent5 3 2 3 2" xfId="21231" hidden="1"/>
    <cellStyle name="20% - Accent5 3 2 3 2" xfId="21568" hidden="1"/>
    <cellStyle name="20% - Accent5 3 2 3 2" xfId="15627" hidden="1"/>
    <cellStyle name="20% - Accent5 3 2 3 2" xfId="9672" hidden="1"/>
    <cellStyle name="20% - Accent5 3 2 3 2" xfId="6518" hidden="1"/>
    <cellStyle name="20% - Accent5 3 2 3 2" xfId="5670" hidden="1"/>
    <cellStyle name="20% - Accent5 3 2 3 2" xfId="4141" hidden="1"/>
    <cellStyle name="20% - Accent5 3 2 3 2" xfId="3420" hidden="1"/>
    <cellStyle name="20% - Accent5 3 2 3 2" xfId="1923" hidden="1"/>
    <cellStyle name="20% - Accent5 3 2 3 2" xfId="482" hidden="1"/>
    <cellStyle name="20% - Accent5 3 2 3 2" xfId="22700" hidden="1"/>
    <cellStyle name="20% - Accent5 3 2 3 2" xfId="22815" hidden="1"/>
    <cellStyle name="20% - Accent5 3 2 3 2" xfId="23538" hidden="1"/>
    <cellStyle name="20% - Accent5 3 2 3 2" xfId="23711" hidden="1"/>
    <cellStyle name="20% - Accent5 3 2 3 2" xfId="24104" hidden="1"/>
    <cellStyle name="20% - Accent5 3 2 3 2" xfId="24252" hidden="1"/>
    <cellStyle name="20% - Accent5 3 2 3 2" xfId="24590" hidden="1"/>
    <cellStyle name="20% - Accent5 3 2 3 2" xfId="24927" hidden="1"/>
    <cellStyle name="20% - Accent5 3 2 3 2" xfId="25492" hidden="1"/>
    <cellStyle name="20% - Accent5 3 2 3 2" xfId="25607" hidden="1"/>
    <cellStyle name="20% - Accent5 3 2 3 2" xfId="26330" hidden="1"/>
    <cellStyle name="20% - Accent5 3 2 3 2" xfId="26503" hidden="1"/>
    <cellStyle name="20% - Accent5 3 2 3 2" xfId="26896" hidden="1"/>
    <cellStyle name="20% - Accent5 3 2 3 2" xfId="27044" hidden="1"/>
    <cellStyle name="20% - Accent5 3 2 3 2" xfId="27382" hidden="1"/>
    <cellStyle name="20% - Accent5 3 2 3 2" xfId="27719" hidden="1"/>
    <cellStyle name="20% - Accent5 3 2 3 2" xfId="21883" hidden="1"/>
    <cellStyle name="20% - Accent5 3 2 3 2" xfId="16053" hidden="1"/>
    <cellStyle name="20% - Accent5 3 2 3 2" xfId="7222" hidden="1"/>
    <cellStyle name="20% - Accent5 3 2 3 2" xfId="6178" hidden="1"/>
    <cellStyle name="20% - Accent5 3 2 3 2" xfId="4362" hidden="1"/>
    <cellStyle name="20% - Accent5 3 2 3 2" xfId="3676" hidden="1"/>
    <cellStyle name="20% - Accent5 3 2 3 2" xfId="2109" hidden="1"/>
    <cellStyle name="20% - Accent5 3 2 3 2" xfId="597" hidden="1"/>
    <cellStyle name="20% - Accent5 3 2 3 2" xfId="28419" hidden="1"/>
    <cellStyle name="20% - Accent5 3 2 3 2" xfId="28534" hidden="1"/>
    <cellStyle name="20% - Accent5 3 2 3 2" xfId="29257" hidden="1"/>
    <cellStyle name="20% - Accent5 3 2 3 2" xfId="29430" hidden="1"/>
    <cellStyle name="20% - Accent5 3 2 3 2" xfId="29823" hidden="1"/>
    <cellStyle name="20% - Accent5 3 2 3 2" xfId="29971" hidden="1"/>
    <cellStyle name="20% - Accent5 3 2 3 2" xfId="30309" hidden="1"/>
    <cellStyle name="20% - Accent5 3 2 3 2" xfId="30646" hidden="1"/>
    <cellStyle name="20% - Accent5 3 2 3 2" xfId="31211" hidden="1"/>
    <cellStyle name="20% - Accent5 3 2 3 2" xfId="31326" hidden="1"/>
    <cellStyle name="20% - Accent5 3 2 3 2" xfId="32049" hidden="1"/>
    <cellStyle name="20% - Accent5 3 2 3 2" xfId="32222" hidden="1"/>
    <cellStyle name="20% - Accent5 3 2 3 2" xfId="32615" hidden="1"/>
    <cellStyle name="20% - Accent5 3 2 3 2" xfId="32763" hidden="1"/>
    <cellStyle name="20% - Accent5 3 2 3 2" xfId="33101" hidden="1"/>
    <cellStyle name="20% - Accent5 3 2 3 2" xfId="33438" hidden="1"/>
    <cellStyle name="20% - Accent5 3 2 4 2" xfId="786" hidden="1"/>
    <cellStyle name="20% - Accent5 3 2 4 2" xfId="994" hidden="1"/>
    <cellStyle name="20% - Accent5 3 2 4 2" xfId="3558" hidden="1"/>
    <cellStyle name="20% - Accent5 3 2 4 2" xfId="4073" hidden="1"/>
    <cellStyle name="20% - Accent5 3 2 4 2" xfId="5392" hidden="1"/>
    <cellStyle name="20% - Accent5 3 2 4 2" xfId="6089" hidden="1"/>
    <cellStyle name="20% - Accent5 3 2 4 2" xfId="7106" hidden="1"/>
    <cellStyle name="20% - Accent5 3 2 4 2" xfId="8310" hidden="1"/>
    <cellStyle name="20% - Accent5 3 2 4 2" xfId="10167" hidden="1"/>
    <cellStyle name="20% - Accent5 3 2 4 2" xfId="10282" hidden="1"/>
    <cellStyle name="20% - Accent5 3 2 4 2" xfId="11005" hidden="1"/>
    <cellStyle name="20% - Accent5 3 2 4 2" xfId="11178" hidden="1"/>
    <cellStyle name="20% - Accent5 3 2 4 2" xfId="11571" hidden="1"/>
    <cellStyle name="20% - Accent5 3 2 4 2" xfId="11719" hidden="1"/>
    <cellStyle name="20% - Accent5 3 2 4 2" xfId="12057" hidden="1"/>
    <cellStyle name="20% - Accent5 3 2 4 2" xfId="12394" hidden="1"/>
    <cellStyle name="20% - Accent5 3 2 4 2" xfId="12959" hidden="1"/>
    <cellStyle name="20% - Accent5 3 2 4 2" xfId="13074" hidden="1"/>
    <cellStyle name="20% - Accent5 3 2 4 2" xfId="13797" hidden="1"/>
    <cellStyle name="20% - Accent5 3 2 4 2" xfId="13970" hidden="1"/>
    <cellStyle name="20% - Accent5 3 2 4 2" xfId="14363" hidden="1"/>
    <cellStyle name="20% - Accent5 3 2 4 2" xfId="14511" hidden="1"/>
    <cellStyle name="20% - Accent5 3 2 4 2" xfId="14849" hidden="1"/>
    <cellStyle name="20% - Accent5 3 2 4 2" xfId="15186" hidden="1"/>
    <cellStyle name="20% - Accent5 3 2 4 2" xfId="9161" hidden="1"/>
    <cellStyle name="20% - Accent5 3 2 4 2" xfId="8616" hidden="1"/>
    <cellStyle name="20% - Accent5 3 2 4 2" xfId="5988" hidden="1"/>
    <cellStyle name="20% - Accent5 3 2 4 2" xfId="5197" hidden="1"/>
    <cellStyle name="20% - Accent5 3 2 4 2" xfId="3914" hidden="1"/>
    <cellStyle name="20% - Accent5 3 2 4 2" xfId="3234" hidden="1"/>
    <cellStyle name="20% - Accent5 3 2 4 2" xfId="1796" hidden="1"/>
    <cellStyle name="20% - Accent5 3 2 4 2" xfId="407" hidden="1"/>
    <cellStyle name="20% - Accent5 3 2 4 2" xfId="16508" hidden="1"/>
    <cellStyle name="20% - Accent5 3 2 4 2" xfId="16623" hidden="1"/>
    <cellStyle name="20% - Accent5 3 2 4 2" xfId="17346" hidden="1"/>
    <cellStyle name="20% - Accent5 3 2 4 2" xfId="17519" hidden="1"/>
    <cellStyle name="20% - Accent5 3 2 4 2" xfId="17912" hidden="1"/>
    <cellStyle name="20% - Accent5 3 2 4 2" xfId="18060" hidden="1"/>
    <cellStyle name="20% - Accent5 3 2 4 2" xfId="18398" hidden="1"/>
    <cellStyle name="20% - Accent5 3 2 4 2" xfId="18735" hidden="1"/>
    <cellStyle name="20% - Accent5 3 2 4 2" xfId="19300" hidden="1"/>
    <cellStyle name="20% - Accent5 3 2 4 2" xfId="19415" hidden="1"/>
    <cellStyle name="20% - Accent5 3 2 4 2" xfId="20138" hidden="1"/>
    <cellStyle name="20% - Accent5 3 2 4 2" xfId="20311" hidden="1"/>
    <cellStyle name="20% - Accent5 3 2 4 2" xfId="20704" hidden="1"/>
    <cellStyle name="20% - Accent5 3 2 4 2" xfId="20852" hidden="1"/>
    <cellStyle name="20% - Accent5 3 2 4 2" xfId="21190" hidden="1"/>
    <cellStyle name="20% - Accent5 3 2 4 2" xfId="21527" hidden="1"/>
    <cellStyle name="20% - Accent5 3 2 4 2" xfId="15669" hidden="1"/>
    <cellStyle name="20% - Accent5 3 2 4 2" xfId="9713" hidden="1"/>
    <cellStyle name="20% - Accent5 3 2 4 2" xfId="6569" hidden="1"/>
    <cellStyle name="20% - Accent5 3 2 4 2" xfId="5718" hidden="1"/>
    <cellStyle name="20% - Accent5 3 2 4 2" xfId="4183" hidden="1"/>
    <cellStyle name="20% - Accent5 3 2 4 2" xfId="3464" hidden="1"/>
    <cellStyle name="20% - Accent5 3 2 4 2" xfId="1973" hidden="1"/>
    <cellStyle name="20% - Accent5 3 2 4 2" xfId="531" hidden="1"/>
    <cellStyle name="20% - Accent5 3 2 4 2" xfId="22659" hidden="1"/>
    <cellStyle name="20% - Accent5 3 2 4 2" xfId="22774" hidden="1"/>
    <cellStyle name="20% - Accent5 3 2 4 2" xfId="23497" hidden="1"/>
    <cellStyle name="20% - Accent5 3 2 4 2" xfId="23670" hidden="1"/>
    <cellStyle name="20% - Accent5 3 2 4 2" xfId="24063" hidden="1"/>
    <cellStyle name="20% - Accent5 3 2 4 2" xfId="24211" hidden="1"/>
    <cellStyle name="20% - Accent5 3 2 4 2" xfId="24549" hidden="1"/>
    <cellStyle name="20% - Accent5 3 2 4 2" xfId="24886" hidden="1"/>
    <cellStyle name="20% - Accent5 3 2 4 2" xfId="25451" hidden="1"/>
    <cellStyle name="20% - Accent5 3 2 4 2" xfId="25566" hidden="1"/>
    <cellStyle name="20% - Accent5 3 2 4 2" xfId="26289" hidden="1"/>
    <cellStyle name="20% - Accent5 3 2 4 2" xfId="26462" hidden="1"/>
    <cellStyle name="20% - Accent5 3 2 4 2" xfId="26855" hidden="1"/>
    <cellStyle name="20% - Accent5 3 2 4 2" xfId="27003" hidden="1"/>
    <cellStyle name="20% - Accent5 3 2 4 2" xfId="27341" hidden="1"/>
    <cellStyle name="20% - Accent5 3 2 4 2" xfId="27678" hidden="1"/>
    <cellStyle name="20% - Accent5 3 2 4 2" xfId="21925" hidden="1"/>
    <cellStyle name="20% - Accent5 3 2 4 2" xfId="16094" hidden="1"/>
    <cellStyle name="20% - Accent5 3 2 4 2" xfId="7272" hidden="1"/>
    <cellStyle name="20% - Accent5 3 2 4 2" xfId="6233" hidden="1"/>
    <cellStyle name="20% - Accent5 3 2 4 2" xfId="4464" hidden="1"/>
    <cellStyle name="20% - Accent5 3 2 4 2" xfId="3720" hidden="1"/>
    <cellStyle name="20% - Accent5 3 2 4 2" xfId="2154" hidden="1"/>
    <cellStyle name="20% - Accent5 3 2 4 2" xfId="647" hidden="1"/>
    <cellStyle name="20% - Accent5 3 2 4 2" xfId="28378" hidden="1"/>
    <cellStyle name="20% - Accent5 3 2 4 2" xfId="28493" hidden="1"/>
    <cellStyle name="20% - Accent5 3 2 4 2" xfId="29216" hidden="1"/>
    <cellStyle name="20% - Accent5 3 2 4 2" xfId="29389" hidden="1"/>
    <cellStyle name="20% - Accent5 3 2 4 2" xfId="29782" hidden="1"/>
    <cellStyle name="20% - Accent5 3 2 4 2" xfId="29930" hidden="1"/>
    <cellStyle name="20% - Accent5 3 2 4 2" xfId="30268" hidden="1"/>
    <cellStyle name="20% - Accent5 3 2 4 2" xfId="30605" hidden="1"/>
    <cellStyle name="20% - Accent5 3 2 4 2" xfId="31170" hidden="1"/>
    <cellStyle name="20% - Accent5 3 2 4 2" xfId="31285" hidden="1"/>
    <cellStyle name="20% - Accent5 3 2 4 2" xfId="32008" hidden="1"/>
    <cellStyle name="20% - Accent5 3 2 4 2" xfId="32181" hidden="1"/>
    <cellStyle name="20% - Accent5 3 2 4 2" xfId="32574" hidden="1"/>
    <cellStyle name="20% - Accent5 3 2 4 2" xfId="32722" hidden="1"/>
    <cellStyle name="20% - Accent5 3 2 4 2" xfId="33060" hidden="1"/>
    <cellStyle name="20% - Accent5 3 2 4 2" xfId="33397" hidden="1"/>
    <cellStyle name="20% - Accent5 3 3 3 2" xfId="785" hidden="1"/>
    <cellStyle name="20% - Accent5 3 3 3 2" xfId="993" hidden="1"/>
    <cellStyle name="20% - Accent5 3 3 3 2" xfId="3557" hidden="1"/>
    <cellStyle name="20% - Accent5 3 3 3 2" xfId="4072" hidden="1"/>
    <cellStyle name="20% - Accent5 3 3 3 2" xfId="5391" hidden="1"/>
    <cellStyle name="20% - Accent5 3 3 3 2" xfId="6088" hidden="1"/>
    <cellStyle name="20% - Accent5 3 3 3 2" xfId="7105" hidden="1"/>
    <cellStyle name="20% - Accent5 3 3 3 2" xfId="8309" hidden="1"/>
    <cellStyle name="20% - Accent5 3 3 3 2" xfId="10166" hidden="1"/>
    <cellStyle name="20% - Accent5 3 3 3 2" xfId="10281" hidden="1"/>
    <cellStyle name="20% - Accent5 3 3 3 2" xfId="11004" hidden="1"/>
    <cellStyle name="20% - Accent5 3 3 3 2" xfId="11177" hidden="1"/>
    <cellStyle name="20% - Accent5 3 3 3 2" xfId="11570" hidden="1"/>
    <cellStyle name="20% - Accent5 3 3 3 2" xfId="11718" hidden="1"/>
    <cellStyle name="20% - Accent5 3 3 3 2" xfId="12056" hidden="1"/>
    <cellStyle name="20% - Accent5 3 3 3 2" xfId="12393" hidden="1"/>
    <cellStyle name="20% - Accent5 3 3 3 2" xfId="12958" hidden="1"/>
    <cellStyle name="20% - Accent5 3 3 3 2" xfId="13073" hidden="1"/>
    <cellStyle name="20% - Accent5 3 3 3 2" xfId="13796" hidden="1"/>
    <cellStyle name="20% - Accent5 3 3 3 2" xfId="13969" hidden="1"/>
    <cellStyle name="20% - Accent5 3 3 3 2" xfId="14362" hidden="1"/>
    <cellStyle name="20% - Accent5 3 3 3 2" xfId="14510" hidden="1"/>
    <cellStyle name="20% - Accent5 3 3 3 2" xfId="14848" hidden="1"/>
    <cellStyle name="20% - Accent5 3 3 3 2" xfId="15185" hidden="1"/>
    <cellStyle name="20% - Accent5 3 3 3 2" xfId="9162" hidden="1"/>
    <cellStyle name="20% - Accent5 3 3 3 2" xfId="8617" hidden="1"/>
    <cellStyle name="20% - Accent5 3 3 3 2" xfId="5989" hidden="1"/>
    <cellStyle name="20% - Accent5 3 3 3 2" xfId="5198" hidden="1"/>
    <cellStyle name="20% - Accent5 3 3 3 2" xfId="3915" hidden="1"/>
    <cellStyle name="20% - Accent5 3 3 3 2" xfId="3235" hidden="1"/>
    <cellStyle name="20% - Accent5 3 3 3 2" xfId="1797" hidden="1"/>
    <cellStyle name="20% - Accent5 3 3 3 2" xfId="408" hidden="1"/>
    <cellStyle name="20% - Accent5 3 3 3 2" xfId="16507" hidden="1"/>
    <cellStyle name="20% - Accent5 3 3 3 2" xfId="16622" hidden="1"/>
    <cellStyle name="20% - Accent5 3 3 3 2" xfId="17345" hidden="1"/>
    <cellStyle name="20% - Accent5 3 3 3 2" xfId="17518" hidden="1"/>
    <cellStyle name="20% - Accent5 3 3 3 2" xfId="17911" hidden="1"/>
    <cellStyle name="20% - Accent5 3 3 3 2" xfId="18059" hidden="1"/>
    <cellStyle name="20% - Accent5 3 3 3 2" xfId="18397" hidden="1"/>
    <cellStyle name="20% - Accent5 3 3 3 2" xfId="18734" hidden="1"/>
    <cellStyle name="20% - Accent5 3 3 3 2" xfId="19299" hidden="1"/>
    <cellStyle name="20% - Accent5 3 3 3 2" xfId="19414" hidden="1"/>
    <cellStyle name="20% - Accent5 3 3 3 2" xfId="20137" hidden="1"/>
    <cellStyle name="20% - Accent5 3 3 3 2" xfId="20310" hidden="1"/>
    <cellStyle name="20% - Accent5 3 3 3 2" xfId="20703" hidden="1"/>
    <cellStyle name="20% - Accent5 3 3 3 2" xfId="20851" hidden="1"/>
    <cellStyle name="20% - Accent5 3 3 3 2" xfId="21189" hidden="1"/>
    <cellStyle name="20% - Accent5 3 3 3 2" xfId="21526" hidden="1"/>
    <cellStyle name="20% - Accent5 3 3 3 2" xfId="15670" hidden="1"/>
    <cellStyle name="20% - Accent5 3 3 3 2" xfId="9714" hidden="1"/>
    <cellStyle name="20% - Accent5 3 3 3 2" xfId="6570" hidden="1"/>
    <cellStyle name="20% - Accent5 3 3 3 2" xfId="5720" hidden="1"/>
    <cellStyle name="20% - Accent5 3 3 3 2" xfId="4184" hidden="1"/>
    <cellStyle name="20% - Accent5 3 3 3 2" xfId="3465" hidden="1"/>
    <cellStyle name="20% - Accent5 3 3 3 2" xfId="1974" hidden="1"/>
    <cellStyle name="20% - Accent5 3 3 3 2" xfId="532" hidden="1"/>
    <cellStyle name="20% - Accent5 3 3 3 2" xfId="22658" hidden="1"/>
    <cellStyle name="20% - Accent5 3 3 3 2" xfId="22773" hidden="1"/>
    <cellStyle name="20% - Accent5 3 3 3 2" xfId="23496" hidden="1"/>
    <cellStyle name="20% - Accent5 3 3 3 2" xfId="23669" hidden="1"/>
    <cellStyle name="20% - Accent5 3 3 3 2" xfId="24062" hidden="1"/>
    <cellStyle name="20% - Accent5 3 3 3 2" xfId="24210" hidden="1"/>
    <cellStyle name="20% - Accent5 3 3 3 2" xfId="24548" hidden="1"/>
    <cellStyle name="20% - Accent5 3 3 3 2" xfId="24885" hidden="1"/>
    <cellStyle name="20% - Accent5 3 3 3 2" xfId="25450" hidden="1"/>
    <cellStyle name="20% - Accent5 3 3 3 2" xfId="25565" hidden="1"/>
    <cellStyle name="20% - Accent5 3 3 3 2" xfId="26288" hidden="1"/>
    <cellStyle name="20% - Accent5 3 3 3 2" xfId="26461" hidden="1"/>
    <cellStyle name="20% - Accent5 3 3 3 2" xfId="26854" hidden="1"/>
    <cellStyle name="20% - Accent5 3 3 3 2" xfId="27002" hidden="1"/>
    <cellStyle name="20% - Accent5 3 3 3 2" xfId="27340" hidden="1"/>
    <cellStyle name="20% - Accent5 3 3 3 2" xfId="27677" hidden="1"/>
    <cellStyle name="20% - Accent5 3 3 3 2" xfId="21926" hidden="1"/>
    <cellStyle name="20% - Accent5 3 3 3 2" xfId="16095" hidden="1"/>
    <cellStyle name="20% - Accent5 3 3 3 2" xfId="7273" hidden="1"/>
    <cellStyle name="20% - Accent5 3 3 3 2" xfId="6234" hidden="1"/>
    <cellStyle name="20% - Accent5 3 3 3 2" xfId="4467" hidden="1"/>
    <cellStyle name="20% - Accent5 3 3 3 2" xfId="3721" hidden="1"/>
    <cellStyle name="20% - Accent5 3 3 3 2" xfId="2155" hidden="1"/>
    <cellStyle name="20% - Accent5 3 3 3 2" xfId="648" hidden="1"/>
    <cellStyle name="20% - Accent5 3 3 3 2" xfId="28377" hidden="1"/>
    <cellStyle name="20% - Accent5 3 3 3 2" xfId="28492" hidden="1"/>
    <cellStyle name="20% - Accent5 3 3 3 2" xfId="29215" hidden="1"/>
    <cellStyle name="20% - Accent5 3 3 3 2" xfId="29388" hidden="1"/>
    <cellStyle name="20% - Accent5 3 3 3 2" xfId="29781" hidden="1"/>
    <cellStyle name="20% - Accent5 3 3 3 2" xfId="29929" hidden="1"/>
    <cellStyle name="20% - Accent5 3 3 3 2" xfId="30267" hidden="1"/>
    <cellStyle name="20% - Accent5 3 3 3 2" xfId="30604" hidden="1"/>
    <cellStyle name="20% - Accent5 3 3 3 2" xfId="31169" hidden="1"/>
    <cellStyle name="20% - Accent5 3 3 3 2" xfId="31284" hidden="1"/>
    <cellStyle name="20% - Accent5 3 3 3 2" xfId="32007" hidden="1"/>
    <cellStyle name="20% - Accent5 3 3 3 2" xfId="32180" hidden="1"/>
    <cellStyle name="20% - Accent5 3 3 3 2" xfId="32573" hidden="1"/>
    <cellStyle name="20% - Accent5 3 3 3 2" xfId="32721" hidden="1"/>
    <cellStyle name="20% - Accent5 3 3 3 2" xfId="33059" hidden="1"/>
    <cellStyle name="20% - Accent5 3 3 3 2" xfId="33396" hidden="1"/>
    <cellStyle name="20% - Accent5 4 2 2" xfId="787" hidden="1"/>
    <cellStyle name="20% - Accent5 4 2 2" xfId="995" hidden="1"/>
    <cellStyle name="20% - Accent5 4 2 2" xfId="3559" hidden="1"/>
    <cellStyle name="20% - Accent5 4 2 2" xfId="4074" hidden="1"/>
    <cellStyle name="20% - Accent5 4 2 2" xfId="5393" hidden="1"/>
    <cellStyle name="20% - Accent5 4 2 2" xfId="6090" hidden="1"/>
    <cellStyle name="20% - Accent5 4 2 2" xfId="7107" hidden="1"/>
    <cellStyle name="20% - Accent5 4 2 2" xfId="8311" hidden="1"/>
    <cellStyle name="20% - Accent5 4 2 2" xfId="10168" hidden="1"/>
    <cellStyle name="20% - Accent5 4 2 2" xfId="10283" hidden="1"/>
    <cellStyle name="20% - Accent5 4 2 2" xfId="11006" hidden="1"/>
    <cellStyle name="20% - Accent5 4 2 2" xfId="11179" hidden="1"/>
    <cellStyle name="20% - Accent5 4 2 2" xfId="11572" hidden="1"/>
    <cellStyle name="20% - Accent5 4 2 2" xfId="11720" hidden="1"/>
    <cellStyle name="20% - Accent5 4 2 2" xfId="12058" hidden="1"/>
    <cellStyle name="20% - Accent5 4 2 2" xfId="12395" hidden="1"/>
    <cellStyle name="20% - Accent5 4 2 2" xfId="12960" hidden="1"/>
    <cellStyle name="20% - Accent5 4 2 2" xfId="13075" hidden="1"/>
    <cellStyle name="20% - Accent5 4 2 2" xfId="13798" hidden="1"/>
    <cellStyle name="20% - Accent5 4 2 2" xfId="13971" hidden="1"/>
    <cellStyle name="20% - Accent5 4 2 2" xfId="14364" hidden="1"/>
    <cellStyle name="20% - Accent5 4 2 2" xfId="14512" hidden="1"/>
    <cellStyle name="20% - Accent5 4 2 2" xfId="14850" hidden="1"/>
    <cellStyle name="20% - Accent5 4 2 2" xfId="15187" hidden="1"/>
    <cellStyle name="20% - Accent5 4 2 2" xfId="9160" hidden="1"/>
    <cellStyle name="20% - Accent5 4 2 2" xfId="8615" hidden="1"/>
    <cellStyle name="20% - Accent5 4 2 2" xfId="5987" hidden="1"/>
    <cellStyle name="20% - Accent5 4 2 2" xfId="5196" hidden="1"/>
    <cellStyle name="20% - Accent5 4 2 2" xfId="3913" hidden="1"/>
    <cellStyle name="20% - Accent5 4 2 2" xfId="3233" hidden="1"/>
    <cellStyle name="20% - Accent5 4 2 2" xfId="1795" hidden="1"/>
    <cellStyle name="20% - Accent5 4 2 2" xfId="406" hidden="1"/>
    <cellStyle name="20% - Accent5 4 2 2" xfId="16509" hidden="1"/>
    <cellStyle name="20% - Accent5 4 2 2" xfId="16624" hidden="1"/>
    <cellStyle name="20% - Accent5 4 2 2" xfId="17347" hidden="1"/>
    <cellStyle name="20% - Accent5 4 2 2" xfId="17520" hidden="1"/>
    <cellStyle name="20% - Accent5 4 2 2" xfId="17913" hidden="1"/>
    <cellStyle name="20% - Accent5 4 2 2" xfId="18061" hidden="1"/>
    <cellStyle name="20% - Accent5 4 2 2" xfId="18399" hidden="1"/>
    <cellStyle name="20% - Accent5 4 2 2" xfId="18736" hidden="1"/>
    <cellStyle name="20% - Accent5 4 2 2" xfId="19301" hidden="1"/>
    <cellStyle name="20% - Accent5 4 2 2" xfId="19416" hidden="1"/>
    <cellStyle name="20% - Accent5 4 2 2" xfId="20139" hidden="1"/>
    <cellStyle name="20% - Accent5 4 2 2" xfId="20312" hidden="1"/>
    <cellStyle name="20% - Accent5 4 2 2" xfId="20705" hidden="1"/>
    <cellStyle name="20% - Accent5 4 2 2" xfId="20853" hidden="1"/>
    <cellStyle name="20% - Accent5 4 2 2" xfId="21191" hidden="1"/>
    <cellStyle name="20% - Accent5 4 2 2" xfId="21528" hidden="1"/>
    <cellStyle name="20% - Accent5 4 2 2" xfId="15668" hidden="1"/>
    <cellStyle name="20% - Accent5 4 2 2" xfId="9712" hidden="1"/>
    <cellStyle name="20% - Accent5 4 2 2" xfId="6568" hidden="1"/>
    <cellStyle name="20% - Accent5 4 2 2" xfId="5717" hidden="1"/>
    <cellStyle name="20% - Accent5 4 2 2" xfId="4182" hidden="1"/>
    <cellStyle name="20% - Accent5 4 2 2" xfId="3462" hidden="1"/>
    <cellStyle name="20% - Accent5 4 2 2" xfId="1972" hidden="1"/>
    <cellStyle name="20% - Accent5 4 2 2" xfId="530" hidden="1"/>
    <cellStyle name="20% - Accent5 4 2 2" xfId="22660" hidden="1"/>
    <cellStyle name="20% - Accent5 4 2 2" xfId="22775" hidden="1"/>
    <cellStyle name="20% - Accent5 4 2 2" xfId="23498" hidden="1"/>
    <cellStyle name="20% - Accent5 4 2 2" xfId="23671" hidden="1"/>
    <cellStyle name="20% - Accent5 4 2 2" xfId="24064" hidden="1"/>
    <cellStyle name="20% - Accent5 4 2 2" xfId="24212" hidden="1"/>
    <cellStyle name="20% - Accent5 4 2 2" xfId="24550" hidden="1"/>
    <cellStyle name="20% - Accent5 4 2 2" xfId="24887" hidden="1"/>
    <cellStyle name="20% - Accent5 4 2 2" xfId="25452" hidden="1"/>
    <cellStyle name="20% - Accent5 4 2 2" xfId="25567" hidden="1"/>
    <cellStyle name="20% - Accent5 4 2 2" xfId="26290" hidden="1"/>
    <cellStyle name="20% - Accent5 4 2 2" xfId="26463" hidden="1"/>
    <cellStyle name="20% - Accent5 4 2 2" xfId="26856" hidden="1"/>
    <cellStyle name="20% - Accent5 4 2 2" xfId="27004" hidden="1"/>
    <cellStyle name="20% - Accent5 4 2 2" xfId="27342" hidden="1"/>
    <cellStyle name="20% - Accent5 4 2 2" xfId="27679" hidden="1"/>
    <cellStyle name="20% - Accent5 4 2 2" xfId="21924" hidden="1"/>
    <cellStyle name="20% - Accent5 4 2 2" xfId="16093" hidden="1"/>
    <cellStyle name="20% - Accent5 4 2 2" xfId="7271" hidden="1"/>
    <cellStyle name="20% - Accent5 4 2 2" xfId="6232" hidden="1"/>
    <cellStyle name="20% - Accent5 4 2 2" xfId="4463" hidden="1"/>
    <cellStyle name="20% - Accent5 4 2 2" xfId="3719" hidden="1"/>
    <cellStyle name="20% - Accent5 4 2 2" xfId="2153" hidden="1"/>
    <cellStyle name="20% - Accent5 4 2 2" xfId="644" hidden="1"/>
    <cellStyle name="20% - Accent5 4 2 2" xfId="28379" hidden="1"/>
    <cellStyle name="20% - Accent5 4 2 2" xfId="28494" hidden="1"/>
    <cellStyle name="20% - Accent5 4 2 2" xfId="29217" hidden="1"/>
    <cellStyle name="20% - Accent5 4 2 2" xfId="29390" hidden="1"/>
    <cellStyle name="20% - Accent5 4 2 2" xfId="29783" hidden="1"/>
    <cellStyle name="20% - Accent5 4 2 2" xfId="29931" hidden="1"/>
    <cellStyle name="20% - Accent5 4 2 2" xfId="30269" hidden="1"/>
    <cellStyle name="20% - Accent5 4 2 2" xfId="30606" hidden="1"/>
    <cellStyle name="20% - Accent5 4 2 2" xfId="31171" hidden="1"/>
    <cellStyle name="20% - Accent5 4 2 2" xfId="31286" hidden="1"/>
    <cellStyle name="20% - Accent5 4 2 2" xfId="32009" hidden="1"/>
    <cellStyle name="20% - Accent5 4 2 2" xfId="32182" hidden="1"/>
    <cellStyle name="20% - Accent5 4 2 2" xfId="32575" hidden="1"/>
    <cellStyle name="20% - Accent5 4 2 2" xfId="32723" hidden="1"/>
    <cellStyle name="20% - Accent5 4 2 2" xfId="33061" hidden="1"/>
    <cellStyle name="20% - Accent5 4 2 2" xfId="33398" hidden="1"/>
    <cellStyle name="20% - Accent5 4 3" xfId="765" hidden="1"/>
    <cellStyle name="20% - Accent5 4 3" xfId="973" hidden="1"/>
    <cellStyle name="20% - Accent5 4 3" xfId="3537" hidden="1"/>
    <cellStyle name="20% - Accent5 4 3" xfId="4052" hidden="1"/>
    <cellStyle name="20% - Accent5 4 3" xfId="5371" hidden="1"/>
    <cellStyle name="20% - Accent5 4 3" xfId="6068" hidden="1"/>
    <cellStyle name="20% - Accent5 4 3" xfId="7085" hidden="1"/>
    <cellStyle name="20% - Accent5 4 3" xfId="8289" hidden="1"/>
    <cellStyle name="20% - Accent5 4 3" xfId="10146" hidden="1"/>
    <cellStyle name="20% - Accent5 4 3" xfId="10261" hidden="1"/>
    <cellStyle name="20% - Accent5 4 3" xfId="10984" hidden="1"/>
    <cellStyle name="20% - Accent5 4 3" xfId="11157" hidden="1"/>
    <cellStyle name="20% - Accent5 4 3" xfId="11550" hidden="1"/>
    <cellStyle name="20% - Accent5 4 3" xfId="11698" hidden="1"/>
    <cellStyle name="20% - Accent5 4 3" xfId="12036" hidden="1"/>
    <cellStyle name="20% - Accent5 4 3" xfId="12373" hidden="1"/>
    <cellStyle name="20% - Accent5 4 3" xfId="12938" hidden="1"/>
    <cellStyle name="20% - Accent5 4 3" xfId="13053" hidden="1"/>
    <cellStyle name="20% - Accent5 4 3" xfId="13776" hidden="1"/>
    <cellStyle name="20% - Accent5 4 3" xfId="13949" hidden="1"/>
    <cellStyle name="20% - Accent5 4 3" xfId="14342" hidden="1"/>
    <cellStyle name="20% - Accent5 4 3" xfId="14490" hidden="1"/>
    <cellStyle name="20% - Accent5 4 3" xfId="14828" hidden="1"/>
    <cellStyle name="20% - Accent5 4 3" xfId="15165" hidden="1"/>
    <cellStyle name="20% - Accent5 4 3" xfId="9182" hidden="1"/>
    <cellStyle name="20% - Accent5 4 3" xfId="8637" hidden="1"/>
    <cellStyle name="20% - Accent5 4 3" xfId="6009" hidden="1"/>
    <cellStyle name="20% - Accent5 4 3" xfId="5218" hidden="1"/>
    <cellStyle name="20% - Accent5 4 3" xfId="3936" hidden="1"/>
    <cellStyle name="20% - Accent5 4 3" xfId="3255" hidden="1"/>
    <cellStyle name="20% - Accent5 4 3" xfId="1820" hidden="1"/>
    <cellStyle name="20% - Accent5 4 3" xfId="444" hidden="1"/>
    <cellStyle name="20% - Accent5 4 3" xfId="16487" hidden="1"/>
    <cellStyle name="20% - Accent5 4 3" xfId="16602" hidden="1"/>
    <cellStyle name="20% - Accent5 4 3" xfId="17325" hidden="1"/>
    <cellStyle name="20% - Accent5 4 3" xfId="17498" hidden="1"/>
    <cellStyle name="20% - Accent5 4 3" xfId="17891" hidden="1"/>
    <cellStyle name="20% - Accent5 4 3" xfId="18039" hidden="1"/>
    <cellStyle name="20% - Accent5 4 3" xfId="18377" hidden="1"/>
    <cellStyle name="20% - Accent5 4 3" xfId="18714" hidden="1"/>
    <cellStyle name="20% - Accent5 4 3" xfId="19279" hidden="1"/>
    <cellStyle name="20% - Accent5 4 3" xfId="19394" hidden="1"/>
    <cellStyle name="20% - Accent5 4 3" xfId="20117" hidden="1"/>
    <cellStyle name="20% - Accent5 4 3" xfId="20290" hidden="1"/>
    <cellStyle name="20% - Accent5 4 3" xfId="20683" hidden="1"/>
    <cellStyle name="20% - Accent5 4 3" xfId="20831" hidden="1"/>
    <cellStyle name="20% - Accent5 4 3" xfId="21169" hidden="1"/>
    <cellStyle name="20% - Accent5 4 3" xfId="21506" hidden="1"/>
    <cellStyle name="20% - Accent5 4 3" xfId="15690" hidden="1"/>
    <cellStyle name="20% - Accent5 4 3" xfId="9734" hidden="1"/>
    <cellStyle name="20% - Accent5 4 3" xfId="6593" hidden="1"/>
    <cellStyle name="20% - Accent5 4 3" xfId="5747" hidden="1"/>
    <cellStyle name="20% - Accent5 4 3" xfId="4204" hidden="1"/>
    <cellStyle name="20% - Accent5 4 3" xfId="3485" hidden="1"/>
    <cellStyle name="20% - Accent5 4 3" xfId="1995" hidden="1"/>
    <cellStyle name="20% - Accent5 4 3" xfId="556" hidden="1"/>
    <cellStyle name="20% - Accent5 4 3" xfId="22638" hidden="1"/>
    <cellStyle name="20% - Accent5 4 3" xfId="22753" hidden="1"/>
    <cellStyle name="20% - Accent5 4 3" xfId="23476" hidden="1"/>
    <cellStyle name="20% - Accent5 4 3" xfId="23649" hidden="1"/>
    <cellStyle name="20% - Accent5 4 3" xfId="24042" hidden="1"/>
    <cellStyle name="20% - Accent5 4 3" xfId="24190" hidden="1"/>
    <cellStyle name="20% - Accent5 4 3" xfId="24528" hidden="1"/>
    <cellStyle name="20% - Accent5 4 3" xfId="24865" hidden="1"/>
    <cellStyle name="20% - Accent5 4 3" xfId="25430" hidden="1"/>
    <cellStyle name="20% - Accent5 4 3" xfId="25545" hidden="1"/>
    <cellStyle name="20% - Accent5 4 3" xfId="26268" hidden="1"/>
    <cellStyle name="20% - Accent5 4 3" xfId="26441" hidden="1"/>
    <cellStyle name="20% - Accent5 4 3" xfId="26834" hidden="1"/>
    <cellStyle name="20% - Accent5 4 3" xfId="26982" hidden="1"/>
    <cellStyle name="20% - Accent5 4 3" xfId="27320" hidden="1"/>
    <cellStyle name="20% - Accent5 4 3" xfId="27657" hidden="1"/>
    <cellStyle name="20% - Accent5 4 3" xfId="21946" hidden="1"/>
    <cellStyle name="20% - Accent5 4 3" xfId="16115" hidden="1"/>
    <cellStyle name="20% - Accent5 4 3" xfId="7296" hidden="1"/>
    <cellStyle name="20% - Accent5 4 3" xfId="6256" hidden="1"/>
    <cellStyle name="20% - Accent5 4 3" xfId="4503" hidden="1"/>
    <cellStyle name="20% - Accent5 4 3" xfId="3741" hidden="1"/>
    <cellStyle name="20% - Accent5 4 3" xfId="2176" hidden="1"/>
    <cellStyle name="20% - Accent5 4 3" xfId="683" hidden="1"/>
    <cellStyle name="20% - Accent5 4 3" xfId="28357" hidden="1"/>
    <cellStyle name="20% - Accent5 4 3" xfId="28472" hidden="1"/>
    <cellStyle name="20% - Accent5 4 3" xfId="29195" hidden="1"/>
    <cellStyle name="20% - Accent5 4 3" xfId="29368" hidden="1"/>
    <cellStyle name="20% - Accent5 4 3" xfId="29761" hidden="1"/>
    <cellStyle name="20% - Accent5 4 3" xfId="29909" hidden="1"/>
    <cellStyle name="20% - Accent5 4 3" xfId="30247" hidden="1"/>
    <cellStyle name="20% - Accent5 4 3" xfId="30584" hidden="1"/>
    <cellStyle name="20% - Accent5 4 3" xfId="31149" hidden="1"/>
    <cellStyle name="20% - Accent5 4 3" xfId="31264" hidden="1"/>
    <cellStyle name="20% - Accent5 4 3" xfId="31987" hidden="1"/>
    <cellStyle name="20% - Accent5 4 3" xfId="32160" hidden="1"/>
    <cellStyle name="20% - Accent5 4 3" xfId="32553" hidden="1"/>
    <cellStyle name="20% - Accent5 4 3" xfId="32701" hidden="1"/>
    <cellStyle name="20% - Accent5 4 3" xfId="33039" hidden="1"/>
    <cellStyle name="20% - Accent5 4 3" xfId="33376" hidden="1"/>
    <cellStyle name="20% - Accent5 6" xfId="132" hidden="1"/>
    <cellStyle name="20% - Accent5 6" xfId="216" hidden="1"/>
    <cellStyle name="20% - Accent5 6" xfId="299" hidden="1"/>
    <cellStyle name="20% - Accent5 6" xfId="517" hidden="1"/>
    <cellStyle name="20% - Accent5 6" xfId="2350" hidden="1"/>
    <cellStyle name="20% - Accent5 6" xfId="2482" hidden="1"/>
    <cellStyle name="20% - Accent5 6" xfId="2639" hidden="1"/>
    <cellStyle name="20% - Accent5 6" xfId="2225" hidden="1"/>
    <cellStyle name="20% - Accent5 6" xfId="2865" hidden="1"/>
    <cellStyle name="20% - Accent5 6" xfId="2027" hidden="1"/>
    <cellStyle name="20% - Accent5 6" xfId="3963" hidden="1"/>
    <cellStyle name="20% - Accent5 6" xfId="4498" hidden="1"/>
    <cellStyle name="20% - Accent5 6" xfId="4663" hidden="1"/>
    <cellStyle name="20% - Accent5 6" xfId="3932" hidden="1"/>
    <cellStyle name="20% - Accent5 6" xfId="4847" hidden="1"/>
    <cellStyle name="20% - Accent5 6" xfId="1861" hidden="1"/>
    <cellStyle name="20% - Accent5 6" xfId="5896" hidden="1"/>
    <cellStyle name="20% - Accent5 6" xfId="6413" hidden="1"/>
    <cellStyle name="20% - Accent5 6" xfId="6587" hidden="1"/>
    <cellStyle name="20% - Accent5 6" xfId="6873" hidden="1"/>
    <cellStyle name="20% - Accent5 6" xfId="7605" hidden="1"/>
    <cellStyle name="20% - Accent5 6" xfId="7768" hidden="1"/>
    <cellStyle name="20% - Accent5 6" xfId="8093" hidden="1"/>
    <cellStyle name="20% - Accent5 6" xfId="8855" hidden="1"/>
    <cellStyle name="20% - Accent5 6" xfId="9823" hidden="1"/>
    <cellStyle name="20% - Accent5 6" xfId="9903" hidden="1"/>
    <cellStyle name="20% - Accent5 6" xfId="9981" hidden="1"/>
    <cellStyle name="20% - Accent5 6" xfId="10059" hidden="1"/>
    <cellStyle name="20% - Accent5 6" xfId="10641" hidden="1"/>
    <cellStyle name="20% - Accent5 6" xfId="10720" hidden="1"/>
    <cellStyle name="20% - Accent5 6" xfId="10799" hidden="1"/>
    <cellStyle name="20% - Accent5 6" xfId="10575" hidden="1"/>
    <cellStyle name="20% - Accent5 6" xfId="10882" hidden="1"/>
    <cellStyle name="20% - Accent5 6" xfId="10495" hidden="1"/>
    <cellStyle name="20% - Accent5 6" xfId="11115" hidden="1"/>
    <cellStyle name="20% - Accent5 6" xfId="11315" hidden="1"/>
    <cellStyle name="20% - Accent5 6" xfId="11393" hidden="1"/>
    <cellStyle name="20% - Accent5 6" xfId="11112" hidden="1"/>
    <cellStyle name="20% - Accent5 6" xfId="11470" hidden="1"/>
    <cellStyle name="20% - Accent5 6" xfId="10436" hidden="1"/>
    <cellStyle name="20% - Accent5 6" xfId="11661" hidden="1"/>
    <cellStyle name="20% - Accent5 6" xfId="11847" hidden="1"/>
    <cellStyle name="20% - Accent5 6" xfId="11925" hidden="1"/>
    <cellStyle name="20% - Accent5 6" xfId="12002" hidden="1"/>
    <cellStyle name="20% - Accent5 6" xfId="12184" hidden="1"/>
    <cellStyle name="20% - Accent5 6" xfId="12262" hidden="1"/>
    <cellStyle name="20% - Accent5 6" xfId="12339" hidden="1"/>
    <cellStyle name="20% - Accent5 6" xfId="12521" hidden="1"/>
    <cellStyle name="20% - Accent5 6" xfId="12615" hidden="1"/>
    <cellStyle name="20% - Accent5 6" xfId="12695" hidden="1"/>
    <cellStyle name="20% - Accent5 6" xfId="12773" hidden="1"/>
    <cellStyle name="20% - Accent5 6" xfId="12851" hidden="1"/>
    <cellStyle name="20% - Accent5 6" xfId="13433" hidden="1"/>
    <cellStyle name="20% - Accent5 6" xfId="13512" hidden="1"/>
    <cellStyle name="20% - Accent5 6" xfId="13591" hidden="1"/>
    <cellStyle name="20% - Accent5 6" xfId="13367" hidden="1"/>
    <cellStyle name="20% - Accent5 6" xfId="13674" hidden="1"/>
    <cellStyle name="20% - Accent5 6" xfId="13287" hidden="1"/>
    <cellStyle name="20% - Accent5 6" xfId="13907" hidden="1"/>
    <cellStyle name="20% - Accent5 6" xfId="14107" hidden="1"/>
    <cellStyle name="20% - Accent5 6" xfId="14185" hidden="1"/>
    <cellStyle name="20% - Accent5 6" xfId="13904" hidden="1"/>
    <cellStyle name="20% - Accent5 6" xfId="14262" hidden="1"/>
    <cellStyle name="20% - Accent5 6" xfId="13228" hidden="1"/>
    <cellStyle name="20% - Accent5 6" xfId="14453" hidden="1"/>
    <cellStyle name="20% - Accent5 6" xfId="14639" hidden="1"/>
    <cellStyle name="20% - Accent5 6" xfId="14717" hidden="1"/>
    <cellStyle name="20% - Accent5 6" xfId="14794" hidden="1"/>
    <cellStyle name="20% - Accent5 6" xfId="14976" hidden="1"/>
    <cellStyle name="20% - Accent5 6" xfId="15054" hidden="1"/>
    <cellStyle name="20% - Accent5 6" xfId="15131" hidden="1"/>
    <cellStyle name="20% - Accent5 6" xfId="15313" hidden="1"/>
    <cellStyle name="20% - Accent5 6" xfId="9638" hidden="1"/>
    <cellStyle name="20% - Accent5 6" xfId="9538" hidden="1"/>
    <cellStyle name="20% - Accent5 6" xfId="9418" hidden="1"/>
    <cellStyle name="20% - Accent5 6" xfId="9307" hidden="1"/>
    <cellStyle name="20% - Accent5 6" xfId="7044" hidden="1"/>
    <cellStyle name="20% - Accent5 6" xfId="6946" hidden="1"/>
    <cellStyle name="20% - Accent5 6" xfId="6857" hidden="1"/>
    <cellStyle name="20% - Accent5 6" xfId="7350" hidden="1"/>
    <cellStyle name="20% - Accent5 6" xfId="6725" hidden="1"/>
    <cellStyle name="20% - Accent5 6" xfId="7584" hidden="1"/>
    <cellStyle name="20% - Accent5 6" xfId="5527" hidden="1"/>
    <cellStyle name="20% - Accent5 6" xfId="4792" hidden="1"/>
    <cellStyle name="20% - Accent5 6" xfId="4584" hidden="1"/>
    <cellStyle name="20% - Accent5 6" xfId="5543" hidden="1"/>
    <cellStyle name="20% - Accent5 6" xfId="4297" hidden="1"/>
    <cellStyle name="20% - Accent5 6" xfId="7844" hidden="1"/>
    <cellStyle name="20% - Accent5 6" xfId="3454" hidden="1"/>
    <cellStyle name="20% - Accent5 6" xfId="2628" hidden="1"/>
    <cellStyle name="20% - Accent5 6" xfId="2422" hidden="1"/>
    <cellStyle name="20% - Accent5 6" xfId="2081" hidden="1"/>
    <cellStyle name="20% - Accent5 6" xfId="1294" hidden="1"/>
    <cellStyle name="20% - Accent5 6" xfId="1112" hidden="1"/>
    <cellStyle name="20% - Accent5 6" xfId="868" hidden="1"/>
    <cellStyle name="20% - Accent5 6" xfId="15466" hidden="1"/>
    <cellStyle name="20% - Accent5 6" xfId="16164" hidden="1"/>
    <cellStyle name="20% - Accent5 6" xfId="16244" hidden="1"/>
    <cellStyle name="20% - Accent5 6" xfId="16322" hidden="1"/>
    <cellStyle name="20% - Accent5 6" xfId="16400" hidden="1"/>
    <cellStyle name="20% - Accent5 6" xfId="16982" hidden="1"/>
    <cellStyle name="20% - Accent5 6" xfId="17061" hidden="1"/>
    <cellStyle name="20% - Accent5 6" xfId="17140" hidden="1"/>
    <cellStyle name="20% - Accent5 6" xfId="16916" hidden="1"/>
    <cellStyle name="20% - Accent5 6" xfId="17223" hidden="1"/>
    <cellStyle name="20% - Accent5 6" xfId="16836" hidden="1"/>
    <cellStyle name="20% - Accent5 6" xfId="17456" hidden="1"/>
    <cellStyle name="20% - Accent5 6" xfId="17656" hidden="1"/>
    <cellStyle name="20% - Accent5 6" xfId="17734" hidden="1"/>
    <cellStyle name="20% - Accent5 6" xfId="17453" hidden="1"/>
    <cellStyle name="20% - Accent5 6" xfId="17811" hidden="1"/>
    <cellStyle name="20% - Accent5 6" xfId="16777" hidden="1"/>
    <cellStyle name="20% - Accent5 6" xfId="18002" hidden="1"/>
    <cellStyle name="20% - Accent5 6" xfId="18188" hidden="1"/>
    <cellStyle name="20% - Accent5 6" xfId="18266" hidden="1"/>
    <cellStyle name="20% - Accent5 6" xfId="18343" hidden="1"/>
    <cellStyle name="20% - Accent5 6" xfId="18525" hidden="1"/>
    <cellStyle name="20% - Accent5 6" xfId="18603" hidden="1"/>
    <cellStyle name="20% - Accent5 6" xfId="18680" hidden="1"/>
    <cellStyle name="20% - Accent5 6" xfId="18862" hidden="1"/>
    <cellStyle name="20% - Accent5 6" xfId="18956" hidden="1"/>
    <cellStyle name="20% - Accent5 6" xfId="19036" hidden="1"/>
    <cellStyle name="20% - Accent5 6" xfId="19114" hidden="1"/>
    <cellStyle name="20% - Accent5 6" xfId="19192" hidden="1"/>
    <cellStyle name="20% - Accent5 6" xfId="19774" hidden="1"/>
    <cellStyle name="20% - Accent5 6" xfId="19853" hidden="1"/>
    <cellStyle name="20% - Accent5 6" xfId="19932" hidden="1"/>
    <cellStyle name="20% - Accent5 6" xfId="19708" hidden="1"/>
    <cellStyle name="20% - Accent5 6" xfId="20015" hidden="1"/>
    <cellStyle name="20% - Accent5 6" xfId="19628" hidden="1"/>
    <cellStyle name="20% - Accent5 6" xfId="20248" hidden="1"/>
    <cellStyle name="20% - Accent5 6" xfId="20448" hidden="1"/>
    <cellStyle name="20% - Accent5 6" xfId="20526" hidden="1"/>
    <cellStyle name="20% - Accent5 6" xfId="20245" hidden="1"/>
    <cellStyle name="20% - Accent5 6" xfId="20603" hidden="1"/>
    <cellStyle name="20% - Accent5 6" xfId="19569" hidden="1"/>
    <cellStyle name="20% - Accent5 6" xfId="20794" hidden="1"/>
    <cellStyle name="20% - Accent5 6" xfId="20980" hidden="1"/>
    <cellStyle name="20% - Accent5 6" xfId="21058" hidden="1"/>
    <cellStyle name="20% - Accent5 6" xfId="21135" hidden="1"/>
    <cellStyle name="20% - Accent5 6" xfId="21317" hidden="1"/>
    <cellStyle name="20% - Accent5 6" xfId="21395" hidden="1"/>
    <cellStyle name="20% - Accent5 6" xfId="21472" hidden="1"/>
    <cellStyle name="20% - Accent5 6" xfId="21654" hidden="1"/>
    <cellStyle name="20% - Accent5 6" xfId="16027" hidden="1"/>
    <cellStyle name="20% - Accent5 6" xfId="15947" hidden="1"/>
    <cellStyle name="20% - Accent5 6" xfId="15868" hidden="1"/>
    <cellStyle name="20% - Accent5 6" xfId="15785" hidden="1"/>
    <cellStyle name="20% - Accent5 6" xfId="8049" hidden="1"/>
    <cellStyle name="20% - Accent5 6" xfId="7901" hidden="1"/>
    <cellStyle name="20% - Accent5 6" xfId="7633" hidden="1"/>
    <cellStyle name="20% - Accent5 6" xfId="8201" hidden="1"/>
    <cellStyle name="20% - Accent5 6" xfId="7386" hidden="1"/>
    <cellStyle name="20% - Accent5 6" xfId="8473" hidden="1"/>
    <cellStyle name="20% - Accent5 6" xfId="5913" hidden="1"/>
    <cellStyle name="20% - Accent5 6" xfId="5242" hidden="1"/>
    <cellStyle name="20% - Accent5 6" xfId="5039" hidden="1"/>
    <cellStyle name="20% - Accent5 6" xfId="5920" hidden="1"/>
    <cellStyle name="20% - Accent5 6" xfId="4919" hidden="1"/>
    <cellStyle name="20% - Accent5 6" xfId="8719" hidden="1"/>
    <cellStyle name="20% - Accent5 6" xfId="3699" hidden="1"/>
    <cellStyle name="20% - Accent5 6" xfId="2956" hidden="1"/>
    <cellStyle name="20% - Accent5 6" xfId="2832" hidden="1"/>
    <cellStyle name="20% - Accent5 6" xfId="2260" hidden="1"/>
    <cellStyle name="20% - Accent5 6" xfId="1449" hidden="1"/>
    <cellStyle name="20% - Accent5 6" xfId="1247" hidden="1"/>
    <cellStyle name="20% - Accent5 6" xfId="874" hidden="1"/>
    <cellStyle name="20% - Accent5 6" xfId="21791" hidden="1"/>
    <cellStyle name="20% - Accent5 6" xfId="22315" hidden="1"/>
    <cellStyle name="20% - Accent5 6" xfId="22395" hidden="1"/>
    <cellStyle name="20% - Accent5 6" xfId="22473" hidden="1"/>
    <cellStyle name="20% - Accent5 6" xfId="22551" hidden="1"/>
    <cellStyle name="20% - Accent5 6" xfId="23133" hidden="1"/>
    <cellStyle name="20% - Accent5 6" xfId="23212" hidden="1"/>
    <cellStyle name="20% - Accent5 6" xfId="23291" hidden="1"/>
    <cellStyle name="20% - Accent5 6" xfId="23067" hidden="1"/>
    <cellStyle name="20% - Accent5 6" xfId="23374" hidden="1"/>
    <cellStyle name="20% - Accent5 6" xfId="22987" hidden="1"/>
    <cellStyle name="20% - Accent5 6" xfId="23607" hidden="1"/>
    <cellStyle name="20% - Accent5 6" xfId="23807" hidden="1"/>
    <cellStyle name="20% - Accent5 6" xfId="23885" hidden="1"/>
    <cellStyle name="20% - Accent5 6" xfId="23604" hidden="1"/>
    <cellStyle name="20% - Accent5 6" xfId="23962" hidden="1"/>
    <cellStyle name="20% - Accent5 6" xfId="22928" hidden="1"/>
    <cellStyle name="20% - Accent5 6" xfId="24153" hidden="1"/>
    <cellStyle name="20% - Accent5 6" xfId="24339" hidden="1"/>
    <cellStyle name="20% - Accent5 6" xfId="24417" hidden="1"/>
    <cellStyle name="20% - Accent5 6" xfId="24494" hidden="1"/>
    <cellStyle name="20% - Accent5 6" xfId="24676" hidden="1"/>
    <cellStyle name="20% - Accent5 6" xfId="24754" hidden="1"/>
    <cellStyle name="20% - Accent5 6" xfId="24831" hidden="1"/>
    <cellStyle name="20% - Accent5 6" xfId="25013" hidden="1"/>
    <cellStyle name="20% - Accent5 6" xfId="25107" hidden="1"/>
    <cellStyle name="20% - Accent5 6" xfId="25187" hidden="1"/>
    <cellStyle name="20% - Accent5 6" xfId="25265" hidden="1"/>
    <cellStyle name="20% - Accent5 6" xfId="25343" hidden="1"/>
    <cellStyle name="20% - Accent5 6" xfId="25925" hidden="1"/>
    <cellStyle name="20% - Accent5 6" xfId="26004" hidden="1"/>
    <cellStyle name="20% - Accent5 6" xfId="26083" hidden="1"/>
    <cellStyle name="20% - Accent5 6" xfId="25859" hidden="1"/>
    <cellStyle name="20% - Accent5 6" xfId="26166" hidden="1"/>
    <cellStyle name="20% - Accent5 6" xfId="25779" hidden="1"/>
    <cellStyle name="20% - Accent5 6" xfId="26399" hidden="1"/>
    <cellStyle name="20% - Accent5 6" xfId="26599" hidden="1"/>
    <cellStyle name="20% - Accent5 6" xfId="26677" hidden="1"/>
    <cellStyle name="20% - Accent5 6" xfId="26396" hidden="1"/>
    <cellStyle name="20% - Accent5 6" xfId="26754" hidden="1"/>
    <cellStyle name="20% - Accent5 6" xfId="25720" hidden="1"/>
    <cellStyle name="20% - Accent5 6" xfId="26945" hidden="1"/>
    <cellStyle name="20% - Accent5 6" xfId="27131" hidden="1"/>
    <cellStyle name="20% - Accent5 6" xfId="27209" hidden="1"/>
    <cellStyle name="20% - Accent5 6" xfId="27286" hidden="1"/>
    <cellStyle name="20% - Accent5 6" xfId="27468" hidden="1"/>
    <cellStyle name="20% - Accent5 6" xfId="27546" hidden="1"/>
    <cellStyle name="20% - Accent5 6" xfId="27623" hidden="1"/>
    <cellStyle name="20% - Accent5 6" xfId="27805" hidden="1"/>
    <cellStyle name="20% - Accent5 6" xfId="22280" hidden="1"/>
    <cellStyle name="20% - Accent5 6" xfId="22200" hidden="1"/>
    <cellStyle name="20% - Accent5 6" xfId="22121" hidden="1"/>
    <cellStyle name="20% - Accent5 6" xfId="22038" hidden="1"/>
    <cellStyle name="20% - Accent5 6" xfId="9000" hidden="1"/>
    <cellStyle name="20% - Accent5 6" xfId="8745" hidden="1"/>
    <cellStyle name="20% - Accent5 6" xfId="8504" hidden="1"/>
    <cellStyle name="20% - Accent5 6" xfId="9251" hidden="1"/>
    <cellStyle name="20% - Accent5 6" xfId="8239" hidden="1"/>
    <cellStyle name="20% - Accent5 6" xfId="9522" hidden="1"/>
    <cellStyle name="20% - Accent5 6" xfId="6372" hidden="1"/>
    <cellStyle name="20% - Accent5 6" xfId="5776" hidden="1"/>
    <cellStyle name="20% - Accent5 6" xfId="5548" hidden="1"/>
    <cellStyle name="20% - Accent5 6" xfId="6421" hidden="1"/>
    <cellStyle name="20% - Accent5 6" xfId="5449" hidden="1"/>
    <cellStyle name="20% - Accent5 6" xfId="9786" hidden="1"/>
    <cellStyle name="20% - Accent5 6" xfId="3966" hidden="1"/>
    <cellStyle name="20% - Accent5 6" xfId="3315" hidden="1"/>
    <cellStyle name="20% - Accent5 6" xfId="3114" hidden="1"/>
    <cellStyle name="20% - Accent5 6" xfId="2470" hidden="1"/>
    <cellStyle name="20% - Accent5 6" xfId="1605" hidden="1"/>
    <cellStyle name="20% - Accent5 6" xfId="1430" hidden="1"/>
    <cellStyle name="20% - Accent5 6" xfId="883" hidden="1"/>
    <cellStyle name="20% - Accent5 6" xfId="27940" hidden="1"/>
    <cellStyle name="20% - Accent5 6" xfId="28034" hidden="1"/>
    <cellStyle name="20% - Accent5 6" xfId="28114" hidden="1"/>
    <cellStyle name="20% - Accent5 6" xfId="28192" hidden="1"/>
    <cellStyle name="20% - Accent5 6" xfId="28270" hidden="1"/>
    <cellStyle name="20% - Accent5 6" xfId="28852" hidden="1"/>
    <cellStyle name="20% - Accent5 6" xfId="28931" hidden="1"/>
    <cellStyle name="20% - Accent5 6" xfId="29010" hidden="1"/>
    <cellStyle name="20% - Accent5 6" xfId="28786" hidden="1"/>
    <cellStyle name="20% - Accent5 6" xfId="29093" hidden="1"/>
    <cellStyle name="20% - Accent5 6" xfId="28706" hidden="1"/>
    <cellStyle name="20% - Accent5 6" xfId="29326" hidden="1"/>
    <cellStyle name="20% - Accent5 6" xfId="29526" hidden="1"/>
    <cellStyle name="20% - Accent5 6" xfId="29604" hidden="1"/>
    <cellStyle name="20% - Accent5 6" xfId="29323" hidden="1"/>
    <cellStyle name="20% - Accent5 6" xfId="29681" hidden="1"/>
    <cellStyle name="20% - Accent5 6" xfId="28647" hidden="1"/>
    <cellStyle name="20% - Accent5 6" xfId="29872" hidden="1"/>
    <cellStyle name="20% - Accent5 6" xfId="30058" hidden="1"/>
    <cellStyle name="20% - Accent5 6" xfId="30136" hidden="1"/>
    <cellStyle name="20% - Accent5 6" xfId="30213" hidden="1"/>
    <cellStyle name="20% - Accent5 6" xfId="30395" hidden="1"/>
    <cellStyle name="20% - Accent5 6" xfId="30473" hidden="1"/>
    <cellStyle name="20% - Accent5 6" xfId="30550" hidden="1"/>
    <cellStyle name="20% - Accent5 6" xfId="30732" hidden="1"/>
    <cellStyle name="20% - Accent5 6" xfId="30826" hidden="1"/>
    <cellStyle name="20% - Accent5 6" xfId="30906" hidden="1"/>
    <cellStyle name="20% - Accent5 6" xfId="30984" hidden="1"/>
    <cellStyle name="20% - Accent5 6" xfId="31062" hidden="1"/>
    <cellStyle name="20% - Accent5 6" xfId="31644" hidden="1"/>
    <cellStyle name="20% - Accent5 6" xfId="31723" hidden="1"/>
    <cellStyle name="20% - Accent5 6" xfId="31802" hidden="1"/>
    <cellStyle name="20% - Accent5 6" xfId="31578" hidden="1"/>
    <cellStyle name="20% - Accent5 6" xfId="31885" hidden="1"/>
    <cellStyle name="20% - Accent5 6" xfId="31498" hidden="1"/>
    <cellStyle name="20% - Accent5 6" xfId="32118" hidden="1"/>
    <cellStyle name="20% - Accent5 6" xfId="32318" hidden="1"/>
    <cellStyle name="20% - Accent5 6" xfId="32396" hidden="1"/>
    <cellStyle name="20% - Accent5 6" xfId="32115" hidden="1"/>
    <cellStyle name="20% - Accent5 6" xfId="32473" hidden="1"/>
    <cellStyle name="20% - Accent5 6" xfId="31439" hidden="1"/>
    <cellStyle name="20% - Accent5 6" xfId="32664" hidden="1"/>
    <cellStyle name="20% - Accent5 6" xfId="32850" hidden="1"/>
    <cellStyle name="20% - Accent5 6" xfId="32928" hidden="1"/>
    <cellStyle name="20% - Accent5 6" xfId="33005" hidden="1"/>
    <cellStyle name="20% - Accent5 6" xfId="33187" hidden="1"/>
    <cellStyle name="20% - Accent5 6" xfId="33265" hidden="1"/>
    <cellStyle name="20% - Accent5 6" xfId="33342" hidden="1"/>
    <cellStyle name="20% - Accent5 6" xfId="33524" hidden="1"/>
    <cellStyle name="20% - Accent5 7" xfId="148" hidden="1"/>
    <cellStyle name="20% - Accent5 7" xfId="229" hidden="1"/>
    <cellStyle name="20% - Accent5 7" xfId="309" hidden="1"/>
    <cellStyle name="20% - Accent5 7" xfId="627" hidden="1"/>
    <cellStyle name="20% - Accent5 7" xfId="2390" hidden="1"/>
    <cellStyle name="20% - Accent5 7" xfId="2534" hidden="1"/>
    <cellStyle name="20% - Accent5 7" xfId="2715" hidden="1"/>
    <cellStyle name="20% - Accent5 7" xfId="2937" hidden="1"/>
    <cellStyle name="20% - Accent5 7" xfId="1855" hidden="1"/>
    <cellStyle name="20% - Accent5 7" xfId="1867" hidden="1"/>
    <cellStyle name="20% - Accent5 7" xfId="3799" hidden="1"/>
    <cellStyle name="20% - Accent5 7" xfId="4556" hidden="1"/>
    <cellStyle name="20% - Accent5 7" xfId="4717" hidden="1"/>
    <cellStyle name="20% - Accent5 7" xfId="4893" hidden="1"/>
    <cellStyle name="20% - Accent5 7" xfId="1945" hidden="1"/>
    <cellStyle name="20% - Accent5 7" xfId="2947" hidden="1"/>
    <cellStyle name="20% - Accent5 7" xfId="5819" hidden="1"/>
    <cellStyle name="20% - Accent5 7" xfId="6439" hidden="1"/>
    <cellStyle name="20% - Accent5 7" xfId="6636" hidden="1"/>
    <cellStyle name="20% - Accent5 7" xfId="1589" hidden="1"/>
    <cellStyle name="20% - Accent5 7" xfId="7640" hidden="1"/>
    <cellStyle name="20% - Accent5 7" xfId="7824" hidden="1"/>
    <cellStyle name="20% - Accent5 7" xfId="5820" hidden="1"/>
    <cellStyle name="20% - Accent5 7" xfId="8913" hidden="1"/>
    <cellStyle name="20% - Accent5 7" xfId="9839" hidden="1"/>
    <cellStyle name="20% - Accent5 7" xfId="9914" hidden="1"/>
    <cellStyle name="20% - Accent5 7" xfId="9991" hidden="1"/>
    <cellStyle name="20% - Accent5 7" xfId="10069" hidden="1"/>
    <cellStyle name="20% - Accent5 7" xfId="10653" hidden="1"/>
    <cellStyle name="20% - Accent5 7" xfId="10730" hidden="1"/>
    <cellStyle name="20% - Accent5 7" xfId="10809" hidden="1"/>
    <cellStyle name="20% - Accent5 7" xfId="10898" hidden="1"/>
    <cellStyle name="20% - Accent5 7" xfId="10432" hidden="1"/>
    <cellStyle name="20% - Accent5 7" xfId="10442" hidden="1"/>
    <cellStyle name="20% - Accent5 7" xfId="11083" hidden="1"/>
    <cellStyle name="20% - Accent5 7" xfId="11325" hidden="1"/>
    <cellStyle name="20% - Accent5 7" xfId="11403" hidden="1"/>
    <cellStyle name="20% - Accent5 7" xfId="11484" hidden="1"/>
    <cellStyle name="20% - Accent5 7" xfId="10480" hidden="1"/>
    <cellStyle name="20% - Accent5 7" xfId="10901" hidden="1"/>
    <cellStyle name="20% - Accent5 7" xfId="11641" hidden="1"/>
    <cellStyle name="20% - Accent5 7" xfId="11857" hidden="1"/>
    <cellStyle name="20% - Accent5 7" xfId="11935" hidden="1"/>
    <cellStyle name="20% - Accent5 7" xfId="10345" hidden="1"/>
    <cellStyle name="20% - Accent5 7" xfId="12194" hidden="1"/>
    <cellStyle name="20% - Accent5 7" xfId="12272" hidden="1"/>
    <cellStyle name="20% - Accent5 7" xfId="11642" hidden="1"/>
    <cellStyle name="20% - Accent5 7" xfId="12531" hidden="1"/>
    <cellStyle name="20% - Accent5 7" xfId="12631" hidden="1"/>
    <cellStyle name="20% - Accent5 7" xfId="12706" hidden="1"/>
    <cellStyle name="20% - Accent5 7" xfId="12783" hidden="1"/>
    <cellStyle name="20% - Accent5 7" xfId="12861" hidden="1"/>
    <cellStyle name="20% - Accent5 7" xfId="13445" hidden="1"/>
    <cellStyle name="20% - Accent5 7" xfId="13522" hidden="1"/>
    <cellStyle name="20% - Accent5 7" xfId="13601" hidden="1"/>
    <cellStyle name="20% - Accent5 7" xfId="13690" hidden="1"/>
    <cellStyle name="20% - Accent5 7" xfId="13224" hidden="1"/>
    <cellStyle name="20% - Accent5 7" xfId="13234" hidden="1"/>
    <cellStyle name="20% - Accent5 7" xfId="13875" hidden="1"/>
    <cellStyle name="20% - Accent5 7" xfId="14117" hidden="1"/>
    <cellStyle name="20% - Accent5 7" xfId="14195" hidden="1"/>
    <cellStyle name="20% - Accent5 7" xfId="14276" hidden="1"/>
    <cellStyle name="20% - Accent5 7" xfId="13272" hidden="1"/>
    <cellStyle name="20% - Accent5 7" xfId="13693" hidden="1"/>
    <cellStyle name="20% - Accent5 7" xfId="14433" hidden="1"/>
    <cellStyle name="20% - Accent5 7" xfId="14649" hidden="1"/>
    <cellStyle name="20% - Accent5 7" xfId="14727" hidden="1"/>
    <cellStyle name="20% - Accent5 7" xfId="13137" hidden="1"/>
    <cellStyle name="20% - Accent5 7" xfId="14986" hidden="1"/>
    <cellStyle name="20% - Accent5 7" xfId="15064" hidden="1"/>
    <cellStyle name="20% - Accent5 7" xfId="14434" hidden="1"/>
    <cellStyle name="20% - Accent5 7" xfId="15323" hidden="1"/>
    <cellStyle name="20% - Accent5 7" xfId="9620" hidden="1"/>
    <cellStyle name="20% - Accent5 7" xfId="9511" hidden="1"/>
    <cellStyle name="20% - Accent5 7" xfId="9393" hidden="1"/>
    <cellStyle name="20% - Accent5 7" xfId="9285" hidden="1"/>
    <cellStyle name="20% - Accent5 7" xfId="7022" hidden="1"/>
    <cellStyle name="20% - Accent5 7" xfId="6932" hidden="1"/>
    <cellStyle name="20% - Accent5 7" xfId="6838" hidden="1"/>
    <cellStyle name="20% - Accent5 7" xfId="6638" hidden="1"/>
    <cellStyle name="20% - Accent5 7" xfId="7864" hidden="1"/>
    <cellStyle name="20% - Accent5 7" xfId="7818" hidden="1"/>
    <cellStyle name="20% - Accent5 7" xfId="5696" hidden="1"/>
    <cellStyle name="20% - Accent5 7" xfId="4716" hidden="1"/>
    <cellStyle name="20% - Accent5 7" xfId="4528" hidden="1"/>
    <cellStyle name="20% - Accent5 7" xfId="4280" hidden="1"/>
    <cellStyle name="20% - Accent5 7" xfId="7627" hidden="1"/>
    <cellStyle name="20% - Accent5 7" xfId="6628" hidden="1"/>
    <cellStyle name="20% - Accent5 7" xfId="3642" hidden="1"/>
    <cellStyle name="20% - Accent5 7" xfId="2559" hidden="1"/>
    <cellStyle name="20% - Accent5 7" xfId="2372" hidden="1"/>
    <cellStyle name="20% - Accent5 7" xfId="8147" hidden="1"/>
    <cellStyle name="20% - Accent5 7" xfId="1232" hidden="1"/>
    <cellStyle name="20% - Accent5 7" xfId="1071" hidden="1"/>
    <cellStyle name="20% - Accent5 7" xfId="3641" hidden="1"/>
    <cellStyle name="20% - Accent5 7" xfId="15491" hidden="1"/>
    <cellStyle name="20% - Accent5 7" xfId="16180" hidden="1"/>
    <cellStyle name="20% - Accent5 7" xfId="16255" hidden="1"/>
    <cellStyle name="20% - Accent5 7" xfId="16332" hidden="1"/>
    <cellStyle name="20% - Accent5 7" xfId="16410" hidden="1"/>
    <cellStyle name="20% - Accent5 7" xfId="16994" hidden="1"/>
    <cellStyle name="20% - Accent5 7" xfId="17071" hidden="1"/>
    <cellStyle name="20% - Accent5 7" xfId="17150" hidden="1"/>
    <cellStyle name="20% - Accent5 7" xfId="17239" hidden="1"/>
    <cellStyle name="20% - Accent5 7" xfId="16773" hidden="1"/>
    <cellStyle name="20% - Accent5 7" xfId="16783" hidden="1"/>
    <cellStyle name="20% - Accent5 7" xfId="17424" hidden="1"/>
    <cellStyle name="20% - Accent5 7" xfId="17666" hidden="1"/>
    <cellStyle name="20% - Accent5 7" xfId="17744" hidden="1"/>
    <cellStyle name="20% - Accent5 7" xfId="17825" hidden="1"/>
    <cellStyle name="20% - Accent5 7" xfId="16821" hidden="1"/>
    <cellStyle name="20% - Accent5 7" xfId="17242" hidden="1"/>
    <cellStyle name="20% - Accent5 7" xfId="17982" hidden="1"/>
    <cellStyle name="20% - Accent5 7" xfId="18198" hidden="1"/>
    <cellStyle name="20% - Accent5 7" xfId="18276" hidden="1"/>
    <cellStyle name="20% - Accent5 7" xfId="16686" hidden="1"/>
    <cellStyle name="20% - Accent5 7" xfId="18535" hidden="1"/>
    <cellStyle name="20% - Accent5 7" xfId="18613" hidden="1"/>
    <cellStyle name="20% - Accent5 7" xfId="17983" hidden="1"/>
    <cellStyle name="20% - Accent5 7" xfId="18872" hidden="1"/>
    <cellStyle name="20% - Accent5 7" xfId="18972" hidden="1"/>
    <cellStyle name="20% - Accent5 7" xfId="19047" hidden="1"/>
    <cellStyle name="20% - Accent5 7" xfId="19124" hidden="1"/>
    <cellStyle name="20% - Accent5 7" xfId="19202" hidden="1"/>
    <cellStyle name="20% - Accent5 7" xfId="19786" hidden="1"/>
    <cellStyle name="20% - Accent5 7" xfId="19863" hidden="1"/>
    <cellStyle name="20% - Accent5 7" xfId="19942" hidden="1"/>
    <cellStyle name="20% - Accent5 7" xfId="20031" hidden="1"/>
    <cellStyle name="20% - Accent5 7" xfId="19565" hidden="1"/>
    <cellStyle name="20% - Accent5 7" xfId="19575" hidden="1"/>
    <cellStyle name="20% - Accent5 7" xfId="20216" hidden="1"/>
    <cellStyle name="20% - Accent5 7" xfId="20458" hidden="1"/>
    <cellStyle name="20% - Accent5 7" xfId="20536" hidden="1"/>
    <cellStyle name="20% - Accent5 7" xfId="20617" hidden="1"/>
    <cellStyle name="20% - Accent5 7" xfId="19613" hidden="1"/>
    <cellStyle name="20% - Accent5 7" xfId="20034" hidden="1"/>
    <cellStyle name="20% - Accent5 7" xfId="20774" hidden="1"/>
    <cellStyle name="20% - Accent5 7" xfId="20990" hidden="1"/>
    <cellStyle name="20% - Accent5 7" xfId="21068" hidden="1"/>
    <cellStyle name="20% - Accent5 7" xfId="19478" hidden="1"/>
    <cellStyle name="20% - Accent5 7" xfId="21327" hidden="1"/>
    <cellStyle name="20% - Accent5 7" xfId="21405" hidden="1"/>
    <cellStyle name="20% - Accent5 7" xfId="20775" hidden="1"/>
    <cellStyle name="20% - Accent5 7" xfId="21664" hidden="1"/>
    <cellStyle name="20% - Accent5 7" xfId="16011" hidden="1"/>
    <cellStyle name="20% - Accent5 7" xfId="15936" hidden="1"/>
    <cellStyle name="20% - Accent5 7" xfId="15857" hidden="1"/>
    <cellStyle name="20% - Accent5 7" xfId="15772" hidden="1"/>
    <cellStyle name="20% - Accent5 7" xfId="8009" hidden="1"/>
    <cellStyle name="20% - Accent5 7" xfId="7809" hidden="1"/>
    <cellStyle name="20% - Accent5 7" xfId="7571" hidden="1"/>
    <cellStyle name="20% - Accent5 7" xfId="7341" hidden="1"/>
    <cellStyle name="20% - Accent5 7" xfId="8727" hidden="1"/>
    <cellStyle name="20% - Accent5 7" xfId="8709" hidden="1"/>
    <cellStyle name="20% - Accent5 7" xfId="6191" hidden="1"/>
    <cellStyle name="20% - Accent5 7" xfId="5121" hidden="1"/>
    <cellStyle name="20% - Accent5 7" xfId="5016" hidden="1"/>
    <cellStyle name="20% - Accent5 7" xfId="4898" hidden="1"/>
    <cellStyle name="20% - Accent5 7" xfId="8498" hidden="1"/>
    <cellStyle name="20% - Accent5 7" xfId="7325" hidden="1"/>
    <cellStyle name="20% - Accent5 7" xfId="3830" hidden="1"/>
    <cellStyle name="20% - Accent5 7" xfId="2930" hidden="1"/>
    <cellStyle name="20% - Accent5 7" xfId="2803" hidden="1"/>
    <cellStyle name="20% - Accent5 7" xfId="9072" hidden="1"/>
    <cellStyle name="20% - Accent5 7" xfId="1423" hidden="1"/>
    <cellStyle name="20% - Accent5 7" xfId="1151" hidden="1"/>
    <cellStyle name="20% - Accent5 7" xfId="3828" hidden="1"/>
    <cellStyle name="20% - Accent5 7" xfId="21802" hidden="1"/>
    <cellStyle name="20% - Accent5 7" xfId="22331" hidden="1"/>
    <cellStyle name="20% - Accent5 7" xfId="22406" hidden="1"/>
    <cellStyle name="20% - Accent5 7" xfId="22483" hidden="1"/>
    <cellStyle name="20% - Accent5 7" xfId="22561" hidden="1"/>
    <cellStyle name="20% - Accent5 7" xfId="23145" hidden="1"/>
    <cellStyle name="20% - Accent5 7" xfId="23222" hidden="1"/>
    <cellStyle name="20% - Accent5 7" xfId="23301" hidden="1"/>
    <cellStyle name="20% - Accent5 7" xfId="23390" hidden="1"/>
    <cellStyle name="20% - Accent5 7" xfId="22924" hidden="1"/>
    <cellStyle name="20% - Accent5 7" xfId="22934" hidden="1"/>
    <cellStyle name="20% - Accent5 7" xfId="23575" hidden="1"/>
    <cellStyle name="20% - Accent5 7" xfId="23817" hidden="1"/>
    <cellStyle name="20% - Accent5 7" xfId="23895" hidden="1"/>
    <cellStyle name="20% - Accent5 7" xfId="23976" hidden="1"/>
    <cellStyle name="20% - Accent5 7" xfId="22972" hidden="1"/>
    <cellStyle name="20% - Accent5 7" xfId="23393" hidden="1"/>
    <cellStyle name="20% - Accent5 7" xfId="24133" hidden="1"/>
    <cellStyle name="20% - Accent5 7" xfId="24349" hidden="1"/>
    <cellStyle name="20% - Accent5 7" xfId="24427" hidden="1"/>
    <cellStyle name="20% - Accent5 7" xfId="22837" hidden="1"/>
    <cellStyle name="20% - Accent5 7" xfId="24686" hidden="1"/>
    <cellStyle name="20% - Accent5 7" xfId="24764" hidden="1"/>
    <cellStyle name="20% - Accent5 7" xfId="24134" hidden="1"/>
    <cellStyle name="20% - Accent5 7" xfId="25023" hidden="1"/>
    <cellStyle name="20% - Accent5 7" xfId="25123" hidden="1"/>
    <cellStyle name="20% - Accent5 7" xfId="25198" hidden="1"/>
    <cellStyle name="20% - Accent5 7" xfId="25275" hidden="1"/>
    <cellStyle name="20% - Accent5 7" xfId="25353" hidden="1"/>
    <cellStyle name="20% - Accent5 7" xfId="25937" hidden="1"/>
    <cellStyle name="20% - Accent5 7" xfId="26014" hidden="1"/>
    <cellStyle name="20% - Accent5 7" xfId="26093" hidden="1"/>
    <cellStyle name="20% - Accent5 7" xfId="26182" hidden="1"/>
    <cellStyle name="20% - Accent5 7" xfId="25716" hidden="1"/>
    <cellStyle name="20% - Accent5 7" xfId="25726" hidden="1"/>
    <cellStyle name="20% - Accent5 7" xfId="26367" hidden="1"/>
    <cellStyle name="20% - Accent5 7" xfId="26609" hidden="1"/>
    <cellStyle name="20% - Accent5 7" xfId="26687" hidden="1"/>
    <cellStyle name="20% - Accent5 7" xfId="26768" hidden="1"/>
    <cellStyle name="20% - Accent5 7" xfId="25764" hidden="1"/>
    <cellStyle name="20% - Accent5 7" xfId="26185" hidden="1"/>
    <cellStyle name="20% - Accent5 7" xfId="26925" hidden="1"/>
    <cellStyle name="20% - Accent5 7" xfId="27141" hidden="1"/>
    <cellStyle name="20% - Accent5 7" xfId="27219" hidden="1"/>
    <cellStyle name="20% - Accent5 7" xfId="25629" hidden="1"/>
    <cellStyle name="20% - Accent5 7" xfId="27478" hidden="1"/>
    <cellStyle name="20% - Accent5 7" xfId="27556" hidden="1"/>
    <cellStyle name="20% - Accent5 7" xfId="26926" hidden="1"/>
    <cellStyle name="20% - Accent5 7" xfId="27815" hidden="1"/>
    <cellStyle name="20% - Accent5 7" xfId="22264" hidden="1"/>
    <cellStyle name="20% - Accent5 7" xfId="22189" hidden="1"/>
    <cellStyle name="20% - Accent5 7" xfId="22110" hidden="1"/>
    <cellStyle name="20% - Accent5 7" xfId="22025" hidden="1"/>
    <cellStyle name="20% - Accent5 7" xfId="8919" hidden="1"/>
    <cellStyle name="20% - Accent5 7" xfId="8707" hidden="1"/>
    <cellStyle name="20% - Accent5 7" xfId="8472" hidden="1"/>
    <cellStyle name="20% - Accent5 7" xfId="8195" hidden="1"/>
    <cellStyle name="20% - Accent5 7" xfId="9790" hidden="1"/>
    <cellStyle name="20% - Accent5 7" xfId="9777" hidden="1"/>
    <cellStyle name="20% - Accent5 7" xfId="6746" hidden="1"/>
    <cellStyle name="20% - Accent5 7" xfId="5629" hidden="1"/>
    <cellStyle name="20% - Accent5 7" xfId="5533" hidden="1"/>
    <cellStyle name="20% - Accent5 7" xfId="5331" hidden="1"/>
    <cellStyle name="20% - Accent5 7" xfId="9557" hidden="1"/>
    <cellStyle name="20% - Accent5 7" xfId="8182" hidden="1"/>
    <cellStyle name="20% - Accent5 7" xfId="4009" hidden="1"/>
    <cellStyle name="20% - Accent5 7" xfId="3300" hidden="1"/>
    <cellStyle name="20% - Accent5 7" xfId="3094" hidden="1"/>
    <cellStyle name="20% - Accent5 7" xfId="15604" hidden="1"/>
    <cellStyle name="20% - Accent5 7" xfId="1576" hidden="1"/>
    <cellStyle name="20% - Accent5 7" xfId="1308" hidden="1"/>
    <cellStyle name="20% - Accent5 7" xfId="4008" hidden="1"/>
    <cellStyle name="20% - Accent5 7" xfId="27950" hidden="1"/>
    <cellStyle name="20% - Accent5 7" xfId="28050" hidden="1"/>
    <cellStyle name="20% - Accent5 7" xfId="28125" hidden="1"/>
    <cellStyle name="20% - Accent5 7" xfId="28202" hidden="1"/>
    <cellStyle name="20% - Accent5 7" xfId="28280" hidden="1"/>
    <cellStyle name="20% - Accent5 7" xfId="28864" hidden="1"/>
    <cellStyle name="20% - Accent5 7" xfId="28941" hidden="1"/>
    <cellStyle name="20% - Accent5 7" xfId="29020" hidden="1"/>
    <cellStyle name="20% - Accent5 7" xfId="29109" hidden="1"/>
    <cellStyle name="20% - Accent5 7" xfId="28643" hidden="1"/>
    <cellStyle name="20% - Accent5 7" xfId="28653" hidden="1"/>
    <cellStyle name="20% - Accent5 7" xfId="29294" hidden="1"/>
    <cellStyle name="20% - Accent5 7" xfId="29536" hidden="1"/>
    <cellStyle name="20% - Accent5 7" xfId="29614" hidden="1"/>
    <cellStyle name="20% - Accent5 7" xfId="29695" hidden="1"/>
    <cellStyle name="20% - Accent5 7" xfId="28691" hidden="1"/>
    <cellStyle name="20% - Accent5 7" xfId="29112" hidden="1"/>
    <cellStyle name="20% - Accent5 7" xfId="29852" hidden="1"/>
    <cellStyle name="20% - Accent5 7" xfId="30068" hidden="1"/>
    <cellStyle name="20% - Accent5 7" xfId="30146" hidden="1"/>
    <cellStyle name="20% - Accent5 7" xfId="28556" hidden="1"/>
    <cellStyle name="20% - Accent5 7" xfId="30405" hidden="1"/>
    <cellStyle name="20% - Accent5 7" xfId="30483" hidden="1"/>
    <cellStyle name="20% - Accent5 7" xfId="29853" hidden="1"/>
    <cellStyle name="20% - Accent5 7" xfId="30742" hidden="1"/>
    <cellStyle name="20% - Accent5 7" xfId="30842" hidden="1"/>
    <cellStyle name="20% - Accent5 7" xfId="30917" hidden="1"/>
    <cellStyle name="20% - Accent5 7" xfId="30994" hidden="1"/>
    <cellStyle name="20% - Accent5 7" xfId="31072" hidden="1"/>
    <cellStyle name="20% - Accent5 7" xfId="31656" hidden="1"/>
    <cellStyle name="20% - Accent5 7" xfId="31733" hidden="1"/>
    <cellStyle name="20% - Accent5 7" xfId="31812" hidden="1"/>
    <cellStyle name="20% - Accent5 7" xfId="31901" hidden="1"/>
    <cellStyle name="20% - Accent5 7" xfId="31435" hidden="1"/>
    <cellStyle name="20% - Accent5 7" xfId="31445" hidden="1"/>
    <cellStyle name="20% - Accent5 7" xfId="32086" hidden="1"/>
    <cellStyle name="20% - Accent5 7" xfId="32328" hidden="1"/>
    <cellStyle name="20% - Accent5 7" xfId="32406" hidden="1"/>
    <cellStyle name="20% - Accent5 7" xfId="32487" hidden="1"/>
    <cellStyle name="20% - Accent5 7" xfId="31483" hidden="1"/>
    <cellStyle name="20% - Accent5 7" xfId="31904" hidden="1"/>
    <cellStyle name="20% - Accent5 7" xfId="32644" hidden="1"/>
    <cellStyle name="20% - Accent5 7" xfId="32860" hidden="1"/>
    <cellStyle name="20% - Accent5 7" xfId="32938" hidden="1"/>
    <cellStyle name="20% - Accent5 7" xfId="31348" hidden="1"/>
    <cellStyle name="20% - Accent5 7" xfId="33197" hidden="1"/>
    <cellStyle name="20% - Accent5 7" xfId="33275" hidden="1"/>
    <cellStyle name="20% - Accent5 7" xfId="32645" hidden="1"/>
    <cellStyle name="20% - Accent5 7" xfId="33534" hidden="1"/>
    <cellStyle name="20% - Accent5 8" xfId="161" hidden="1"/>
    <cellStyle name="20% - Accent5 8" xfId="241" hidden="1"/>
    <cellStyle name="20% - Accent5 8" xfId="323" hidden="1"/>
    <cellStyle name="20% - Accent5 8" xfId="657" hidden="1"/>
    <cellStyle name="20% - Accent5 8" xfId="2403" hidden="1"/>
    <cellStyle name="20% - Accent5 8" xfId="2554" hidden="1"/>
    <cellStyle name="20% - Accent5 8" xfId="2735" hidden="1"/>
    <cellStyle name="20% - Accent5 8" xfId="3043" hidden="1"/>
    <cellStyle name="20% - Accent5 8" xfId="2084" hidden="1"/>
    <cellStyle name="20% - Accent5 8" xfId="2220" hidden="1"/>
    <cellStyle name="20% - Accent5 8" xfId="4326" hidden="1"/>
    <cellStyle name="20% - Accent5 8" xfId="4571" hidden="1"/>
    <cellStyle name="20% - Accent5 8" xfId="4730" hidden="1"/>
    <cellStyle name="20% - Accent5 8" xfId="4933" hidden="1"/>
    <cellStyle name="20% - Accent5 8" xfId="1877" hidden="1"/>
    <cellStyle name="20% - Accent5 8" xfId="3976" hidden="1"/>
    <cellStyle name="20% - Accent5 8" xfId="6345" hidden="1"/>
    <cellStyle name="20% - Accent5 8" xfId="6452" hidden="1"/>
    <cellStyle name="20% - Accent5 8" xfId="6650" hidden="1"/>
    <cellStyle name="20% - Accent5 8" xfId="7504" hidden="1"/>
    <cellStyle name="20% - Accent5 8" xfId="7657" hidden="1"/>
    <cellStyle name="20% - Accent5 8" xfId="7838" hidden="1"/>
    <cellStyle name="20% - Accent5 8" xfId="8751" hidden="1"/>
    <cellStyle name="20% - Accent5 8" xfId="8929" hidden="1"/>
    <cellStyle name="20% - Accent5 8" xfId="9852" hidden="1"/>
    <cellStyle name="20% - Accent5 8" xfId="9926" hidden="1"/>
    <cellStyle name="20% - Accent5 8" xfId="10002" hidden="1"/>
    <cellStyle name="20% - Accent5 8" xfId="10080" hidden="1"/>
    <cellStyle name="20% - Accent5 8" xfId="10665" hidden="1"/>
    <cellStyle name="20% - Accent5 8" xfId="10741" hidden="1"/>
    <cellStyle name="20% - Accent5 8" xfId="10820" hidden="1"/>
    <cellStyle name="20% - Accent5 8" xfId="10911" hidden="1"/>
    <cellStyle name="20% - Accent5 8" xfId="10542" hidden="1"/>
    <cellStyle name="20% - Accent5 8" xfId="10570" hidden="1"/>
    <cellStyle name="20% - Accent5 8" xfId="11260" hidden="1"/>
    <cellStyle name="20% - Accent5 8" xfId="11336" hidden="1"/>
    <cellStyle name="20% - Accent5 8" xfId="11414" hidden="1"/>
    <cellStyle name="20% - Accent5 8" xfId="11493" hidden="1"/>
    <cellStyle name="20% - Accent5 8" xfId="10452" hidden="1"/>
    <cellStyle name="20% - Accent5 8" xfId="11121" hidden="1"/>
    <cellStyle name="20% - Accent5 8" xfId="11792" hidden="1"/>
    <cellStyle name="20% - Accent5 8" xfId="11868" hidden="1"/>
    <cellStyle name="20% - Accent5 8" xfId="11946" hidden="1"/>
    <cellStyle name="20% - Accent5 8" xfId="12129" hidden="1"/>
    <cellStyle name="20% - Accent5 8" xfId="12205" hidden="1"/>
    <cellStyle name="20% - Accent5 8" xfId="12283" hidden="1"/>
    <cellStyle name="20% - Accent5 8" xfId="12466" hidden="1"/>
    <cellStyle name="20% - Accent5 8" xfId="12542" hidden="1"/>
    <cellStyle name="20% - Accent5 8" xfId="12644" hidden="1"/>
    <cellStyle name="20% - Accent5 8" xfId="12718" hidden="1"/>
    <cellStyle name="20% - Accent5 8" xfId="12794" hidden="1"/>
    <cellStyle name="20% - Accent5 8" xfId="12872" hidden="1"/>
    <cellStyle name="20% - Accent5 8" xfId="13457" hidden="1"/>
    <cellStyle name="20% - Accent5 8" xfId="13533" hidden="1"/>
    <cellStyle name="20% - Accent5 8" xfId="13612" hidden="1"/>
    <cellStyle name="20% - Accent5 8" xfId="13703" hidden="1"/>
    <cellStyle name="20% - Accent5 8" xfId="13334" hidden="1"/>
    <cellStyle name="20% - Accent5 8" xfId="13362" hidden="1"/>
    <cellStyle name="20% - Accent5 8" xfId="14052" hidden="1"/>
    <cellStyle name="20% - Accent5 8" xfId="14128" hidden="1"/>
    <cellStyle name="20% - Accent5 8" xfId="14206" hidden="1"/>
    <cellStyle name="20% - Accent5 8" xfId="14285" hidden="1"/>
    <cellStyle name="20% - Accent5 8" xfId="13244" hidden="1"/>
    <cellStyle name="20% - Accent5 8" xfId="13913" hidden="1"/>
    <cellStyle name="20% - Accent5 8" xfId="14584" hidden="1"/>
    <cellStyle name="20% - Accent5 8" xfId="14660" hidden="1"/>
    <cellStyle name="20% - Accent5 8" xfId="14738" hidden="1"/>
    <cellStyle name="20% - Accent5 8" xfId="14921" hidden="1"/>
    <cellStyle name="20% - Accent5 8" xfId="14997" hidden="1"/>
    <cellStyle name="20% - Accent5 8" xfId="15075" hidden="1"/>
    <cellStyle name="20% - Accent5 8" xfId="15258" hidden="1"/>
    <cellStyle name="20% - Accent5 8" xfId="15334" hidden="1"/>
    <cellStyle name="20% - Accent5 8" xfId="9605" hidden="1"/>
    <cellStyle name="20% - Accent5 8" xfId="9496" hidden="1"/>
    <cellStyle name="20% - Accent5 8" xfId="9376" hidden="1"/>
    <cellStyle name="20% - Accent5 8" xfId="9270" hidden="1"/>
    <cellStyle name="20% - Accent5 8" xfId="7009" hidden="1"/>
    <cellStyle name="20% - Accent5 8" xfId="6921" hidden="1"/>
    <cellStyle name="20% - Accent5 8" xfId="6827" hidden="1"/>
    <cellStyle name="20% - Accent5 8" xfId="6451" hidden="1"/>
    <cellStyle name="20% - Accent5 8" xfId="7415" hidden="1"/>
    <cellStyle name="20% - Accent5 8" xfId="7356" hidden="1"/>
    <cellStyle name="20% - Accent5 8" xfId="4874" hidden="1"/>
    <cellStyle name="20% - Accent5 8" xfId="4700" hidden="1"/>
    <cellStyle name="20% - Accent5 8" xfId="4497" hidden="1"/>
    <cellStyle name="20% - Accent5 8" xfId="4263" hidden="1"/>
    <cellStyle name="20% - Accent5 8" xfId="7794" hidden="1"/>
    <cellStyle name="20% - Accent5 8" xfId="5468" hidden="1"/>
    <cellStyle name="20% - Accent5 8" xfId="2772" hidden="1"/>
    <cellStyle name="20% - Accent5 8" xfId="2531" hidden="1"/>
    <cellStyle name="20% - Accent5 8" xfId="2357" hidden="1"/>
    <cellStyle name="20% - Accent5 8" xfId="1405" hidden="1"/>
    <cellStyle name="20% - Accent5 8" xfId="1215" hidden="1"/>
    <cellStyle name="20% - Accent5 8" xfId="1060" hidden="1"/>
    <cellStyle name="20% - Accent5 8" xfId="9808" hidden="1"/>
    <cellStyle name="20% - Accent5 8" xfId="15504" hidden="1"/>
    <cellStyle name="20% - Accent5 8" xfId="16193" hidden="1"/>
    <cellStyle name="20% - Accent5 8" xfId="16267" hidden="1"/>
    <cellStyle name="20% - Accent5 8" xfId="16343" hidden="1"/>
    <cellStyle name="20% - Accent5 8" xfId="16421" hidden="1"/>
    <cellStyle name="20% - Accent5 8" xfId="17006" hidden="1"/>
    <cellStyle name="20% - Accent5 8" xfId="17082" hidden="1"/>
    <cellStyle name="20% - Accent5 8" xfId="17161" hidden="1"/>
    <cellStyle name="20% - Accent5 8" xfId="17252" hidden="1"/>
    <cellStyle name="20% - Accent5 8" xfId="16883" hidden="1"/>
    <cellStyle name="20% - Accent5 8" xfId="16911" hidden="1"/>
    <cellStyle name="20% - Accent5 8" xfId="17601" hidden="1"/>
    <cellStyle name="20% - Accent5 8" xfId="17677" hidden="1"/>
    <cellStyle name="20% - Accent5 8" xfId="17755" hidden="1"/>
    <cellStyle name="20% - Accent5 8" xfId="17834" hidden="1"/>
    <cellStyle name="20% - Accent5 8" xfId="16793" hidden="1"/>
    <cellStyle name="20% - Accent5 8" xfId="17462" hidden="1"/>
    <cellStyle name="20% - Accent5 8" xfId="18133" hidden="1"/>
    <cellStyle name="20% - Accent5 8" xfId="18209" hidden="1"/>
    <cellStyle name="20% - Accent5 8" xfId="18287" hidden="1"/>
    <cellStyle name="20% - Accent5 8" xfId="18470" hidden="1"/>
    <cellStyle name="20% - Accent5 8" xfId="18546" hidden="1"/>
    <cellStyle name="20% - Accent5 8" xfId="18624" hidden="1"/>
    <cellStyle name="20% - Accent5 8" xfId="18807" hidden="1"/>
    <cellStyle name="20% - Accent5 8" xfId="18883" hidden="1"/>
    <cellStyle name="20% - Accent5 8" xfId="18985" hidden="1"/>
    <cellStyle name="20% - Accent5 8" xfId="19059" hidden="1"/>
    <cellStyle name="20% - Accent5 8" xfId="19135" hidden="1"/>
    <cellStyle name="20% - Accent5 8" xfId="19213" hidden="1"/>
    <cellStyle name="20% - Accent5 8" xfId="19798" hidden="1"/>
    <cellStyle name="20% - Accent5 8" xfId="19874" hidden="1"/>
    <cellStyle name="20% - Accent5 8" xfId="19953" hidden="1"/>
    <cellStyle name="20% - Accent5 8" xfId="20044" hidden="1"/>
    <cellStyle name="20% - Accent5 8" xfId="19675" hidden="1"/>
    <cellStyle name="20% - Accent5 8" xfId="19703" hidden="1"/>
    <cellStyle name="20% - Accent5 8" xfId="20393" hidden="1"/>
    <cellStyle name="20% - Accent5 8" xfId="20469" hidden="1"/>
    <cellStyle name="20% - Accent5 8" xfId="20547" hidden="1"/>
    <cellStyle name="20% - Accent5 8" xfId="20626" hidden="1"/>
    <cellStyle name="20% - Accent5 8" xfId="19585" hidden="1"/>
    <cellStyle name="20% - Accent5 8" xfId="20254" hidden="1"/>
    <cellStyle name="20% - Accent5 8" xfId="20925" hidden="1"/>
    <cellStyle name="20% - Accent5 8" xfId="21001" hidden="1"/>
    <cellStyle name="20% - Accent5 8" xfId="21079" hidden="1"/>
    <cellStyle name="20% - Accent5 8" xfId="21262" hidden="1"/>
    <cellStyle name="20% - Accent5 8" xfId="21338" hidden="1"/>
    <cellStyle name="20% - Accent5 8" xfId="21416" hidden="1"/>
    <cellStyle name="20% - Accent5 8" xfId="21599" hidden="1"/>
    <cellStyle name="20% - Accent5 8" xfId="21675" hidden="1"/>
    <cellStyle name="20% - Accent5 8" xfId="15998" hidden="1"/>
    <cellStyle name="20% - Accent5 8" xfId="15924" hidden="1"/>
    <cellStyle name="20% - Accent5 8" xfId="15844" hidden="1"/>
    <cellStyle name="20% - Accent5 8" xfId="15761" hidden="1"/>
    <cellStyle name="20% - Accent5 8" xfId="7988" hidden="1"/>
    <cellStyle name="20% - Accent5 8" xfId="7790" hidden="1"/>
    <cellStyle name="20% - Accent5 8" xfId="7535" hidden="1"/>
    <cellStyle name="20% - Accent5 8" xfId="7182" hidden="1"/>
    <cellStyle name="20% - Accent5 8" xfId="8366" hidden="1"/>
    <cellStyle name="20% - Accent5 8" xfId="8206" hidden="1"/>
    <cellStyle name="20% - Accent5 8" xfId="5310" hidden="1"/>
    <cellStyle name="20% - Accent5 8" xfId="5110" hidden="1"/>
    <cellStyle name="20% - Accent5 8" xfId="5004" hidden="1"/>
    <cellStyle name="20% - Accent5 8" xfId="4789" hidden="1"/>
    <cellStyle name="20% - Accent5 8" xfId="8684" hidden="1"/>
    <cellStyle name="20% - Accent5 8" xfId="5902" hidden="1"/>
    <cellStyle name="20% - Accent5 8" xfId="3066" hidden="1"/>
    <cellStyle name="20% - Accent5 8" xfId="2919" hidden="1"/>
    <cellStyle name="20% - Accent5 8" xfId="2752" hidden="1"/>
    <cellStyle name="20% - Accent5 8" xfId="1552" hidden="1"/>
    <cellStyle name="20% - Accent5 8" xfId="1397" hidden="1"/>
    <cellStyle name="20% - Accent5 8" xfId="1134" hidden="1"/>
    <cellStyle name="20% - Accent5 8" xfId="9804" hidden="1"/>
    <cellStyle name="20% - Accent5 8" xfId="21813" hidden="1"/>
    <cellStyle name="20% - Accent5 8" xfId="22344" hidden="1"/>
    <cellStyle name="20% - Accent5 8" xfId="22418" hidden="1"/>
    <cellStyle name="20% - Accent5 8" xfId="22494" hidden="1"/>
    <cellStyle name="20% - Accent5 8" xfId="22572" hidden="1"/>
    <cellStyle name="20% - Accent5 8" xfId="23157" hidden="1"/>
    <cellStyle name="20% - Accent5 8" xfId="23233" hidden="1"/>
    <cellStyle name="20% - Accent5 8" xfId="23312" hidden="1"/>
    <cellStyle name="20% - Accent5 8" xfId="23403" hidden="1"/>
    <cellStyle name="20% - Accent5 8" xfId="23034" hidden="1"/>
    <cellStyle name="20% - Accent5 8" xfId="23062" hidden="1"/>
    <cellStyle name="20% - Accent5 8" xfId="23752" hidden="1"/>
    <cellStyle name="20% - Accent5 8" xfId="23828" hidden="1"/>
    <cellStyle name="20% - Accent5 8" xfId="23906" hidden="1"/>
    <cellStyle name="20% - Accent5 8" xfId="23985" hidden="1"/>
    <cellStyle name="20% - Accent5 8" xfId="22944" hidden="1"/>
    <cellStyle name="20% - Accent5 8" xfId="23613" hidden="1"/>
    <cellStyle name="20% - Accent5 8" xfId="24284" hidden="1"/>
    <cellStyle name="20% - Accent5 8" xfId="24360" hidden="1"/>
    <cellStyle name="20% - Accent5 8" xfId="24438" hidden="1"/>
    <cellStyle name="20% - Accent5 8" xfId="24621" hidden="1"/>
    <cellStyle name="20% - Accent5 8" xfId="24697" hidden="1"/>
    <cellStyle name="20% - Accent5 8" xfId="24775" hidden="1"/>
    <cellStyle name="20% - Accent5 8" xfId="24958" hidden="1"/>
    <cellStyle name="20% - Accent5 8" xfId="25034" hidden="1"/>
    <cellStyle name="20% - Accent5 8" xfId="25136" hidden="1"/>
    <cellStyle name="20% - Accent5 8" xfId="25210" hidden="1"/>
    <cellStyle name="20% - Accent5 8" xfId="25286" hidden="1"/>
    <cellStyle name="20% - Accent5 8" xfId="25364" hidden="1"/>
    <cellStyle name="20% - Accent5 8" xfId="25949" hidden="1"/>
    <cellStyle name="20% - Accent5 8" xfId="26025" hidden="1"/>
    <cellStyle name="20% - Accent5 8" xfId="26104" hidden="1"/>
    <cellStyle name="20% - Accent5 8" xfId="26195" hidden="1"/>
    <cellStyle name="20% - Accent5 8" xfId="25826" hidden="1"/>
    <cellStyle name="20% - Accent5 8" xfId="25854" hidden="1"/>
    <cellStyle name="20% - Accent5 8" xfId="26544" hidden="1"/>
    <cellStyle name="20% - Accent5 8" xfId="26620" hidden="1"/>
    <cellStyle name="20% - Accent5 8" xfId="26698" hidden="1"/>
    <cellStyle name="20% - Accent5 8" xfId="26777" hidden="1"/>
    <cellStyle name="20% - Accent5 8" xfId="25736" hidden="1"/>
    <cellStyle name="20% - Accent5 8" xfId="26405" hidden="1"/>
    <cellStyle name="20% - Accent5 8" xfId="27076" hidden="1"/>
    <cellStyle name="20% - Accent5 8" xfId="27152" hidden="1"/>
    <cellStyle name="20% - Accent5 8" xfId="27230" hidden="1"/>
    <cellStyle name="20% - Accent5 8" xfId="27413" hidden="1"/>
    <cellStyle name="20% - Accent5 8" xfId="27489" hidden="1"/>
    <cellStyle name="20% - Accent5 8" xfId="27567" hidden="1"/>
    <cellStyle name="20% - Accent5 8" xfId="27750" hidden="1"/>
    <cellStyle name="20% - Accent5 8" xfId="27826" hidden="1"/>
    <cellStyle name="20% - Accent5 8" xfId="22251" hidden="1"/>
    <cellStyle name="20% - Accent5 8" xfId="22177" hidden="1"/>
    <cellStyle name="20% - Accent5 8" xfId="22097" hidden="1"/>
    <cellStyle name="20% - Accent5 8" xfId="22014" hidden="1"/>
    <cellStyle name="20% - Accent5 8" xfId="8897" hidden="1"/>
    <cellStyle name="20% - Accent5 8" xfId="8687" hidden="1"/>
    <cellStyle name="20% - Accent5 8" xfId="8455" hidden="1"/>
    <cellStyle name="20% - Accent5 8" xfId="8115" hidden="1"/>
    <cellStyle name="20% - Accent5 8" xfId="9392" hidden="1"/>
    <cellStyle name="20% - Accent5 8" xfId="9264" hidden="1"/>
    <cellStyle name="20% - Accent5 8" xfId="5863" hidden="1"/>
    <cellStyle name="20% - Accent5 8" xfId="5617" hidden="1"/>
    <cellStyle name="20% - Accent5 8" xfId="5518" hidden="1"/>
    <cellStyle name="20% - Accent5 8" xfId="5243" hidden="1"/>
    <cellStyle name="20% - Accent5 8" xfId="9765" hidden="1"/>
    <cellStyle name="20% - Accent5 8" xfId="6320" hidden="1"/>
    <cellStyle name="20% - Accent5 8" xfId="3382" hidden="1"/>
    <cellStyle name="20% - Accent5 8" xfId="3287" hidden="1"/>
    <cellStyle name="20% - Accent5 8" xfId="3061" hidden="1"/>
    <cellStyle name="20% - Accent5 8" xfId="1679" hidden="1"/>
    <cellStyle name="20% - Accent5 8" xfId="1554" hidden="1"/>
    <cellStyle name="20% - Accent5 8" xfId="1279" hidden="1"/>
    <cellStyle name="20% - Accent5 8" xfId="16146" hidden="1"/>
    <cellStyle name="20% - Accent5 8" xfId="27961" hidden="1"/>
    <cellStyle name="20% - Accent5 8" xfId="28063" hidden="1"/>
    <cellStyle name="20% - Accent5 8" xfId="28137" hidden="1"/>
    <cellStyle name="20% - Accent5 8" xfId="28213" hidden="1"/>
    <cellStyle name="20% - Accent5 8" xfId="28291" hidden="1"/>
    <cellStyle name="20% - Accent5 8" xfId="28876" hidden="1"/>
    <cellStyle name="20% - Accent5 8" xfId="28952" hidden="1"/>
    <cellStyle name="20% - Accent5 8" xfId="29031" hidden="1"/>
    <cellStyle name="20% - Accent5 8" xfId="29122" hidden="1"/>
    <cellStyle name="20% - Accent5 8" xfId="28753" hidden="1"/>
    <cellStyle name="20% - Accent5 8" xfId="28781" hidden="1"/>
    <cellStyle name="20% - Accent5 8" xfId="29471" hidden="1"/>
    <cellStyle name="20% - Accent5 8" xfId="29547" hidden="1"/>
    <cellStyle name="20% - Accent5 8" xfId="29625" hidden="1"/>
    <cellStyle name="20% - Accent5 8" xfId="29704" hidden="1"/>
    <cellStyle name="20% - Accent5 8" xfId="28663" hidden="1"/>
    <cellStyle name="20% - Accent5 8" xfId="29332" hidden="1"/>
    <cellStyle name="20% - Accent5 8" xfId="30003" hidden="1"/>
    <cellStyle name="20% - Accent5 8" xfId="30079" hidden="1"/>
    <cellStyle name="20% - Accent5 8" xfId="30157" hidden="1"/>
    <cellStyle name="20% - Accent5 8" xfId="30340" hidden="1"/>
    <cellStyle name="20% - Accent5 8" xfId="30416" hidden="1"/>
    <cellStyle name="20% - Accent5 8" xfId="30494" hidden="1"/>
    <cellStyle name="20% - Accent5 8" xfId="30677" hidden="1"/>
    <cellStyle name="20% - Accent5 8" xfId="30753" hidden="1"/>
    <cellStyle name="20% - Accent5 8" xfId="30855" hidden="1"/>
    <cellStyle name="20% - Accent5 8" xfId="30929" hidden="1"/>
    <cellStyle name="20% - Accent5 8" xfId="31005" hidden="1"/>
    <cellStyle name="20% - Accent5 8" xfId="31083" hidden="1"/>
    <cellStyle name="20% - Accent5 8" xfId="31668" hidden="1"/>
    <cellStyle name="20% - Accent5 8" xfId="31744" hidden="1"/>
    <cellStyle name="20% - Accent5 8" xfId="31823" hidden="1"/>
    <cellStyle name="20% - Accent5 8" xfId="31914" hidden="1"/>
    <cellStyle name="20% - Accent5 8" xfId="31545" hidden="1"/>
    <cellStyle name="20% - Accent5 8" xfId="31573" hidden="1"/>
    <cellStyle name="20% - Accent5 8" xfId="32263" hidden="1"/>
    <cellStyle name="20% - Accent5 8" xfId="32339" hidden="1"/>
    <cellStyle name="20% - Accent5 8" xfId="32417" hidden="1"/>
    <cellStyle name="20% - Accent5 8" xfId="32496" hidden="1"/>
    <cellStyle name="20% - Accent5 8" xfId="31455" hidden="1"/>
    <cellStyle name="20% - Accent5 8" xfId="32124" hidden="1"/>
    <cellStyle name="20% - Accent5 8" xfId="32795" hidden="1"/>
    <cellStyle name="20% - Accent5 8" xfId="32871" hidden="1"/>
    <cellStyle name="20% - Accent5 8" xfId="32949" hidden="1"/>
    <cellStyle name="20% - Accent5 8" xfId="33132" hidden="1"/>
    <cellStyle name="20% - Accent5 8" xfId="33208" hidden="1"/>
    <cellStyle name="20% - Accent5 8" xfId="33286" hidden="1"/>
    <cellStyle name="20% - Accent5 8" xfId="33469" hidden="1"/>
    <cellStyle name="20% - Accent5 8" xfId="33545" hidden="1"/>
    <cellStyle name="20% - Accent5 9" xfId="174" hidden="1"/>
    <cellStyle name="20% - Accent5 9" xfId="254" hidden="1"/>
    <cellStyle name="20% - Accent5 9" xfId="358" hidden="1"/>
    <cellStyle name="20% - Accent5 9" xfId="692" hidden="1"/>
    <cellStyle name="20% - Accent5 9" xfId="2418" hidden="1"/>
    <cellStyle name="20% - Accent5 9" xfId="2569" hidden="1"/>
    <cellStyle name="20% - Accent5 9" xfId="2761" hidden="1"/>
    <cellStyle name="20% - Accent5 9" xfId="3163" hidden="1"/>
    <cellStyle name="20% - Accent5 9" xfId="2054" hidden="1"/>
    <cellStyle name="20% - Accent5 9" xfId="2255" hidden="1"/>
    <cellStyle name="20% - Accent5 9" xfId="4360" hidden="1"/>
    <cellStyle name="20% - Accent5 9" xfId="4585" hidden="1"/>
    <cellStyle name="20% - Accent5 9" xfId="4748" hidden="1"/>
    <cellStyle name="20% - Accent5 9" xfId="5018" hidden="1"/>
    <cellStyle name="20% - Accent5 9" xfId="1697" hidden="1"/>
    <cellStyle name="20% - Accent5 9" xfId="2208" hidden="1"/>
    <cellStyle name="20% - Accent5 9" xfId="6362" hidden="1"/>
    <cellStyle name="20% - Accent5 9" xfId="6468" hidden="1"/>
    <cellStyle name="20% - Accent5 9" xfId="6665" hidden="1"/>
    <cellStyle name="20% - Accent5 9" xfId="7526" hidden="1"/>
    <cellStyle name="20% - Accent5 9" xfId="7678" hidden="1"/>
    <cellStyle name="20% - Accent5 9" xfId="7856" hidden="1"/>
    <cellStyle name="20% - Accent5 9" xfId="8771" hidden="1"/>
    <cellStyle name="20% - Accent5 9" xfId="8947" hidden="1"/>
    <cellStyle name="20% - Accent5 9" xfId="9865" hidden="1"/>
    <cellStyle name="20% - Accent5 9" xfId="9939" hidden="1"/>
    <cellStyle name="20% - Accent5 9" xfId="10015" hidden="1"/>
    <cellStyle name="20% - Accent5 9" xfId="10093" hidden="1"/>
    <cellStyle name="20% - Accent5 9" xfId="10678" hidden="1"/>
    <cellStyle name="20% - Accent5 9" xfId="10754" hidden="1"/>
    <cellStyle name="20% - Accent5 9" xfId="10833" hidden="1"/>
    <cellStyle name="20% - Accent5 9" xfId="10939" hidden="1"/>
    <cellStyle name="20% - Accent5 9" xfId="10519" hidden="1"/>
    <cellStyle name="20% - Accent5 9" xfId="10599" hidden="1"/>
    <cellStyle name="20% - Accent5 9" xfId="11273" hidden="1"/>
    <cellStyle name="20% - Accent5 9" xfId="11349" hidden="1"/>
    <cellStyle name="20% - Accent5 9" xfId="11427" hidden="1"/>
    <cellStyle name="20% - Accent5 9" xfId="11510" hidden="1"/>
    <cellStyle name="20% - Accent5 9" xfId="10378" hidden="1"/>
    <cellStyle name="20% - Accent5 9" xfId="10562" hidden="1"/>
    <cellStyle name="20% - Accent5 9" xfId="11805" hidden="1"/>
    <cellStyle name="20% - Accent5 9" xfId="11881" hidden="1"/>
    <cellStyle name="20% - Accent5 9" xfId="11959" hidden="1"/>
    <cellStyle name="20% - Accent5 9" xfId="12142" hidden="1"/>
    <cellStyle name="20% - Accent5 9" xfId="12218" hidden="1"/>
    <cellStyle name="20% - Accent5 9" xfId="12296" hidden="1"/>
    <cellStyle name="20% - Accent5 9" xfId="12479" hidden="1"/>
    <cellStyle name="20% - Accent5 9" xfId="12555" hidden="1"/>
    <cellStyle name="20% - Accent5 9" xfId="12657" hidden="1"/>
    <cellStyle name="20% - Accent5 9" xfId="12731" hidden="1"/>
    <cellStyle name="20% - Accent5 9" xfId="12807" hidden="1"/>
    <cellStyle name="20% - Accent5 9" xfId="12885" hidden="1"/>
    <cellStyle name="20% - Accent5 9" xfId="13470" hidden="1"/>
    <cellStyle name="20% - Accent5 9" xfId="13546" hidden="1"/>
    <cellStyle name="20% - Accent5 9" xfId="13625" hidden="1"/>
    <cellStyle name="20% - Accent5 9" xfId="13731" hidden="1"/>
    <cellStyle name="20% - Accent5 9" xfId="13311" hidden="1"/>
    <cellStyle name="20% - Accent5 9" xfId="13391" hidden="1"/>
    <cellStyle name="20% - Accent5 9" xfId="14065" hidden="1"/>
    <cellStyle name="20% - Accent5 9" xfId="14141" hidden="1"/>
    <cellStyle name="20% - Accent5 9" xfId="14219" hidden="1"/>
    <cellStyle name="20% - Accent5 9" xfId="14302" hidden="1"/>
    <cellStyle name="20% - Accent5 9" xfId="13170" hidden="1"/>
    <cellStyle name="20% - Accent5 9" xfId="13354" hidden="1"/>
    <cellStyle name="20% - Accent5 9" xfId="14597" hidden="1"/>
    <cellStyle name="20% - Accent5 9" xfId="14673" hidden="1"/>
    <cellStyle name="20% - Accent5 9" xfId="14751" hidden="1"/>
    <cellStyle name="20% - Accent5 9" xfId="14934" hidden="1"/>
    <cellStyle name="20% - Accent5 9" xfId="15010" hidden="1"/>
    <cellStyle name="20% - Accent5 9" xfId="15088" hidden="1"/>
    <cellStyle name="20% - Accent5 9" xfId="15271" hidden="1"/>
    <cellStyle name="20% - Accent5 9" xfId="15347" hidden="1"/>
    <cellStyle name="20% - Accent5 9" xfId="9589" hidden="1"/>
    <cellStyle name="20% - Accent5 9" xfId="9477" hidden="1"/>
    <cellStyle name="20% - Accent5 9" xfId="9362" hidden="1"/>
    <cellStyle name="20% - Accent5 9" xfId="9250" hidden="1"/>
    <cellStyle name="20% - Accent5 9" xfId="6992" hidden="1"/>
    <cellStyle name="20% - Accent5 9" xfId="6905" hidden="1"/>
    <cellStyle name="20% - Accent5 9" xfId="6812" hidden="1"/>
    <cellStyle name="20% - Accent5 9" xfId="6325" hidden="1"/>
    <cellStyle name="20% - Accent5 9" xfId="7459" hidden="1"/>
    <cellStyle name="20% - Accent5 9" xfId="7241" hidden="1"/>
    <cellStyle name="20% - Accent5 9" xfId="4852" hidden="1"/>
    <cellStyle name="20% - Accent5 9" xfId="4684" hidden="1"/>
    <cellStyle name="20% - Accent5 9" xfId="4455" hidden="1"/>
    <cellStyle name="20% - Accent5 9" xfId="4235" hidden="1"/>
    <cellStyle name="20% - Accent5 9" xfId="8053" hidden="1"/>
    <cellStyle name="20% - Accent5 9" xfId="7366" hidden="1"/>
    <cellStyle name="20% - Accent5 9" xfId="2728" hidden="1"/>
    <cellStyle name="20% - Accent5 9" xfId="2515" hidden="1"/>
    <cellStyle name="20% - Accent5 9" xfId="2340" hidden="1"/>
    <cellStyle name="20% - Accent5 9" xfId="1380" hidden="1"/>
    <cellStyle name="20% - Accent5 9" xfId="1190" hidden="1"/>
    <cellStyle name="20% - Accent5 9" xfId="947" hidden="1"/>
    <cellStyle name="20% - Accent5 9" xfId="15409" hidden="1"/>
    <cellStyle name="20% - Accent5 9" xfId="15520" hidden="1"/>
    <cellStyle name="20% - Accent5 9" xfId="16206" hidden="1"/>
    <cellStyle name="20% - Accent5 9" xfId="16280" hidden="1"/>
    <cellStyle name="20% - Accent5 9" xfId="16356" hidden="1"/>
    <cellStyle name="20% - Accent5 9" xfId="16434" hidden="1"/>
    <cellStyle name="20% - Accent5 9" xfId="17019" hidden="1"/>
    <cellStyle name="20% - Accent5 9" xfId="17095" hidden="1"/>
    <cellStyle name="20% - Accent5 9" xfId="17174" hidden="1"/>
    <cellStyle name="20% - Accent5 9" xfId="17280" hidden="1"/>
    <cellStyle name="20% - Accent5 9" xfId="16860" hidden="1"/>
    <cellStyle name="20% - Accent5 9" xfId="16940" hidden="1"/>
    <cellStyle name="20% - Accent5 9" xfId="17614" hidden="1"/>
    <cellStyle name="20% - Accent5 9" xfId="17690" hidden="1"/>
    <cellStyle name="20% - Accent5 9" xfId="17768" hidden="1"/>
    <cellStyle name="20% - Accent5 9" xfId="17851" hidden="1"/>
    <cellStyle name="20% - Accent5 9" xfId="16719" hidden="1"/>
    <cellStyle name="20% - Accent5 9" xfId="16903" hidden="1"/>
    <cellStyle name="20% - Accent5 9" xfId="18146" hidden="1"/>
    <cellStyle name="20% - Accent5 9" xfId="18222" hidden="1"/>
    <cellStyle name="20% - Accent5 9" xfId="18300" hidden="1"/>
    <cellStyle name="20% - Accent5 9" xfId="18483" hidden="1"/>
    <cellStyle name="20% - Accent5 9" xfId="18559" hidden="1"/>
    <cellStyle name="20% - Accent5 9" xfId="18637" hidden="1"/>
    <cellStyle name="20% - Accent5 9" xfId="18820" hidden="1"/>
    <cellStyle name="20% - Accent5 9" xfId="18896" hidden="1"/>
    <cellStyle name="20% - Accent5 9" xfId="18998" hidden="1"/>
    <cellStyle name="20% - Accent5 9" xfId="19072" hidden="1"/>
    <cellStyle name="20% - Accent5 9" xfId="19148" hidden="1"/>
    <cellStyle name="20% - Accent5 9" xfId="19226" hidden="1"/>
    <cellStyle name="20% - Accent5 9" xfId="19811" hidden="1"/>
    <cellStyle name="20% - Accent5 9" xfId="19887" hidden="1"/>
    <cellStyle name="20% - Accent5 9" xfId="19966" hidden="1"/>
    <cellStyle name="20% - Accent5 9" xfId="20072" hidden="1"/>
    <cellStyle name="20% - Accent5 9" xfId="19652" hidden="1"/>
    <cellStyle name="20% - Accent5 9" xfId="19732" hidden="1"/>
    <cellStyle name="20% - Accent5 9" xfId="20406" hidden="1"/>
    <cellStyle name="20% - Accent5 9" xfId="20482" hidden="1"/>
    <cellStyle name="20% - Accent5 9" xfId="20560" hidden="1"/>
    <cellStyle name="20% - Accent5 9" xfId="20643" hidden="1"/>
    <cellStyle name="20% - Accent5 9" xfId="19511" hidden="1"/>
    <cellStyle name="20% - Accent5 9" xfId="19695" hidden="1"/>
    <cellStyle name="20% - Accent5 9" xfId="20938" hidden="1"/>
    <cellStyle name="20% - Accent5 9" xfId="21014" hidden="1"/>
    <cellStyle name="20% - Accent5 9" xfId="21092" hidden="1"/>
    <cellStyle name="20% - Accent5 9" xfId="21275" hidden="1"/>
    <cellStyle name="20% - Accent5 9" xfId="21351" hidden="1"/>
    <cellStyle name="20% - Accent5 9" xfId="21429" hidden="1"/>
    <cellStyle name="20% - Accent5 9" xfId="21612" hidden="1"/>
    <cellStyle name="20% - Accent5 9" xfId="21688" hidden="1"/>
    <cellStyle name="20% - Accent5 9" xfId="15985" hidden="1"/>
    <cellStyle name="20% - Accent5 9" xfId="15911" hidden="1"/>
    <cellStyle name="20% - Accent5 9" xfId="15831" hidden="1"/>
    <cellStyle name="20% - Accent5 9" xfId="15748" hidden="1"/>
    <cellStyle name="20% - Accent5 9" xfId="7972" hidden="1"/>
    <cellStyle name="20% - Accent5 9" xfId="7770" hidden="1"/>
    <cellStyle name="20% - Accent5 9" xfId="7490" hidden="1"/>
    <cellStyle name="20% - Accent5 9" xfId="7004" hidden="1"/>
    <cellStyle name="20% - Accent5 9" xfId="8403" hidden="1"/>
    <cellStyle name="20% - Accent5 9" xfId="8163" hidden="1"/>
    <cellStyle name="20% - Accent5 9" xfId="5293" hidden="1"/>
    <cellStyle name="20% - Accent5 9" xfId="5092" hidden="1"/>
    <cellStyle name="20% - Accent5 9" xfId="4988" hidden="1"/>
    <cellStyle name="20% - Accent5 9" xfId="4553" hidden="1"/>
    <cellStyle name="20% - Accent5 9" xfId="9002" hidden="1"/>
    <cellStyle name="20% - Accent5 9" xfId="8219" hidden="1"/>
    <cellStyle name="20% - Accent5 9" xfId="3042" hidden="1"/>
    <cellStyle name="20% - Accent5 9" xfId="2902" hidden="1"/>
    <cellStyle name="20% - Accent5 9" xfId="2697" hidden="1"/>
    <cellStyle name="20% - Accent5 9" xfId="1531" hidden="1"/>
    <cellStyle name="20% - Accent5 9" xfId="1363" hidden="1"/>
    <cellStyle name="20% - Accent5 9" xfId="1113" hidden="1"/>
    <cellStyle name="20% - Accent5 9" xfId="21748" hidden="1"/>
    <cellStyle name="20% - Accent5 9" xfId="21827" hidden="1"/>
    <cellStyle name="20% - Accent5 9" xfId="22357" hidden="1"/>
    <cellStyle name="20% - Accent5 9" xfId="22431" hidden="1"/>
    <cellStyle name="20% - Accent5 9" xfId="22507" hidden="1"/>
    <cellStyle name="20% - Accent5 9" xfId="22585" hidden="1"/>
    <cellStyle name="20% - Accent5 9" xfId="23170" hidden="1"/>
    <cellStyle name="20% - Accent5 9" xfId="23246" hidden="1"/>
    <cellStyle name="20% - Accent5 9" xfId="23325" hidden="1"/>
    <cellStyle name="20% - Accent5 9" xfId="23431" hidden="1"/>
    <cellStyle name="20% - Accent5 9" xfId="23011" hidden="1"/>
    <cellStyle name="20% - Accent5 9" xfId="23091" hidden="1"/>
    <cellStyle name="20% - Accent5 9" xfId="23765" hidden="1"/>
    <cellStyle name="20% - Accent5 9" xfId="23841" hidden="1"/>
    <cellStyle name="20% - Accent5 9" xfId="23919" hidden="1"/>
    <cellStyle name="20% - Accent5 9" xfId="24002" hidden="1"/>
    <cellStyle name="20% - Accent5 9" xfId="22870" hidden="1"/>
    <cellStyle name="20% - Accent5 9" xfId="23054" hidden="1"/>
    <cellStyle name="20% - Accent5 9" xfId="24297" hidden="1"/>
    <cellStyle name="20% - Accent5 9" xfId="24373" hidden="1"/>
    <cellStyle name="20% - Accent5 9" xfId="24451" hidden="1"/>
    <cellStyle name="20% - Accent5 9" xfId="24634" hidden="1"/>
    <cellStyle name="20% - Accent5 9" xfId="24710" hidden="1"/>
    <cellStyle name="20% - Accent5 9" xfId="24788" hidden="1"/>
    <cellStyle name="20% - Accent5 9" xfId="24971" hidden="1"/>
    <cellStyle name="20% - Accent5 9" xfId="25047" hidden="1"/>
    <cellStyle name="20% - Accent5 9" xfId="25149" hidden="1"/>
    <cellStyle name="20% - Accent5 9" xfId="25223" hidden="1"/>
    <cellStyle name="20% - Accent5 9" xfId="25299" hidden="1"/>
    <cellStyle name="20% - Accent5 9" xfId="25377" hidden="1"/>
    <cellStyle name="20% - Accent5 9" xfId="25962" hidden="1"/>
    <cellStyle name="20% - Accent5 9" xfId="26038" hidden="1"/>
    <cellStyle name="20% - Accent5 9" xfId="26117" hidden="1"/>
    <cellStyle name="20% - Accent5 9" xfId="26223" hidden="1"/>
    <cellStyle name="20% - Accent5 9" xfId="25803" hidden="1"/>
    <cellStyle name="20% - Accent5 9" xfId="25883" hidden="1"/>
    <cellStyle name="20% - Accent5 9" xfId="26557" hidden="1"/>
    <cellStyle name="20% - Accent5 9" xfId="26633" hidden="1"/>
    <cellStyle name="20% - Accent5 9" xfId="26711" hidden="1"/>
    <cellStyle name="20% - Accent5 9" xfId="26794" hidden="1"/>
    <cellStyle name="20% - Accent5 9" xfId="25662" hidden="1"/>
    <cellStyle name="20% - Accent5 9" xfId="25846" hidden="1"/>
    <cellStyle name="20% - Accent5 9" xfId="27089" hidden="1"/>
    <cellStyle name="20% - Accent5 9" xfId="27165" hidden="1"/>
    <cellStyle name="20% - Accent5 9" xfId="27243" hidden="1"/>
    <cellStyle name="20% - Accent5 9" xfId="27426" hidden="1"/>
    <cellStyle name="20% - Accent5 9" xfId="27502" hidden="1"/>
    <cellStyle name="20% - Accent5 9" xfId="27580" hidden="1"/>
    <cellStyle name="20% - Accent5 9" xfId="27763" hidden="1"/>
    <cellStyle name="20% - Accent5 9" xfId="27839" hidden="1"/>
    <cellStyle name="20% - Accent5 9" xfId="22238" hidden="1"/>
    <cellStyle name="20% - Accent5 9" xfId="22164" hidden="1"/>
    <cellStyle name="20% - Accent5 9" xfId="22084" hidden="1"/>
    <cellStyle name="20% - Accent5 9" xfId="22001" hidden="1"/>
    <cellStyle name="20% - Accent5 9" xfId="8874" hidden="1"/>
    <cellStyle name="20% - Accent5 9" xfId="8669" hidden="1"/>
    <cellStyle name="20% - Accent5 9" xfId="8437" hidden="1"/>
    <cellStyle name="20% - Accent5 9" xfId="7994" hidden="1"/>
    <cellStyle name="20% - Accent5 9" xfId="9437" hidden="1"/>
    <cellStyle name="20% - Accent5 9" xfId="9088" hidden="1"/>
    <cellStyle name="20% - Accent5 9" xfId="5849" hidden="1"/>
    <cellStyle name="20% - Accent5 9" xfId="5600" hidden="1"/>
    <cellStyle name="20% - Accent5 9" xfId="5505" hidden="1"/>
    <cellStyle name="20% - Accent5 9" xfId="5033" hidden="1"/>
    <cellStyle name="20% - Accent5 9" xfId="15564" hidden="1"/>
    <cellStyle name="20% - Accent5 9" xfId="9290" hidden="1"/>
    <cellStyle name="20% - Accent5 9" xfId="3365" hidden="1"/>
    <cellStyle name="20% - Accent5 9" xfId="3172" hidden="1"/>
    <cellStyle name="20% - Accent5 9" xfId="3029" hidden="1"/>
    <cellStyle name="20% - Accent5 9" xfId="1659" hidden="1"/>
    <cellStyle name="20% - Accent5 9" xfId="1524" hidden="1"/>
    <cellStyle name="20% - Accent5 9" xfId="1254" hidden="1"/>
    <cellStyle name="20% - Accent5 9" xfId="27898" hidden="1"/>
    <cellStyle name="20% - Accent5 9" xfId="27974" hidden="1"/>
    <cellStyle name="20% - Accent5 9" xfId="28076" hidden="1"/>
    <cellStyle name="20% - Accent5 9" xfId="28150" hidden="1"/>
    <cellStyle name="20% - Accent5 9" xfId="28226" hidden="1"/>
    <cellStyle name="20% - Accent5 9" xfId="28304" hidden="1"/>
    <cellStyle name="20% - Accent5 9" xfId="28889" hidden="1"/>
    <cellStyle name="20% - Accent5 9" xfId="28965" hidden="1"/>
    <cellStyle name="20% - Accent5 9" xfId="29044" hidden="1"/>
    <cellStyle name="20% - Accent5 9" xfId="29150" hidden="1"/>
    <cellStyle name="20% - Accent5 9" xfId="28730" hidden="1"/>
    <cellStyle name="20% - Accent5 9" xfId="28810" hidden="1"/>
    <cellStyle name="20% - Accent5 9" xfId="29484" hidden="1"/>
    <cellStyle name="20% - Accent5 9" xfId="29560" hidden="1"/>
    <cellStyle name="20% - Accent5 9" xfId="29638" hidden="1"/>
    <cellStyle name="20% - Accent5 9" xfId="29721" hidden="1"/>
    <cellStyle name="20% - Accent5 9" xfId="28589" hidden="1"/>
    <cellStyle name="20% - Accent5 9" xfId="28773" hidden="1"/>
    <cellStyle name="20% - Accent5 9" xfId="30016" hidden="1"/>
    <cellStyle name="20% - Accent5 9" xfId="30092" hidden="1"/>
    <cellStyle name="20% - Accent5 9" xfId="30170" hidden="1"/>
    <cellStyle name="20% - Accent5 9" xfId="30353" hidden="1"/>
    <cellStyle name="20% - Accent5 9" xfId="30429" hidden="1"/>
    <cellStyle name="20% - Accent5 9" xfId="30507" hidden="1"/>
    <cellStyle name="20% - Accent5 9" xfId="30690" hidden="1"/>
    <cellStyle name="20% - Accent5 9" xfId="30766" hidden="1"/>
    <cellStyle name="20% - Accent5 9" xfId="30868" hidden="1"/>
    <cellStyle name="20% - Accent5 9" xfId="30942" hidden="1"/>
    <cellStyle name="20% - Accent5 9" xfId="31018" hidden="1"/>
    <cellStyle name="20% - Accent5 9" xfId="31096" hidden="1"/>
    <cellStyle name="20% - Accent5 9" xfId="31681" hidden="1"/>
    <cellStyle name="20% - Accent5 9" xfId="31757" hidden="1"/>
    <cellStyle name="20% - Accent5 9" xfId="31836" hidden="1"/>
    <cellStyle name="20% - Accent5 9" xfId="31942" hidden="1"/>
    <cellStyle name="20% - Accent5 9" xfId="31522" hidden="1"/>
    <cellStyle name="20% - Accent5 9" xfId="31602" hidden="1"/>
    <cellStyle name="20% - Accent5 9" xfId="32276" hidden="1"/>
    <cellStyle name="20% - Accent5 9" xfId="32352" hidden="1"/>
    <cellStyle name="20% - Accent5 9" xfId="32430" hidden="1"/>
    <cellStyle name="20% - Accent5 9" xfId="32513" hidden="1"/>
    <cellStyle name="20% - Accent5 9" xfId="31381" hidden="1"/>
    <cellStyle name="20% - Accent5 9" xfId="31565" hidden="1"/>
    <cellStyle name="20% - Accent5 9" xfId="32808" hidden="1"/>
    <cellStyle name="20% - Accent5 9" xfId="32884" hidden="1"/>
    <cellStyle name="20% - Accent5 9" xfId="32962" hidden="1"/>
    <cellStyle name="20% - Accent5 9" xfId="33145" hidden="1"/>
    <cellStyle name="20% - Accent5 9" xfId="33221" hidden="1"/>
    <cellStyle name="20% - Accent5 9" xfId="33299" hidden="1"/>
    <cellStyle name="20% - Accent5 9" xfId="33482" hidden="1"/>
    <cellStyle name="20% - Accent5 9" xfId="33558" hidden="1"/>
    <cellStyle name="20% - Accent6" xfId="43" builtinId="50" hidden="1"/>
    <cellStyle name="20% - Accent6" xfId="87" builtinId="50" hidden="1" customBuiltin="1"/>
    <cellStyle name="20% - Accent6 10" xfId="176" hidden="1"/>
    <cellStyle name="20% - Accent6 10" xfId="256" hidden="1"/>
    <cellStyle name="20% - Accent6 10" xfId="362" hidden="1"/>
    <cellStyle name="20% - Accent6 10" xfId="696" hidden="1"/>
    <cellStyle name="20% - Accent6 10" xfId="2420" hidden="1"/>
    <cellStyle name="20% - Accent6 10" xfId="2571" hidden="1"/>
    <cellStyle name="20% - Accent6 10" xfId="2765" hidden="1"/>
    <cellStyle name="20% - Accent6 10" xfId="3130" hidden="1"/>
    <cellStyle name="20% - Accent6 10" xfId="2029" hidden="1"/>
    <cellStyle name="20% - Accent6 10" xfId="2247" hidden="1"/>
    <cellStyle name="20% - Accent6 10" xfId="4364" hidden="1"/>
    <cellStyle name="20% - Accent6 10" xfId="4587" hidden="1"/>
    <cellStyle name="20% - Accent6 10" xfId="4751" hidden="1"/>
    <cellStyle name="20% - Accent6 10" xfId="4989" hidden="1"/>
    <cellStyle name="20% - Accent6 10" xfId="3102" hidden="1"/>
    <cellStyle name="20% - Accent6 10" xfId="1722" hidden="1"/>
    <cellStyle name="20% - Accent6 10" xfId="6364" hidden="1"/>
    <cellStyle name="20% - Accent6 10" xfId="6470" hidden="1"/>
    <cellStyle name="20% - Accent6 10" xfId="6667" hidden="1"/>
    <cellStyle name="20% - Accent6 10" xfId="7530" hidden="1"/>
    <cellStyle name="20% - Accent6 10" xfId="7680" hidden="1"/>
    <cellStyle name="20% - Accent6 10" xfId="7860" hidden="1"/>
    <cellStyle name="20% - Accent6 10" xfId="8774" hidden="1"/>
    <cellStyle name="20% - Accent6 10" xfId="8949" hidden="1"/>
    <cellStyle name="20% - Accent6 10" xfId="9867" hidden="1"/>
    <cellStyle name="20% - Accent6 10" xfId="9941" hidden="1"/>
    <cellStyle name="20% - Accent6 10" xfId="10017" hidden="1"/>
    <cellStyle name="20% - Accent6 10" xfId="10095" hidden="1"/>
    <cellStyle name="20% - Accent6 10" xfId="10680" hidden="1"/>
    <cellStyle name="20% - Accent6 10" xfId="10756" hidden="1"/>
    <cellStyle name="20% - Accent6 10" xfId="10835" hidden="1"/>
    <cellStyle name="20% - Accent6 10" xfId="10936" hidden="1"/>
    <cellStyle name="20% - Accent6 10" xfId="10497" hidden="1"/>
    <cellStyle name="20% - Accent6 10" xfId="10592" hidden="1"/>
    <cellStyle name="20% - Accent6 10" xfId="11275" hidden="1"/>
    <cellStyle name="20% - Accent6 10" xfId="11351" hidden="1"/>
    <cellStyle name="20% - Accent6 10" xfId="11429" hidden="1"/>
    <cellStyle name="20% - Accent6 10" xfId="11507" hidden="1"/>
    <cellStyle name="20% - Accent6 10" xfId="10925" hidden="1"/>
    <cellStyle name="20% - Accent6 10" xfId="10399" hidden="1"/>
    <cellStyle name="20% - Accent6 10" xfId="11807" hidden="1"/>
    <cellStyle name="20% - Accent6 10" xfId="11883" hidden="1"/>
    <cellStyle name="20% - Accent6 10" xfId="11961" hidden="1"/>
    <cellStyle name="20% - Accent6 10" xfId="12144" hidden="1"/>
    <cellStyle name="20% - Accent6 10" xfId="12220" hidden="1"/>
    <cellStyle name="20% - Accent6 10" xfId="12298" hidden="1"/>
    <cellStyle name="20% - Accent6 10" xfId="12481" hidden="1"/>
    <cellStyle name="20% - Accent6 10" xfId="12557" hidden="1"/>
    <cellStyle name="20% - Accent6 10" xfId="12659" hidden="1"/>
    <cellStyle name="20% - Accent6 10" xfId="12733" hidden="1"/>
    <cellStyle name="20% - Accent6 10" xfId="12809" hidden="1"/>
    <cellStyle name="20% - Accent6 10" xfId="12887" hidden="1"/>
    <cellStyle name="20% - Accent6 10" xfId="13472" hidden="1"/>
    <cellStyle name="20% - Accent6 10" xfId="13548" hidden="1"/>
    <cellStyle name="20% - Accent6 10" xfId="13627" hidden="1"/>
    <cellStyle name="20% - Accent6 10" xfId="13728" hidden="1"/>
    <cellStyle name="20% - Accent6 10" xfId="13289" hidden="1"/>
    <cellStyle name="20% - Accent6 10" xfId="13384" hidden="1"/>
    <cellStyle name="20% - Accent6 10" xfId="14067" hidden="1"/>
    <cellStyle name="20% - Accent6 10" xfId="14143" hidden="1"/>
    <cellStyle name="20% - Accent6 10" xfId="14221" hidden="1"/>
    <cellStyle name="20% - Accent6 10" xfId="14299" hidden="1"/>
    <cellStyle name="20% - Accent6 10" xfId="13717" hidden="1"/>
    <cellStyle name="20% - Accent6 10" xfId="13191" hidden="1"/>
    <cellStyle name="20% - Accent6 10" xfId="14599" hidden="1"/>
    <cellStyle name="20% - Accent6 10" xfId="14675" hidden="1"/>
    <cellStyle name="20% - Accent6 10" xfId="14753" hidden="1"/>
    <cellStyle name="20% - Accent6 10" xfId="14936" hidden="1"/>
    <cellStyle name="20% - Accent6 10" xfId="15012" hidden="1"/>
    <cellStyle name="20% - Accent6 10" xfId="15090" hidden="1"/>
    <cellStyle name="20% - Accent6 10" xfId="15273" hidden="1"/>
    <cellStyle name="20% - Accent6 10" xfId="15349" hidden="1"/>
    <cellStyle name="20% - Accent6 10" xfId="9586" hidden="1"/>
    <cellStyle name="20% - Accent6 10" xfId="9474" hidden="1"/>
    <cellStyle name="20% - Accent6 10" xfId="9360" hidden="1"/>
    <cellStyle name="20% - Accent6 10" xfId="9248" hidden="1"/>
    <cellStyle name="20% - Accent6 10" xfId="6990" hidden="1"/>
    <cellStyle name="20% - Accent6 10" xfId="6903" hidden="1"/>
    <cellStyle name="20% - Accent6 10" xfId="6810" hidden="1"/>
    <cellStyle name="20% - Accent6 10" xfId="6332" hidden="1"/>
    <cellStyle name="20% - Accent6 10" xfId="7579" hidden="1"/>
    <cellStyle name="20% - Accent6 10" xfId="7289" hidden="1"/>
    <cellStyle name="20% - Accent6 10" xfId="4850" hidden="1"/>
    <cellStyle name="20% - Accent6 10" xfId="4681" hidden="1"/>
    <cellStyle name="20% - Accent6 10" xfId="4450" hidden="1"/>
    <cellStyle name="20% - Accent6 10" xfId="4239" hidden="1"/>
    <cellStyle name="20% - Accent6 10" xfId="6410" hidden="1"/>
    <cellStyle name="20% - Accent6 10" xfId="7996" hidden="1"/>
    <cellStyle name="20% - Accent6 10" xfId="2722" hidden="1"/>
    <cellStyle name="20% - Accent6 10" xfId="2513" hidden="1"/>
    <cellStyle name="20% - Accent6 10" xfId="2337" hidden="1"/>
    <cellStyle name="20% - Accent6 10" xfId="1378" hidden="1"/>
    <cellStyle name="20% - Accent6 10" xfId="1186" hidden="1"/>
    <cellStyle name="20% - Accent6 10" xfId="942" hidden="1"/>
    <cellStyle name="20% - Accent6 10" xfId="15412" hidden="1"/>
    <cellStyle name="20% - Accent6 10" xfId="15522" hidden="1"/>
    <cellStyle name="20% - Accent6 10" xfId="16208" hidden="1"/>
    <cellStyle name="20% - Accent6 10" xfId="16282" hidden="1"/>
    <cellStyle name="20% - Accent6 10" xfId="16358" hidden="1"/>
    <cellStyle name="20% - Accent6 10" xfId="16436" hidden="1"/>
    <cellStyle name="20% - Accent6 10" xfId="17021" hidden="1"/>
    <cellStyle name="20% - Accent6 10" xfId="17097" hidden="1"/>
    <cellStyle name="20% - Accent6 10" xfId="17176" hidden="1"/>
    <cellStyle name="20% - Accent6 10" xfId="17277" hidden="1"/>
    <cellStyle name="20% - Accent6 10" xfId="16838" hidden="1"/>
    <cellStyle name="20% - Accent6 10" xfId="16933" hidden="1"/>
    <cellStyle name="20% - Accent6 10" xfId="17616" hidden="1"/>
    <cellStyle name="20% - Accent6 10" xfId="17692" hidden="1"/>
    <cellStyle name="20% - Accent6 10" xfId="17770" hidden="1"/>
    <cellStyle name="20% - Accent6 10" xfId="17848" hidden="1"/>
    <cellStyle name="20% - Accent6 10" xfId="17266" hidden="1"/>
    <cellStyle name="20% - Accent6 10" xfId="16740" hidden="1"/>
    <cellStyle name="20% - Accent6 10" xfId="18148" hidden="1"/>
    <cellStyle name="20% - Accent6 10" xfId="18224" hidden="1"/>
    <cellStyle name="20% - Accent6 10" xfId="18302" hidden="1"/>
    <cellStyle name="20% - Accent6 10" xfId="18485" hidden="1"/>
    <cellStyle name="20% - Accent6 10" xfId="18561" hidden="1"/>
    <cellStyle name="20% - Accent6 10" xfId="18639" hidden="1"/>
    <cellStyle name="20% - Accent6 10" xfId="18822" hidden="1"/>
    <cellStyle name="20% - Accent6 10" xfId="18898" hidden="1"/>
    <cellStyle name="20% - Accent6 10" xfId="19000" hidden="1"/>
    <cellStyle name="20% - Accent6 10" xfId="19074" hidden="1"/>
    <cellStyle name="20% - Accent6 10" xfId="19150" hidden="1"/>
    <cellStyle name="20% - Accent6 10" xfId="19228" hidden="1"/>
    <cellStyle name="20% - Accent6 10" xfId="19813" hidden="1"/>
    <cellStyle name="20% - Accent6 10" xfId="19889" hidden="1"/>
    <cellStyle name="20% - Accent6 10" xfId="19968" hidden="1"/>
    <cellStyle name="20% - Accent6 10" xfId="20069" hidden="1"/>
    <cellStyle name="20% - Accent6 10" xfId="19630" hidden="1"/>
    <cellStyle name="20% - Accent6 10" xfId="19725" hidden="1"/>
    <cellStyle name="20% - Accent6 10" xfId="20408" hidden="1"/>
    <cellStyle name="20% - Accent6 10" xfId="20484" hidden="1"/>
    <cellStyle name="20% - Accent6 10" xfId="20562" hidden="1"/>
    <cellStyle name="20% - Accent6 10" xfId="20640" hidden="1"/>
    <cellStyle name="20% - Accent6 10" xfId="20058" hidden="1"/>
    <cellStyle name="20% - Accent6 10" xfId="19532" hidden="1"/>
    <cellStyle name="20% - Accent6 10" xfId="20940" hidden="1"/>
    <cellStyle name="20% - Accent6 10" xfId="21016" hidden="1"/>
    <cellStyle name="20% - Accent6 10" xfId="21094" hidden="1"/>
    <cellStyle name="20% - Accent6 10" xfId="21277" hidden="1"/>
    <cellStyle name="20% - Accent6 10" xfId="21353" hidden="1"/>
    <cellStyle name="20% - Accent6 10" xfId="21431" hidden="1"/>
    <cellStyle name="20% - Accent6 10" xfId="21614" hidden="1"/>
    <cellStyle name="20% - Accent6 10" xfId="21690" hidden="1"/>
    <cellStyle name="20% - Accent6 10" xfId="15983" hidden="1"/>
    <cellStyle name="20% - Accent6 10" xfId="15909" hidden="1"/>
    <cellStyle name="20% - Accent6 10" xfId="15829" hidden="1"/>
    <cellStyle name="20% - Accent6 10" xfId="15746" hidden="1"/>
    <cellStyle name="20% - Accent6 10" xfId="7970" hidden="1"/>
    <cellStyle name="20% - Accent6 10" xfId="7767" hidden="1"/>
    <cellStyle name="20% - Accent6 10" xfId="7483" hidden="1"/>
    <cellStyle name="20% - Accent6 10" xfId="7033" hidden="1"/>
    <cellStyle name="20% - Accent6 10" xfId="8469" hidden="1"/>
    <cellStyle name="20% - Accent6 10" xfId="8171" hidden="1"/>
    <cellStyle name="20% - Accent6 10" xfId="5291" hidden="1"/>
    <cellStyle name="20% - Accent6 10" xfId="5090" hidden="1"/>
    <cellStyle name="20% - Accent6 10" xfId="4986" hidden="1"/>
    <cellStyle name="20% - Accent6 10" xfId="4609" hidden="1"/>
    <cellStyle name="20% - Accent6 10" xfId="7058" hidden="1"/>
    <cellStyle name="20% - Accent6 10" xfId="8894" hidden="1"/>
    <cellStyle name="20% - Accent6 10" xfId="3036" hidden="1"/>
    <cellStyle name="20% - Accent6 10" xfId="2900" hidden="1"/>
    <cellStyle name="20% - Accent6 10" xfId="2688" hidden="1"/>
    <cellStyle name="20% - Accent6 10" xfId="1528" hidden="1"/>
    <cellStyle name="20% - Accent6 10" xfId="1357" hidden="1"/>
    <cellStyle name="20% - Accent6 10" xfId="1110" hidden="1"/>
    <cellStyle name="20% - Accent6 10" xfId="21750" hidden="1"/>
    <cellStyle name="20% - Accent6 10" xfId="21829" hidden="1"/>
    <cellStyle name="20% - Accent6 10" xfId="22359" hidden="1"/>
    <cellStyle name="20% - Accent6 10" xfId="22433" hidden="1"/>
    <cellStyle name="20% - Accent6 10" xfId="22509" hidden="1"/>
    <cellStyle name="20% - Accent6 10" xfId="22587" hidden="1"/>
    <cellStyle name="20% - Accent6 10" xfId="23172" hidden="1"/>
    <cellStyle name="20% - Accent6 10" xfId="23248" hidden="1"/>
    <cellStyle name="20% - Accent6 10" xfId="23327" hidden="1"/>
    <cellStyle name="20% - Accent6 10" xfId="23428" hidden="1"/>
    <cellStyle name="20% - Accent6 10" xfId="22989" hidden="1"/>
    <cellStyle name="20% - Accent6 10" xfId="23084" hidden="1"/>
    <cellStyle name="20% - Accent6 10" xfId="23767" hidden="1"/>
    <cellStyle name="20% - Accent6 10" xfId="23843" hidden="1"/>
    <cellStyle name="20% - Accent6 10" xfId="23921" hidden="1"/>
    <cellStyle name="20% - Accent6 10" xfId="23999" hidden="1"/>
    <cellStyle name="20% - Accent6 10" xfId="23417" hidden="1"/>
    <cellStyle name="20% - Accent6 10" xfId="22891" hidden="1"/>
    <cellStyle name="20% - Accent6 10" xfId="24299" hidden="1"/>
    <cellStyle name="20% - Accent6 10" xfId="24375" hidden="1"/>
    <cellStyle name="20% - Accent6 10" xfId="24453" hidden="1"/>
    <cellStyle name="20% - Accent6 10" xfId="24636" hidden="1"/>
    <cellStyle name="20% - Accent6 10" xfId="24712" hidden="1"/>
    <cellStyle name="20% - Accent6 10" xfId="24790" hidden="1"/>
    <cellStyle name="20% - Accent6 10" xfId="24973" hidden="1"/>
    <cellStyle name="20% - Accent6 10" xfId="25049" hidden="1"/>
    <cellStyle name="20% - Accent6 10" xfId="25151" hidden="1"/>
    <cellStyle name="20% - Accent6 10" xfId="25225" hidden="1"/>
    <cellStyle name="20% - Accent6 10" xfId="25301" hidden="1"/>
    <cellStyle name="20% - Accent6 10" xfId="25379" hidden="1"/>
    <cellStyle name="20% - Accent6 10" xfId="25964" hidden="1"/>
    <cellStyle name="20% - Accent6 10" xfId="26040" hidden="1"/>
    <cellStyle name="20% - Accent6 10" xfId="26119" hidden="1"/>
    <cellStyle name="20% - Accent6 10" xfId="26220" hidden="1"/>
    <cellStyle name="20% - Accent6 10" xfId="25781" hidden="1"/>
    <cellStyle name="20% - Accent6 10" xfId="25876" hidden="1"/>
    <cellStyle name="20% - Accent6 10" xfId="26559" hidden="1"/>
    <cellStyle name="20% - Accent6 10" xfId="26635" hidden="1"/>
    <cellStyle name="20% - Accent6 10" xfId="26713" hidden="1"/>
    <cellStyle name="20% - Accent6 10" xfId="26791" hidden="1"/>
    <cellStyle name="20% - Accent6 10" xfId="26209" hidden="1"/>
    <cellStyle name="20% - Accent6 10" xfId="25683" hidden="1"/>
    <cellStyle name="20% - Accent6 10" xfId="27091" hidden="1"/>
    <cellStyle name="20% - Accent6 10" xfId="27167" hidden="1"/>
    <cellStyle name="20% - Accent6 10" xfId="27245" hidden="1"/>
    <cellStyle name="20% - Accent6 10" xfId="27428" hidden="1"/>
    <cellStyle name="20% - Accent6 10" xfId="27504" hidden="1"/>
    <cellStyle name="20% - Accent6 10" xfId="27582" hidden="1"/>
    <cellStyle name="20% - Accent6 10" xfId="27765" hidden="1"/>
    <cellStyle name="20% - Accent6 10" xfId="27841" hidden="1"/>
    <cellStyle name="20% - Accent6 10" xfId="22236" hidden="1"/>
    <cellStyle name="20% - Accent6 10" xfId="22162" hidden="1"/>
    <cellStyle name="20% - Accent6 10" xfId="22082" hidden="1"/>
    <cellStyle name="20% - Accent6 10" xfId="21999" hidden="1"/>
    <cellStyle name="20% - Accent6 10" xfId="8872" hidden="1"/>
    <cellStyle name="20% - Accent6 10" xfId="8666" hidden="1"/>
    <cellStyle name="20% - Accent6 10" xfId="8435" hidden="1"/>
    <cellStyle name="20% - Accent6 10" xfId="8033" hidden="1"/>
    <cellStyle name="20% - Accent6 10" xfId="9520" hidden="1"/>
    <cellStyle name="20% - Accent6 10" xfId="9095" hidden="1"/>
    <cellStyle name="20% - Accent6 10" xfId="5847" hidden="1"/>
    <cellStyle name="20% - Accent6 10" xfId="5598" hidden="1"/>
    <cellStyle name="20% - Accent6 10" xfId="5503" hidden="1"/>
    <cellStyle name="20% - Accent6 10" xfId="5053" hidden="1"/>
    <cellStyle name="20% - Accent6 10" xfId="8076" hidden="1"/>
    <cellStyle name="20% - Accent6 10" xfId="15483" hidden="1"/>
    <cellStyle name="20% - Accent6 10" xfId="3361" hidden="1"/>
    <cellStyle name="20% - Accent6 10" xfId="3170" hidden="1"/>
    <cellStyle name="20% - Accent6 10" xfId="3024" hidden="1"/>
    <cellStyle name="20% - Accent6 10" xfId="1657" hidden="1"/>
    <cellStyle name="20% - Accent6 10" xfId="1522" hidden="1"/>
    <cellStyle name="20% - Accent6 10" xfId="1251" hidden="1"/>
    <cellStyle name="20% - Accent6 10" xfId="27900" hidden="1"/>
    <cellStyle name="20% - Accent6 10" xfId="27976" hidden="1"/>
    <cellStyle name="20% - Accent6 10" xfId="28078" hidden="1"/>
    <cellStyle name="20% - Accent6 10" xfId="28152" hidden="1"/>
    <cellStyle name="20% - Accent6 10" xfId="28228" hidden="1"/>
    <cellStyle name="20% - Accent6 10" xfId="28306" hidden="1"/>
    <cellStyle name="20% - Accent6 10" xfId="28891" hidden="1"/>
    <cellStyle name="20% - Accent6 10" xfId="28967" hidden="1"/>
    <cellStyle name="20% - Accent6 10" xfId="29046" hidden="1"/>
    <cellStyle name="20% - Accent6 10" xfId="29147" hidden="1"/>
    <cellStyle name="20% - Accent6 10" xfId="28708" hidden="1"/>
    <cellStyle name="20% - Accent6 10" xfId="28803" hidden="1"/>
    <cellStyle name="20% - Accent6 10" xfId="29486" hidden="1"/>
    <cellStyle name="20% - Accent6 10" xfId="29562" hidden="1"/>
    <cellStyle name="20% - Accent6 10" xfId="29640" hidden="1"/>
    <cellStyle name="20% - Accent6 10" xfId="29718" hidden="1"/>
    <cellStyle name="20% - Accent6 10" xfId="29136" hidden="1"/>
    <cellStyle name="20% - Accent6 10" xfId="28610" hidden="1"/>
    <cellStyle name="20% - Accent6 10" xfId="30018" hidden="1"/>
    <cellStyle name="20% - Accent6 10" xfId="30094" hidden="1"/>
    <cellStyle name="20% - Accent6 10" xfId="30172" hidden="1"/>
    <cellStyle name="20% - Accent6 10" xfId="30355" hidden="1"/>
    <cellStyle name="20% - Accent6 10" xfId="30431" hidden="1"/>
    <cellStyle name="20% - Accent6 10" xfId="30509" hidden="1"/>
    <cellStyle name="20% - Accent6 10" xfId="30692" hidden="1"/>
    <cellStyle name="20% - Accent6 10" xfId="30768" hidden="1"/>
    <cellStyle name="20% - Accent6 10" xfId="30870" hidden="1"/>
    <cellStyle name="20% - Accent6 10" xfId="30944" hidden="1"/>
    <cellStyle name="20% - Accent6 10" xfId="31020" hidden="1"/>
    <cellStyle name="20% - Accent6 10" xfId="31098" hidden="1"/>
    <cellStyle name="20% - Accent6 10" xfId="31683" hidden="1"/>
    <cellStyle name="20% - Accent6 10" xfId="31759" hidden="1"/>
    <cellStyle name="20% - Accent6 10" xfId="31838" hidden="1"/>
    <cellStyle name="20% - Accent6 10" xfId="31939" hidden="1"/>
    <cellStyle name="20% - Accent6 10" xfId="31500" hidden="1"/>
    <cellStyle name="20% - Accent6 10" xfId="31595" hidden="1"/>
    <cellStyle name="20% - Accent6 10" xfId="32278" hidden="1"/>
    <cellStyle name="20% - Accent6 10" xfId="32354" hidden="1"/>
    <cellStyle name="20% - Accent6 10" xfId="32432" hidden="1"/>
    <cellStyle name="20% - Accent6 10" xfId="32510" hidden="1"/>
    <cellStyle name="20% - Accent6 10" xfId="31928" hidden="1"/>
    <cellStyle name="20% - Accent6 10" xfId="31402" hidden="1"/>
    <cellStyle name="20% - Accent6 10" xfId="32810" hidden="1"/>
    <cellStyle name="20% - Accent6 10" xfId="32886" hidden="1"/>
    <cellStyle name="20% - Accent6 10" xfId="32964" hidden="1"/>
    <cellStyle name="20% - Accent6 10" xfId="33147" hidden="1"/>
    <cellStyle name="20% - Accent6 10" xfId="33223" hidden="1"/>
    <cellStyle name="20% - Accent6 10" xfId="33301" hidden="1"/>
    <cellStyle name="20% - Accent6 10" xfId="33484" hidden="1"/>
    <cellStyle name="20% - Accent6 10" xfId="33560" hidden="1"/>
    <cellStyle name="20% - Accent6 11" xfId="189" hidden="1"/>
    <cellStyle name="20% - Accent6 11" xfId="269" hidden="1"/>
    <cellStyle name="20% - Accent6 11" xfId="398" hidden="1"/>
    <cellStyle name="20% - Accent6 11" xfId="723" hidden="1"/>
    <cellStyle name="20% - Accent6 11" xfId="2437" hidden="1"/>
    <cellStyle name="20% - Accent6 11" xfId="2589" hidden="1"/>
    <cellStyle name="20% - Accent6 11" xfId="2793" hidden="1"/>
    <cellStyle name="20% - Accent6 11" xfId="2905" hidden="1"/>
    <cellStyle name="20% - Accent6 11" xfId="1478" hidden="1"/>
    <cellStyle name="20% - Accent6 11" xfId="2252" hidden="1"/>
    <cellStyle name="20% - Accent6 11" xfId="4400" hidden="1"/>
    <cellStyle name="20% - Accent6 11" xfId="4606" hidden="1"/>
    <cellStyle name="20% - Accent6 11" xfId="4770" hidden="1"/>
    <cellStyle name="20% - Accent6 11" xfId="4884" hidden="1"/>
    <cellStyle name="20% - Accent6 11" xfId="1889" hidden="1"/>
    <cellStyle name="20% - Accent6 11" xfId="3793" hidden="1"/>
    <cellStyle name="20% - Accent6 11" xfId="6380" hidden="1"/>
    <cellStyle name="20% - Accent6 11" xfId="6484" hidden="1"/>
    <cellStyle name="20% - Accent6 11" xfId="6682" hidden="1"/>
    <cellStyle name="20% - Accent6 11" xfId="7557" hidden="1"/>
    <cellStyle name="20% - Accent6 11" xfId="7696" hidden="1"/>
    <cellStyle name="20% - Accent6 11" xfId="7875" hidden="1"/>
    <cellStyle name="20% - Accent6 11" xfId="8794" hidden="1"/>
    <cellStyle name="20% - Accent6 11" xfId="8965" hidden="1"/>
    <cellStyle name="20% - Accent6 11" xfId="9880" hidden="1"/>
    <cellStyle name="20% - Accent6 11" xfId="9954" hidden="1"/>
    <cellStyle name="20% - Accent6 11" xfId="10030" hidden="1"/>
    <cellStyle name="20% - Accent6 11" xfId="10108" hidden="1"/>
    <cellStyle name="20% - Accent6 11" xfId="10693" hidden="1"/>
    <cellStyle name="20% - Accent6 11" xfId="10769" hidden="1"/>
    <cellStyle name="20% - Accent6 11" xfId="10848" hidden="1"/>
    <cellStyle name="20% - Accent6 11" xfId="10891" hidden="1"/>
    <cellStyle name="20% - Accent6 11" xfId="10338" hidden="1"/>
    <cellStyle name="20% - Accent6 11" xfId="10597" hidden="1"/>
    <cellStyle name="20% - Accent6 11" xfId="11288" hidden="1"/>
    <cellStyle name="20% - Accent6 11" xfId="11364" hidden="1"/>
    <cellStyle name="20% - Accent6 11" xfId="11442" hidden="1"/>
    <cellStyle name="20% - Accent6 11" xfId="11479" hidden="1"/>
    <cellStyle name="20% - Accent6 11" xfId="10461" hidden="1"/>
    <cellStyle name="20% - Accent6 11" xfId="11077" hidden="1"/>
    <cellStyle name="20% - Accent6 11" xfId="11820" hidden="1"/>
    <cellStyle name="20% - Accent6 11" xfId="11896" hidden="1"/>
    <cellStyle name="20% - Accent6 11" xfId="11974" hidden="1"/>
    <cellStyle name="20% - Accent6 11" xfId="12157" hidden="1"/>
    <cellStyle name="20% - Accent6 11" xfId="12233" hidden="1"/>
    <cellStyle name="20% - Accent6 11" xfId="12311" hidden="1"/>
    <cellStyle name="20% - Accent6 11" xfId="12494" hidden="1"/>
    <cellStyle name="20% - Accent6 11" xfId="12570" hidden="1"/>
    <cellStyle name="20% - Accent6 11" xfId="12672" hidden="1"/>
    <cellStyle name="20% - Accent6 11" xfId="12746" hidden="1"/>
    <cellStyle name="20% - Accent6 11" xfId="12822" hidden="1"/>
    <cellStyle name="20% - Accent6 11" xfId="12900" hidden="1"/>
    <cellStyle name="20% - Accent6 11" xfId="13485" hidden="1"/>
    <cellStyle name="20% - Accent6 11" xfId="13561" hidden="1"/>
    <cellStyle name="20% - Accent6 11" xfId="13640" hidden="1"/>
    <cellStyle name="20% - Accent6 11" xfId="13683" hidden="1"/>
    <cellStyle name="20% - Accent6 11" xfId="13130" hidden="1"/>
    <cellStyle name="20% - Accent6 11" xfId="13389" hidden="1"/>
    <cellStyle name="20% - Accent6 11" xfId="14080" hidden="1"/>
    <cellStyle name="20% - Accent6 11" xfId="14156" hidden="1"/>
    <cellStyle name="20% - Accent6 11" xfId="14234" hidden="1"/>
    <cellStyle name="20% - Accent6 11" xfId="14271" hidden="1"/>
    <cellStyle name="20% - Accent6 11" xfId="13253" hidden="1"/>
    <cellStyle name="20% - Accent6 11" xfId="13869" hidden="1"/>
    <cellStyle name="20% - Accent6 11" xfId="14612" hidden="1"/>
    <cellStyle name="20% - Accent6 11" xfId="14688" hidden="1"/>
    <cellStyle name="20% - Accent6 11" xfId="14766" hidden="1"/>
    <cellStyle name="20% - Accent6 11" xfId="14949" hidden="1"/>
    <cellStyle name="20% - Accent6 11" xfId="15025" hidden="1"/>
    <cellStyle name="20% - Accent6 11" xfId="15103" hidden="1"/>
    <cellStyle name="20% - Accent6 11" xfId="15286" hidden="1"/>
    <cellStyle name="20% - Accent6 11" xfId="15362" hidden="1"/>
    <cellStyle name="20% - Accent6 11" xfId="9570" hidden="1"/>
    <cellStyle name="20% - Accent6 11" xfId="9457" hidden="1"/>
    <cellStyle name="20% - Accent6 11" xfId="9344" hidden="1"/>
    <cellStyle name="20% - Accent6 11" xfId="9228" hidden="1"/>
    <cellStyle name="20% - Accent6 11" xfId="6976" hidden="1"/>
    <cellStyle name="20% - Accent6 11" xfId="6890" hidden="1"/>
    <cellStyle name="20% - Accent6 11" xfId="6796" hidden="1"/>
    <cellStyle name="20% - Accent6 11" xfId="6700" hidden="1"/>
    <cellStyle name="20% - Accent6 11" xfId="8199" hidden="1"/>
    <cellStyle name="20% - Accent6 11" xfId="7244" hidden="1"/>
    <cellStyle name="20% - Accent6 11" xfId="4827" hidden="1"/>
    <cellStyle name="20% - Accent6 11" xfId="4665" hidden="1"/>
    <cellStyle name="20% - Accent6 11" xfId="4391" hidden="1"/>
    <cellStyle name="20% - Accent6 11" xfId="4287" hidden="1"/>
    <cellStyle name="20% - Accent6 11" xfId="7738" hidden="1"/>
    <cellStyle name="20% - Accent6 11" xfId="5723" hidden="1"/>
    <cellStyle name="20% - Accent6 11" xfId="2692" hidden="1"/>
    <cellStyle name="20% - Accent6 11" xfId="2496" hidden="1"/>
    <cellStyle name="20% - Accent6 11" xfId="2317" hidden="1"/>
    <cellStyle name="20% - Accent6 11" xfId="1353" hidden="1"/>
    <cellStyle name="20% - Accent6 11" xfId="1171" hidden="1"/>
    <cellStyle name="20% - Accent6 11" xfId="929" hidden="1"/>
    <cellStyle name="20% - Accent6 11" xfId="15429" hidden="1"/>
    <cellStyle name="20% - Accent6 11" xfId="15537" hidden="1"/>
    <cellStyle name="20% - Accent6 11" xfId="16221" hidden="1"/>
    <cellStyle name="20% - Accent6 11" xfId="16295" hidden="1"/>
    <cellStyle name="20% - Accent6 11" xfId="16371" hidden="1"/>
    <cellStyle name="20% - Accent6 11" xfId="16449" hidden="1"/>
    <cellStyle name="20% - Accent6 11" xfId="17034" hidden="1"/>
    <cellStyle name="20% - Accent6 11" xfId="17110" hidden="1"/>
    <cellStyle name="20% - Accent6 11" xfId="17189" hidden="1"/>
    <cellStyle name="20% - Accent6 11" xfId="17232" hidden="1"/>
    <cellStyle name="20% - Accent6 11" xfId="16679" hidden="1"/>
    <cellStyle name="20% - Accent6 11" xfId="16938" hidden="1"/>
    <cellStyle name="20% - Accent6 11" xfId="17629" hidden="1"/>
    <cellStyle name="20% - Accent6 11" xfId="17705" hidden="1"/>
    <cellStyle name="20% - Accent6 11" xfId="17783" hidden="1"/>
    <cellStyle name="20% - Accent6 11" xfId="17820" hidden="1"/>
    <cellStyle name="20% - Accent6 11" xfId="16802" hidden="1"/>
    <cellStyle name="20% - Accent6 11" xfId="17418" hidden="1"/>
    <cellStyle name="20% - Accent6 11" xfId="18161" hidden="1"/>
    <cellStyle name="20% - Accent6 11" xfId="18237" hidden="1"/>
    <cellStyle name="20% - Accent6 11" xfId="18315" hidden="1"/>
    <cellStyle name="20% - Accent6 11" xfId="18498" hidden="1"/>
    <cellStyle name="20% - Accent6 11" xfId="18574" hidden="1"/>
    <cellStyle name="20% - Accent6 11" xfId="18652" hidden="1"/>
    <cellStyle name="20% - Accent6 11" xfId="18835" hidden="1"/>
    <cellStyle name="20% - Accent6 11" xfId="18911" hidden="1"/>
    <cellStyle name="20% - Accent6 11" xfId="19013" hidden="1"/>
    <cellStyle name="20% - Accent6 11" xfId="19087" hidden="1"/>
    <cellStyle name="20% - Accent6 11" xfId="19163" hidden="1"/>
    <cellStyle name="20% - Accent6 11" xfId="19241" hidden="1"/>
    <cellStyle name="20% - Accent6 11" xfId="19826" hidden="1"/>
    <cellStyle name="20% - Accent6 11" xfId="19902" hidden="1"/>
    <cellStyle name="20% - Accent6 11" xfId="19981" hidden="1"/>
    <cellStyle name="20% - Accent6 11" xfId="20024" hidden="1"/>
    <cellStyle name="20% - Accent6 11" xfId="19471" hidden="1"/>
    <cellStyle name="20% - Accent6 11" xfId="19730" hidden="1"/>
    <cellStyle name="20% - Accent6 11" xfId="20421" hidden="1"/>
    <cellStyle name="20% - Accent6 11" xfId="20497" hidden="1"/>
    <cellStyle name="20% - Accent6 11" xfId="20575" hidden="1"/>
    <cellStyle name="20% - Accent6 11" xfId="20612" hidden="1"/>
    <cellStyle name="20% - Accent6 11" xfId="19594" hidden="1"/>
    <cellStyle name="20% - Accent6 11" xfId="20210" hidden="1"/>
    <cellStyle name="20% - Accent6 11" xfId="20953" hidden="1"/>
    <cellStyle name="20% - Accent6 11" xfId="21029" hidden="1"/>
    <cellStyle name="20% - Accent6 11" xfId="21107" hidden="1"/>
    <cellStyle name="20% - Accent6 11" xfId="21290" hidden="1"/>
    <cellStyle name="20% - Accent6 11" xfId="21366" hidden="1"/>
    <cellStyle name="20% - Accent6 11" xfId="21444" hidden="1"/>
    <cellStyle name="20% - Accent6 11" xfId="21627" hidden="1"/>
    <cellStyle name="20% - Accent6 11" xfId="21703" hidden="1"/>
    <cellStyle name="20% - Accent6 11" xfId="15970" hidden="1"/>
    <cellStyle name="20% - Accent6 11" xfId="15896" hidden="1"/>
    <cellStyle name="20% - Accent6 11" xfId="15815" hidden="1"/>
    <cellStyle name="20% - Accent6 11" xfId="15729" hidden="1"/>
    <cellStyle name="20% - Accent6 11" xfId="7946" hidden="1"/>
    <cellStyle name="20% - Accent6 11" xfId="7740" hidden="1"/>
    <cellStyle name="20% - Accent6 11" xfId="7462" hidden="1"/>
    <cellStyle name="20% - Accent6 11" xfId="7371" hidden="1"/>
    <cellStyle name="20% - Accent6 11" xfId="9240" hidden="1"/>
    <cellStyle name="20% - Accent6 11" xfId="8165" hidden="1"/>
    <cellStyle name="20% - Accent6 11" xfId="5278" hidden="1"/>
    <cellStyle name="20% - Accent6 11" xfId="5077" hidden="1"/>
    <cellStyle name="20% - Accent6 11" xfId="4969" hidden="1"/>
    <cellStyle name="20% - Accent6 11" xfId="4908" hidden="1"/>
    <cellStyle name="20% - Accent6 11" xfId="8545" hidden="1"/>
    <cellStyle name="20% - Accent6 11" xfId="6220" hidden="1"/>
    <cellStyle name="20% - Accent6 11" xfId="3013" hidden="1"/>
    <cellStyle name="20% - Accent6 11" xfId="2880" hidden="1"/>
    <cellStyle name="20% - Accent6 11" xfId="2648" hidden="1"/>
    <cellStyle name="20% - Accent6 11" xfId="1508" hidden="1"/>
    <cellStyle name="20% - Accent6 11" xfId="1320" hidden="1"/>
    <cellStyle name="20% - Accent6 11" xfId="1094" hidden="1"/>
    <cellStyle name="20% - Accent6 11" xfId="21763" hidden="1"/>
    <cellStyle name="20% - Accent6 11" xfId="21843" hidden="1"/>
    <cellStyle name="20% - Accent6 11" xfId="22372" hidden="1"/>
    <cellStyle name="20% - Accent6 11" xfId="22446" hidden="1"/>
    <cellStyle name="20% - Accent6 11" xfId="22522" hidden="1"/>
    <cellStyle name="20% - Accent6 11" xfId="22600" hidden="1"/>
    <cellStyle name="20% - Accent6 11" xfId="23185" hidden="1"/>
    <cellStyle name="20% - Accent6 11" xfId="23261" hidden="1"/>
    <cellStyle name="20% - Accent6 11" xfId="23340" hidden="1"/>
    <cellStyle name="20% - Accent6 11" xfId="23383" hidden="1"/>
    <cellStyle name="20% - Accent6 11" xfId="22830" hidden="1"/>
    <cellStyle name="20% - Accent6 11" xfId="23089" hidden="1"/>
    <cellStyle name="20% - Accent6 11" xfId="23780" hidden="1"/>
    <cellStyle name="20% - Accent6 11" xfId="23856" hidden="1"/>
    <cellStyle name="20% - Accent6 11" xfId="23934" hidden="1"/>
    <cellStyle name="20% - Accent6 11" xfId="23971" hidden="1"/>
    <cellStyle name="20% - Accent6 11" xfId="22953" hidden="1"/>
    <cellStyle name="20% - Accent6 11" xfId="23569" hidden="1"/>
    <cellStyle name="20% - Accent6 11" xfId="24312" hidden="1"/>
    <cellStyle name="20% - Accent6 11" xfId="24388" hidden="1"/>
    <cellStyle name="20% - Accent6 11" xfId="24466" hidden="1"/>
    <cellStyle name="20% - Accent6 11" xfId="24649" hidden="1"/>
    <cellStyle name="20% - Accent6 11" xfId="24725" hidden="1"/>
    <cellStyle name="20% - Accent6 11" xfId="24803" hidden="1"/>
    <cellStyle name="20% - Accent6 11" xfId="24986" hidden="1"/>
    <cellStyle name="20% - Accent6 11" xfId="25062" hidden="1"/>
    <cellStyle name="20% - Accent6 11" xfId="25164" hidden="1"/>
    <cellStyle name="20% - Accent6 11" xfId="25238" hidden="1"/>
    <cellStyle name="20% - Accent6 11" xfId="25314" hidden="1"/>
    <cellStyle name="20% - Accent6 11" xfId="25392" hidden="1"/>
    <cellStyle name="20% - Accent6 11" xfId="25977" hidden="1"/>
    <cellStyle name="20% - Accent6 11" xfId="26053" hidden="1"/>
    <cellStyle name="20% - Accent6 11" xfId="26132" hidden="1"/>
    <cellStyle name="20% - Accent6 11" xfId="26175" hidden="1"/>
    <cellStyle name="20% - Accent6 11" xfId="25622" hidden="1"/>
    <cellStyle name="20% - Accent6 11" xfId="25881" hidden="1"/>
    <cellStyle name="20% - Accent6 11" xfId="26572" hidden="1"/>
    <cellStyle name="20% - Accent6 11" xfId="26648" hidden="1"/>
    <cellStyle name="20% - Accent6 11" xfId="26726" hidden="1"/>
    <cellStyle name="20% - Accent6 11" xfId="26763" hidden="1"/>
    <cellStyle name="20% - Accent6 11" xfId="25745" hidden="1"/>
    <cellStyle name="20% - Accent6 11" xfId="26361" hidden="1"/>
    <cellStyle name="20% - Accent6 11" xfId="27104" hidden="1"/>
    <cellStyle name="20% - Accent6 11" xfId="27180" hidden="1"/>
    <cellStyle name="20% - Accent6 11" xfId="27258" hidden="1"/>
    <cellStyle name="20% - Accent6 11" xfId="27441" hidden="1"/>
    <cellStyle name="20% - Accent6 11" xfId="27517" hidden="1"/>
    <cellStyle name="20% - Accent6 11" xfId="27595" hidden="1"/>
    <cellStyle name="20% - Accent6 11" xfId="27778" hidden="1"/>
    <cellStyle name="20% - Accent6 11" xfId="27854" hidden="1"/>
    <cellStyle name="20% - Accent6 11" xfId="22223" hidden="1"/>
    <cellStyle name="20% - Accent6 11" xfId="22149" hidden="1"/>
    <cellStyle name="20% - Accent6 11" xfId="22068" hidden="1"/>
    <cellStyle name="20% - Accent6 11" xfId="21985" hidden="1"/>
    <cellStyle name="20% - Accent6 11" xfId="8846" hidden="1"/>
    <cellStyle name="20% - Accent6 11" xfId="8550" hidden="1"/>
    <cellStyle name="20% - Accent6 11" xfId="8412" hidden="1"/>
    <cellStyle name="20% - Accent6 11" xfId="8227" hidden="1"/>
    <cellStyle name="20% - Accent6 11" xfId="15739" hidden="1"/>
    <cellStyle name="20% - Accent6 11" xfId="9090" hidden="1"/>
    <cellStyle name="20% - Accent6 11" xfId="5824" hidden="1"/>
    <cellStyle name="20% - Accent6 11" xfId="5584" hidden="1"/>
    <cellStyle name="20% - Accent6 11" xfId="5488" hidden="1"/>
    <cellStyle name="20% - Accent6 11" xfId="5339" hidden="1"/>
    <cellStyle name="20% - Accent6 11" xfId="9656" hidden="1"/>
    <cellStyle name="20% - Accent6 11" xfId="6758" hidden="1"/>
    <cellStyle name="20% - Accent6 11" xfId="3345" hidden="1"/>
    <cellStyle name="20% - Accent6 11" xfId="3154" hidden="1"/>
    <cellStyle name="20% - Accent6 11" xfId="2981" hidden="1"/>
    <cellStyle name="20% - Accent6 11" xfId="1640" hidden="1"/>
    <cellStyle name="20% - Accent6 11" xfId="1481" hidden="1"/>
    <cellStyle name="20% - Accent6 11" xfId="1229" hidden="1"/>
    <cellStyle name="20% - Accent6 11" xfId="27913" hidden="1"/>
    <cellStyle name="20% - Accent6 11" xfId="27989" hidden="1"/>
    <cellStyle name="20% - Accent6 11" xfId="28091" hidden="1"/>
    <cellStyle name="20% - Accent6 11" xfId="28165" hidden="1"/>
    <cellStyle name="20% - Accent6 11" xfId="28241" hidden="1"/>
    <cellStyle name="20% - Accent6 11" xfId="28319" hidden="1"/>
    <cellStyle name="20% - Accent6 11" xfId="28904" hidden="1"/>
    <cellStyle name="20% - Accent6 11" xfId="28980" hidden="1"/>
    <cellStyle name="20% - Accent6 11" xfId="29059" hidden="1"/>
    <cellStyle name="20% - Accent6 11" xfId="29102" hidden="1"/>
    <cellStyle name="20% - Accent6 11" xfId="28549" hidden="1"/>
    <cellStyle name="20% - Accent6 11" xfId="28808" hidden="1"/>
    <cellStyle name="20% - Accent6 11" xfId="29499" hidden="1"/>
    <cellStyle name="20% - Accent6 11" xfId="29575" hidden="1"/>
    <cellStyle name="20% - Accent6 11" xfId="29653" hidden="1"/>
    <cellStyle name="20% - Accent6 11" xfId="29690" hidden="1"/>
    <cellStyle name="20% - Accent6 11" xfId="28672" hidden="1"/>
    <cellStyle name="20% - Accent6 11" xfId="29288" hidden="1"/>
    <cellStyle name="20% - Accent6 11" xfId="30031" hidden="1"/>
    <cellStyle name="20% - Accent6 11" xfId="30107" hidden="1"/>
    <cellStyle name="20% - Accent6 11" xfId="30185" hidden="1"/>
    <cellStyle name="20% - Accent6 11" xfId="30368" hidden="1"/>
    <cellStyle name="20% - Accent6 11" xfId="30444" hidden="1"/>
    <cellStyle name="20% - Accent6 11" xfId="30522" hidden="1"/>
    <cellStyle name="20% - Accent6 11" xfId="30705" hidden="1"/>
    <cellStyle name="20% - Accent6 11" xfId="30781" hidden="1"/>
    <cellStyle name="20% - Accent6 11" xfId="30883" hidden="1"/>
    <cellStyle name="20% - Accent6 11" xfId="30957" hidden="1"/>
    <cellStyle name="20% - Accent6 11" xfId="31033" hidden="1"/>
    <cellStyle name="20% - Accent6 11" xfId="31111" hidden="1"/>
    <cellStyle name="20% - Accent6 11" xfId="31696" hidden="1"/>
    <cellStyle name="20% - Accent6 11" xfId="31772" hidden="1"/>
    <cellStyle name="20% - Accent6 11" xfId="31851" hidden="1"/>
    <cellStyle name="20% - Accent6 11" xfId="31894" hidden="1"/>
    <cellStyle name="20% - Accent6 11" xfId="31341" hidden="1"/>
    <cellStyle name="20% - Accent6 11" xfId="31600" hidden="1"/>
    <cellStyle name="20% - Accent6 11" xfId="32291" hidden="1"/>
    <cellStyle name="20% - Accent6 11" xfId="32367" hidden="1"/>
    <cellStyle name="20% - Accent6 11" xfId="32445" hidden="1"/>
    <cellStyle name="20% - Accent6 11" xfId="32482" hidden="1"/>
    <cellStyle name="20% - Accent6 11" xfId="31464" hidden="1"/>
    <cellStyle name="20% - Accent6 11" xfId="32080" hidden="1"/>
    <cellStyle name="20% - Accent6 11" xfId="32823" hidden="1"/>
    <cellStyle name="20% - Accent6 11" xfId="32899" hidden="1"/>
    <cellStyle name="20% - Accent6 11" xfId="32977" hidden="1"/>
    <cellStyle name="20% - Accent6 11" xfId="33160" hidden="1"/>
    <cellStyle name="20% - Accent6 11" xfId="33236" hidden="1"/>
    <cellStyle name="20% - Accent6 11" xfId="33314" hidden="1"/>
    <cellStyle name="20% - Accent6 11" xfId="33497" hidden="1"/>
    <cellStyle name="20% - Accent6 11" xfId="33573" hidden="1"/>
    <cellStyle name="20% - Accent6 12" xfId="205" hidden="1"/>
    <cellStyle name="20% - Accent6 12" xfId="283" hidden="1"/>
    <cellStyle name="20% - Accent6 12" xfId="432" hidden="1"/>
    <cellStyle name="20% - Accent6 12" xfId="739" hidden="1"/>
    <cellStyle name="20% - Accent6 12" xfId="2455" hidden="1"/>
    <cellStyle name="20% - Accent6 12" xfId="2606" hidden="1"/>
    <cellStyle name="20% - Accent6 12" xfId="2813" hidden="1"/>
    <cellStyle name="20% - Accent6 12" xfId="3117" hidden="1"/>
    <cellStyle name="20% - Accent6 12" xfId="1586" hidden="1"/>
    <cellStyle name="20% - Accent6 12" xfId="2055" hidden="1"/>
    <cellStyle name="20% - Accent6 12" xfId="4435" hidden="1"/>
    <cellStyle name="20% - Accent6 12" xfId="4624" hidden="1"/>
    <cellStyle name="20% - Accent6 12" xfId="4785" hidden="1"/>
    <cellStyle name="20% - Accent6 12" xfId="4978" hidden="1"/>
    <cellStyle name="20% - Accent6 12" xfId="2281" hidden="1"/>
    <cellStyle name="20% - Accent6 12" xfId="1710" hidden="1"/>
    <cellStyle name="20% - Accent6 12" xfId="6395" hidden="1"/>
    <cellStyle name="20% - Accent6 12" xfId="6502" hidden="1"/>
    <cellStyle name="20% - Accent6 12" xfId="6698" hidden="1"/>
    <cellStyle name="20% - Accent6 12" xfId="7577" hidden="1"/>
    <cellStyle name="20% - Accent6 12" xfId="7721" hidden="1"/>
    <cellStyle name="20% - Accent6 12" xfId="7893" hidden="1"/>
    <cellStyle name="20% - Accent6 12" xfId="8817" hidden="1"/>
    <cellStyle name="20% - Accent6 12" xfId="8985" hidden="1"/>
    <cellStyle name="20% - Accent6 12" xfId="9893" hidden="1"/>
    <cellStyle name="20% - Accent6 12" xfId="9968" hidden="1"/>
    <cellStyle name="20% - Accent6 12" xfId="10043" hidden="1"/>
    <cellStyle name="20% - Accent6 12" xfId="10121" hidden="1"/>
    <cellStyle name="20% - Accent6 12" xfId="10707" hidden="1"/>
    <cellStyle name="20% - Accent6 12" xfId="10782" hidden="1"/>
    <cellStyle name="20% - Accent6 12" xfId="10861" hidden="1"/>
    <cellStyle name="20% - Accent6 12" xfId="10930" hidden="1"/>
    <cellStyle name="20% - Accent6 12" xfId="10344" hidden="1"/>
    <cellStyle name="20% - Accent6 12" xfId="10520" hidden="1"/>
    <cellStyle name="20% - Accent6 12" xfId="11302" hidden="1"/>
    <cellStyle name="20% - Accent6 12" xfId="11377" hidden="1"/>
    <cellStyle name="20% - Accent6 12" xfId="11455" hidden="1"/>
    <cellStyle name="20% - Accent6 12" xfId="11504" hidden="1"/>
    <cellStyle name="20% - Accent6 12" xfId="10619" hidden="1"/>
    <cellStyle name="20% - Accent6 12" xfId="10390" hidden="1"/>
    <cellStyle name="20% - Accent6 12" xfId="11834" hidden="1"/>
    <cellStyle name="20% - Accent6 12" xfId="11909" hidden="1"/>
    <cellStyle name="20% - Accent6 12" xfId="11987" hidden="1"/>
    <cellStyle name="20% - Accent6 12" xfId="12171" hidden="1"/>
    <cellStyle name="20% - Accent6 12" xfId="12246" hidden="1"/>
    <cellStyle name="20% - Accent6 12" xfId="12324" hidden="1"/>
    <cellStyle name="20% - Accent6 12" xfId="12508" hidden="1"/>
    <cellStyle name="20% - Accent6 12" xfId="12583" hidden="1"/>
    <cellStyle name="20% - Accent6 12" xfId="12685" hidden="1"/>
    <cellStyle name="20% - Accent6 12" xfId="12760" hidden="1"/>
    <cellStyle name="20% - Accent6 12" xfId="12835" hidden="1"/>
    <cellStyle name="20% - Accent6 12" xfId="12913" hidden="1"/>
    <cellStyle name="20% - Accent6 12" xfId="13499" hidden="1"/>
    <cellStyle name="20% - Accent6 12" xfId="13574" hidden="1"/>
    <cellStyle name="20% - Accent6 12" xfId="13653" hidden="1"/>
    <cellStyle name="20% - Accent6 12" xfId="13722" hidden="1"/>
    <cellStyle name="20% - Accent6 12" xfId="13136" hidden="1"/>
    <cellStyle name="20% - Accent6 12" xfId="13312" hidden="1"/>
    <cellStyle name="20% - Accent6 12" xfId="14094" hidden="1"/>
    <cellStyle name="20% - Accent6 12" xfId="14169" hidden="1"/>
    <cellStyle name="20% - Accent6 12" xfId="14247" hidden="1"/>
    <cellStyle name="20% - Accent6 12" xfId="14296" hidden="1"/>
    <cellStyle name="20% - Accent6 12" xfId="13411" hidden="1"/>
    <cellStyle name="20% - Accent6 12" xfId="13182" hidden="1"/>
    <cellStyle name="20% - Accent6 12" xfId="14626" hidden="1"/>
    <cellStyle name="20% - Accent6 12" xfId="14701" hidden="1"/>
    <cellStyle name="20% - Accent6 12" xfId="14779" hidden="1"/>
    <cellStyle name="20% - Accent6 12" xfId="14963" hidden="1"/>
    <cellStyle name="20% - Accent6 12" xfId="15038" hidden="1"/>
    <cellStyle name="20% - Accent6 12" xfId="15116" hidden="1"/>
    <cellStyle name="20% - Accent6 12" xfId="15300" hidden="1"/>
    <cellStyle name="20% - Accent6 12" xfId="15375" hidden="1"/>
    <cellStyle name="20% - Accent6 12" xfId="9553" hidden="1"/>
    <cellStyle name="20% - Accent6 12" xfId="9442" hidden="1"/>
    <cellStyle name="20% - Accent6 12" xfId="9328" hidden="1"/>
    <cellStyle name="20% - Accent6 12" xfId="9211" hidden="1"/>
    <cellStyle name="20% - Accent6 12" xfId="6960" hidden="1"/>
    <cellStyle name="20% - Accent6 12" xfId="6876" hidden="1"/>
    <cellStyle name="20% - Accent6 12" xfId="6781" hidden="1"/>
    <cellStyle name="20% - Accent6 12" xfId="6357" hidden="1"/>
    <cellStyle name="20% - Accent6 12" xfId="8153" hidden="1"/>
    <cellStyle name="20% - Accent6 12" xfId="7453" hidden="1"/>
    <cellStyle name="20% - Accent6 12" xfId="4810" hidden="1"/>
    <cellStyle name="20% - Accent6 12" xfId="4646" hidden="1"/>
    <cellStyle name="20% - Accent6 12" xfId="4337" hidden="1"/>
    <cellStyle name="20% - Accent6 12" xfId="4242" hidden="1"/>
    <cellStyle name="20% - Accent6 12" xfId="7187" hidden="1"/>
    <cellStyle name="20% - Accent6 12" xfId="8020" hidden="1"/>
    <cellStyle name="20% - Accent6 12" xfId="2668" hidden="1"/>
    <cellStyle name="20% - Accent6 12" xfId="2478" hidden="1"/>
    <cellStyle name="20% - Accent6 12" xfId="2304" hidden="1"/>
    <cellStyle name="20% - Accent6 12" xfId="1330" hidden="1"/>
    <cellStyle name="20% - Accent6 12" xfId="1156" hidden="1"/>
    <cellStyle name="20% - Accent6 12" xfId="915" hidden="1"/>
    <cellStyle name="20% - Accent6 12" xfId="15447" hidden="1"/>
    <cellStyle name="20% - Accent6 12" xfId="15554" hidden="1"/>
    <cellStyle name="20% - Accent6 12" xfId="16234" hidden="1"/>
    <cellStyle name="20% - Accent6 12" xfId="16309" hidden="1"/>
    <cellStyle name="20% - Accent6 12" xfId="16384" hidden="1"/>
    <cellStyle name="20% - Accent6 12" xfId="16462" hidden="1"/>
    <cellStyle name="20% - Accent6 12" xfId="17048" hidden="1"/>
    <cellStyle name="20% - Accent6 12" xfId="17123" hidden="1"/>
    <cellStyle name="20% - Accent6 12" xfId="17202" hidden="1"/>
    <cellStyle name="20% - Accent6 12" xfId="17271" hidden="1"/>
    <cellStyle name="20% - Accent6 12" xfId="16685" hidden="1"/>
    <cellStyle name="20% - Accent6 12" xfId="16861" hidden="1"/>
    <cellStyle name="20% - Accent6 12" xfId="17643" hidden="1"/>
    <cellStyle name="20% - Accent6 12" xfId="17718" hidden="1"/>
    <cellStyle name="20% - Accent6 12" xfId="17796" hidden="1"/>
    <cellStyle name="20% - Accent6 12" xfId="17845" hidden="1"/>
    <cellStyle name="20% - Accent6 12" xfId="16960" hidden="1"/>
    <cellStyle name="20% - Accent6 12" xfId="16731" hidden="1"/>
    <cellStyle name="20% - Accent6 12" xfId="18175" hidden="1"/>
    <cellStyle name="20% - Accent6 12" xfId="18250" hidden="1"/>
    <cellStyle name="20% - Accent6 12" xfId="18328" hidden="1"/>
    <cellStyle name="20% - Accent6 12" xfId="18512" hidden="1"/>
    <cellStyle name="20% - Accent6 12" xfId="18587" hidden="1"/>
    <cellStyle name="20% - Accent6 12" xfId="18665" hidden="1"/>
    <cellStyle name="20% - Accent6 12" xfId="18849" hidden="1"/>
    <cellStyle name="20% - Accent6 12" xfId="18924" hidden="1"/>
    <cellStyle name="20% - Accent6 12" xfId="19026" hidden="1"/>
    <cellStyle name="20% - Accent6 12" xfId="19101" hidden="1"/>
    <cellStyle name="20% - Accent6 12" xfId="19176" hidden="1"/>
    <cellStyle name="20% - Accent6 12" xfId="19254" hidden="1"/>
    <cellStyle name="20% - Accent6 12" xfId="19840" hidden="1"/>
    <cellStyle name="20% - Accent6 12" xfId="19915" hidden="1"/>
    <cellStyle name="20% - Accent6 12" xfId="19994" hidden="1"/>
    <cellStyle name="20% - Accent6 12" xfId="20063" hidden="1"/>
    <cellStyle name="20% - Accent6 12" xfId="19477" hidden="1"/>
    <cellStyle name="20% - Accent6 12" xfId="19653" hidden="1"/>
    <cellStyle name="20% - Accent6 12" xfId="20435" hidden="1"/>
    <cellStyle name="20% - Accent6 12" xfId="20510" hidden="1"/>
    <cellStyle name="20% - Accent6 12" xfId="20588" hidden="1"/>
    <cellStyle name="20% - Accent6 12" xfId="20637" hidden="1"/>
    <cellStyle name="20% - Accent6 12" xfId="19752" hidden="1"/>
    <cellStyle name="20% - Accent6 12" xfId="19523" hidden="1"/>
    <cellStyle name="20% - Accent6 12" xfId="20967" hidden="1"/>
    <cellStyle name="20% - Accent6 12" xfId="21042" hidden="1"/>
    <cellStyle name="20% - Accent6 12" xfId="21120" hidden="1"/>
    <cellStyle name="20% - Accent6 12" xfId="21304" hidden="1"/>
    <cellStyle name="20% - Accent6 12" xfId="21379" hidden="1"/>
    <cellStyle name="20% - Accent6 12" xfId="21457" hidden="1"/>
    <cellStyle name="20% - Accent6 12" xfId="21641" hidden="1"/>
    <cellStyle name="20% - Accent6 12" xfId="21716" hidden="1"/>
    <cellStyle name="20% - Accent6 12" xfId="15957" hidden="1"/>
    <cellStyle name="20% - Accent6 12" xfId="15882" hidden="1"/>
    <cellStyle name="20% - Accent6 12" xfId="15802" hidden="1"/>
    <cellStyle name="20% - Accent6 12" xfId="15716" hidden="1"/>
    <cellStyle name="20% - Accent6 12" xfId="7926" hidden="1"/>
    <cellStyle name="20% - Accent6 12" xfId="7703" hidden="1"/>
    <cellStyle name="20% - Accent6 12" xfId="7439" hidden="1"/>
    <cellStyle name="20% - Accent6 12" xfId="7043" hidden="1"/>
    <cellStyle name="20% - Accent6 12" xfId="9074" hidden="1"/>
    <cellStyle name="20% - Accent6 12" xfId="8397" hidden="1"/>
    <cellStyle name="20% - Accent6 12" xfId="5262" hidden="1"/>
    <cellStyle name="20% - Accent6 12" xfId="5063" hidden="1"/>
    <cellStyle name="20% - Accent6 12" xfId="4956" hidden="1"/>
    <cellStyle name="20% - Accent6 12" xfId="4636" hidden="1"/>
    <cellStyle name="20% - Accent6 12" xfId="8114" hidden="1"/>
    <cellStyle name="20% - Accent6 12" xfId="8958" hidden="1"/>
    <cellStyle name="20% - Accent6 12" xfId="2988" hidden="1"/>
    <cellStyle name="20% - Accent6 12" xfId="2864" hidden="1"/>
    <cellStyle name="20% - Accent6 12" xfId="2627" hidden="1"/>
    <cellStyle name="20% - Accent6 12" xfId="1483" hidden="1"/>
    <cellStyle name="20% - Accent6 12" xfId="1298" hidden="1"/>
    <cellStyle name="20% - Accent6 12" xfId="1078" hidden="1"/>
    <cellStyle name="20% - Accent6 12" xfId="21777" hidden="1"/>
    <cellStyle name="20% - Accent6 12" xfId="21856" hidden="1"/>
    <cellStyle name="20% - Accent6 12" xfId="22385" hidden="1"/>
    <cellStyle name="20% - Accent6 12" xfId="22460" hidden="1"/>
    <cellStyle name="20% - Accent6 12" xfId="22535" hidden="1"/>
    <cellStyle name="20% - Accent6 12" xfId="22613" hidden="1"/>
    <cellStyle name="20% - Accent6 12" xfId="23199" hidden="1"/>
    <cellStyle name="20% - Accent6 12" xfId="23274" hidden="1"/>
    <cellStyle name="20% - Accent6 12" xfId="23353" hidden="1"/>
    <cellStyle name="20% - Accent6 12" xfId="23422" hidden="1"/>
    <cellStyle name="20% - Accent6 12" xfId="22836" hidden="1"/>
    <cellStyle name="20% - Accent6 12" xfId="23012" hidden="1"/>
    <cellStyle name="20% - Accent6 12" xfId="23794" hidden="1"/>
    <cellStyle name="20% - Accent6 12" xfId="23869" hidden="1"/>
    <cellStyle name="20% - Accent6 12" xfId="23947" hidden="1"/>
    <cellStyle name="20% - Accent6 12" xfId="23996" hidden="1"/>
    <cellStyle name="20% - Accent6 12" xfId="23111" hidden="1"/>
    <cellStyle name="20% - Accent6 12" xfId="22882" hidden="1"/>
    <cellStyle name="20% - Accent6 12" xfId="24326" hidden="1"/>
    <cellStyle name="20% - Accent6 12" xfId="24401" hidden="1"/>
    <cellStyle name="20% - Accent6 12" xfId="24479" hidden="1"/>
    <cellStyle name="20% - Accent6 12" xfId="24663" hidden="1"/>
    <cellStyle name="20% - Accent6 12" xfId="24738" hidden="1"/>
    <cellStyle name="20% - Accent6 12" xfId="24816" hidden="1"/>
    <cellStyle name="20% - Accent6 12" xfId="25000" hidden="1"/>
    <cellStyle name="20% - Accent6 12" xfId="25075" hidden="1"/>
    <cellStyle name="20% - Accent6 12" xfId="25177" hidden="1"/>
    <cellStyle name="20% - Accent6 12" xfId="25252" hidden="1"/>
    <cellStyle name="20% - Accent6 12" xfId="25327" hidden="1"/>
    <cellStyle name="20% - Accent6 12" xfId="25405" hidden="1"/>
    <cellStyle name="20% - Accent6 12" xfId="25991" hidden="1"/>
    <cellStyle name="20% - Accent6 12" xfId="26066" hidden="1"/>
    <cellStyle name="20% - Accent6 12" xfId="26145" hidden="1"/>
    <cellStyle name="20% - Accent6 12" xfId="26214" hidden="1"/>
    <cellStyle name="20% - Accent6 12" xfId="25628" hidden="1"/>
    <cellStyle name="20% - Accent6 12" xfId="25804" hidden="1"/>
    <cellStyle name="20% - Accent6 12" xfId="26586" hidden="1"/>
    <cellStyle name="20% - Accent6 12" xfId="26661" hidden="1"/>
    <cellStyle name="20% - Accent6 12" xfId="26739" hidden="1"/>
    <cellStyle name="20% - Accent6 12" xfId="26788" hidden="1"/>
    <cellStyle name="20% - Accent6 12" xfId="25903" hidden="1"/>
    <cellStyle name="20% - Accent6 12" xfId="25674" hidden="1"/>
    <cellStyle name="20% - Accent6 12" xfId="27118" hidden="1"/>
    <cellStyle name="20% - Accent6 12" xfId="27193" hidden="1"/>
    <cellStyle name="20% - Accent6 12" xfId="27271" hidden="1"/>
    <cellStyle name="20% - Accent6 12" xfId="27455" hidden="1"/>
    <cellStyle name="20% - Accent6 12" xfId="27530" hidden="1"/>
    <cellStyle name="20% - Accent6 12" xfId="27608" hidden="1"/>
    <cellStyle name="20% - Accent6 12" xfId="27792" hidden="1"/>
    <cellStyle name="20% - Accent6 12" xfId="27867" hidden="1"/>
    <cellStyle name="20% - Accent6 12" xfId="22210" hidden="1"/>
    <cellStyle name="20% - Accent6 12" xfId="22135" hidden="1"/>
    <cellStyle name="20% - Accent6 12" xfId="22055" hidden="1"/>
    <cellStyle name="20% - Accent6 12" xfId="21972" hidden="1"/>
    <cellStyle name="20% - Accent6 12" xfId="8819" hidden="1"/>
    <cellStyle name="20% - Accent6 12" xfId="8530" hidden="1"/>
    <cellStyle name="20% - Accent6 12" xfId="8391" hidden="1"/>
    <cellStyle name="20% - Accent6 12" xfId="8048" hidden="1"/>
    <cellStyle name="20% - Accent6 12" xfId="15605" hidden="1"/>
    <cellStyle name="20% - Accent6 12" xfId="9430" hidden="1"/>
    <cellStyle name="20% - Accent6 12" xfId="5803" hidden="1"/>
    <cellStyle name="20% - Accent6 12" xfId="5569" hidden="1"/>
    <cellStyle name="20% - Accent6 12" xfId="5474" hidden="1"/>
    <cellStyle name="20% - Accent6 12" xfId="5066" hidden="1"/>
    <cellStyle name="20% - Accent6 12" xfId="9048" hidden="1"/>
    <cellStyle name="20% - Accent6 12" xfId="15530" hidden="1"/>
    <cellStyle name="20% - Accent6 12" xfId="3329" hidden="1"/>
    <cellStyle name="20% - Accent6 12" xfId="3141" hidden="1"/>
    <cellStyle name="20% - Accent6 12" xfId="2960" hidden="1"/>
    <cellStyle name="20% - Accent6 12" xfId="1625" hidden="1"/>
    <cellStyle name="20% - Accent6 12" xfId="1456" hidden="1"/>
    <cellStyle name="20% - Accent6 12" xfId="1188" hidden="1"/>
    <cellStyle name="20% - Accent6 12" xfId="27927" hidden="1"/>
    <cellStyle name="20% - Accent6 12" xfId="28002" hidden="1"/>
    <cellStyle name="20% - Accent6 12" xfId="28104" hidden="1"/>
    <cellStyle name="20% - Accent6 12" xfId="28179" hidden="1"/>
    <cellStyle name="20% - Accent6 12" xfId="28254" hidden="1"/>
    <cellStyle name="20% - Accent6 12" xfId="28332" hidden="1"/>
    <cellStyle name="20% - Accent6 12" xfId="28918" hidden="1"/>
    <cellStyle name="20% - Accent6 12" xfId="28993" hidden="1"/>
    <cellStyle name="20% - Accent6 12" xfId="29072" hidden="1"/>
    <cellStyle name="20% - Accent6 12" xfId="29141" hidden="1"/>
    <cellStyle name="20% - Accent6 12" xfId="28555" hidden="1"/>
    <cellStyle name="20% - Accent6 12" xfId="28731" hidden="1"/>
    <cellStyle name="20% - Accent6 12" xfId="29513" hidden="1"/>
    <cellStyle name="20% - Accent6 12" xfId="29588" hidden="1"/>
    <cellStyle name="20% - Accent6 12" xfId="29666" hidden="1"/>
    <cellStyle name="20% - Accent6 12" xfId="29715" hidden="1"/>
    <cellStyle name="20% - Accent6 12" xfId="28830" hidden="1"/>
    <cellStyle name="20% - Accent6 12" xfId="28601" hidden="1"/>
    <cellStyle name="20% - Accent6 12" xfId="30045" hidden="1"/>
    <cellStyle name="20% - Accent6 12" xfId="30120" hidden="1"/>
    <cellStyle name="20% - Accent6 12" xfId="30198" hidden="1"/>
    <cellStyle name="20% - Accent6 12" xfId="30382" hidden="1"/>
    <cellStyle name="20% - Accent6 12" xfId="30457" hidden="1"/>
    <cellStyle name="20% - Accent6 12" xfId="30535" hidden="1"/>
    <cellStyle name="20% - Accent6 12" xfId="30719" hidden="1"/>
    <cellStyle name="20% - Accent6 12" xfId="30794" hidden="1"/>
    <cellStyle name="20% - Accent6 12" xfId="30896" hidden="1"/>
    <cellStyle name="20% - Accent6 12" xfId="30971" hidden="1"/>
    <cellStyle name="20% - Accent6 12" xfId="31046" hidden="1"/>
    <cellStyle name="20% - Accent6 12" xfId="31124" hidden="1"/>
    <cellStyle name="20% - Accent6 12" xfId="31710" hidden="1"/>
    <cellStyle name="20% - Accent6 12" xfId="31785" hidden="1"/>
    <cellStyle name="20% - Accent6 12" xfId="31864" hidden="1"/>
    <cellStyle name="20% - Accent6 12" xfId="31933" hidden="1"/>
    <cellStyle name="20% - Accent6 12" xfId="31347" hidden="1"/>
    <cellStyle name="20% - Accent6 12" xfId="31523" hidden="1"/>
    <cellStyle name="20% - Accent6 12" xfId="32305" hidden="1"/>
    <cellStyle name="20% - Accent6 12" xfId="32380" hidden="1"/>
    <cellStyle name="20% - Accent6 12" xfId="32458" hidden="1"/>
    <cellStyle name="20% - Accent6 12" xfId="32507" hidden="1"/>
    <cellStyle name="20% - Accent6 12" xfId="31622" hidden="1"/>
    <cellStyle name="20% - Accent6 12" xfId="31393" hidden="1"/>
    <cellStyle name="20% - Accent6 12" xfId="32837" hidden="1"/>
    <cellStyle name="20% - Accent6 12" xfId="32912" hidden="1"/>
    <cellStyle name="20% - Accent6 12" xfId="32990" hidden="1"/>
    <cellStyle name="20% - Accent6 12" xfId="33174" hidden="1"/>
    <cellStyle name="20% - Accent6 12" xfId="33249" hidden="1"/>
    <cellStyle name="20% - Accent6 12" xfId="33327" hidden="1"/>
    <cellStyle name="20% - Accent6 12" xfId="33511" hidden="1"/>
    <cellStyle name="20% - Accent6 12" xfId="33586" hidden="1"/>
    <cellStyle name="20% - Accent6 13" xfId="752" hidden="1"/>
    <cellStyle name="20% - Accent6 13" xfId="961" hidden="1"/>
    <cellStyle name="20% - Accent6 13" xfId="3525" hidden="1"/>
    <cellStyle name="20% - Accent6 13" xfId="4040" hidden="1"/>
    <cellStyle name="20% - Accent6 13" xfId="5359" hidden="1"/>
    <cellStyle name="20% - Accent6 13" xfId="6056" hidden="1"/>
    <cellStyle name="20% - Accent6 13" xfId="7073" hidden="1"/>
    <cellStyle name="20% - Accent6 13" xfId="8277" hidden="1"/>
    <cellStyle name="20% - Accent6 13" xfId="10134" hidden="1"/>
    <cellStyle name="20% - Accent6 13" xfId="10249" hidden="1"/>
    <cellStyle name="20% - Accent6 13" xfId="10972" hidden="1"/>
    <cellStyle name="20% - Accent6 13" xfId="11145" hidden="1"/>
    <cellStyle name="20% - Accent6 13" xfId="11538" hidden="1"/>
    <cellStyle name="20% - Accent6 13" xfId="11686" hidden="1"/>
    <cellStyle name="20% - Accent6 13" xfId="12024" hidden="1"/>
    <cellStyle name="20% - Accent6 13" xfId="12361" hidden="1"/>
    <cellStyle name="20% - Accent6 13" xfId="12926" hidden="1"/>
    <cellStyle name="20% - Accent6 13" xfId="13041" hidden="1"/>
    <cellStyle name="20% - Accent6 13" xfId="13764" hidden="1"/>
    <cellStyle name="20% - Accent6 13" xfId="13937" hidden="1"/>
    <cellStyle name="20% - Accent6 13" xfId="14330" hidden="1"/>
    <cellStyle name="20% - Accent6 13" xfId="14478" hidden="1"/>
    <cellStyle name="20% - Accent6 13" xfId="14816" hidden="1"/>
    <cellStyle name="20% - Accent6 13" xfId="15153" hidden="1"/>
    <cellStyle name="20% - Accent6 13" xfId="9195" hidden="1"/>
    <cellStyle name="20% - Accent6 13" xfId="8649" hidden="1"/>
    <cellStyle name="20% - Accent6 13" xfId="6022" hidden="1"/>
    <cellStyle name="20% - Accent6 13" xfId="5230" hidden="1"/>
    <cellStyle name="20% - Accent6 13" xfId="3949" hidden="1"/>
    <cellStyle name="20% - Accent6 13" xfId="3268" hidden="1"/>
    <cellStyle name="20% - Accent6 13" xfId="1835" hidden="1"/>
    <cellStyle name="20% - Accent6 13" xfId="458" hidden="1"/>
    <cellStyle name="20% - Accent6 13" xfId="16475" hidden="1"/>
    <cellStyle name="20% - Accent6 13" xfId="16590" hidden="1"/>
    <cellStyle name="20% - Accent6 13" xfId="17313" hidden="1"/>
    <cellStyle name="20% - Accent6 13" xfId="17486" hidden="1"/>
    <cellStyle name="20% - Accent6 13" xfId="17879" hidden="1"/>
    <cellStyle name="20% - Accent6 13" xfId="18027" hidden="1"/>
    <cellStyle name="20% - Accent6 13" xfId="18365" hidden="1"/>
    <cellStyle name="20% - Accent6 13" xfId="18702" hidden="1"/>
    <cellStyle name="20% - Accent6 13" xfId="19267" hidden="1"/>
    <cellStyle name="20% - Accent6 13" xfId="19382" hidden="1"/>
    <cellStyle name="20% - Accent6 13" xfId="20105" hidden="1"/>
    <cellStyle name="20% - Accent6 13" xfId="20278" hidden="1"/>
    <cellStyle name="20% - Accent6 13" xfId="20671" hidden="1"/>
    <cellStyle name="20% - Accent6 13" xfId="20819" hidden="1"/>
    <cellStyle name="20% - Accent6 13" xfId="21157" hidden="1"/>
    <cellStyle name="20% - Accent6 13" xfId="21494" hidden="1"/>
    <cellStyle name="20% - Accent6 13" xfId="15703" hidden="1"/>
    <cellStyle name="20% - Accent6 13" xfId="9746" hidden="1"/>
    <cellStyle name="20% - Accent6 13" xfId="6605" hidden="1"/>
    <cellStyle name="20% - Accent6 13" xfId="5760" hidden="1"/>
    <cellStyle name="20% - Accent6 13" xfId="4216" hidden="1"/>
    <cellStyle name="20% - Accent6 13" xfId="3497" hidden="1"/>
    <cellStyle name="20% - Accent6 13" xfId="2008" hidden="1"/>
    <cellStyle name="20% - Accent6 13" xfId="568" hidden="1"/>
    <cellStyle name="20% - Accent6 13" xfId="22626" hidden="1"/>
    <cellStyle name="20% - Accent6 13" xfId="22741" hidden="1"/>
    <cellStyle name="20% - Accent6 13" xfId="23464" hidden="1"/>
    <cellStyle name="20% - Accent6 13" xfId="23637" hidden="1"/>
    <cellStyle name="20% - Accent6 13" xfId="24030" hidden="1"/>
    <cellStyle name="20% - Accent6 13" xfId="24178" hidden="1"/>
    <cellStyle name="20% - Accent6 13" xfId="24516" hidden="1"/>
    <cellStyle name="20% - Accent6 13" xfId="24853" hidden="1"/>
    <cellStyle name="20% - Accent6 13" xfId="25418" hidden="1"/>
    <cellStyle name="20% - Accent6 13" xfId="25533" hidden="1"/>
    <cellStyle name="20% - Accent6 13" xfId="26256" hidden="1"/>
    <cellStyle name="20% - Accent6 13" xfId="26429" hidden="1"/>
    <cellStyle name="20% - Accent6 13" xfId="26822" hidden="1"/>
    <cellStyle name="20% - Accent6 13" xfId="26970" hidden="1"/>
    <cellStyle name="20% - Accent6 13" xfId="27308" hidden="1"/>
    <cellStyle name="20% - Accent6 13" xfId="27645" hidden="1"/>
    <cellStyle name="20% - Accent6 13" xfId="21959" hidden="1"/>
    <cellStyle name="20% - Accent6 13" xfId="16127" hidden="1"/>
    <cellStyle name="20% - Accent6 13" xfId="7308" hidden="1"/>
    <cellStyle name="20% - Accent6 13" xfId="6273" hidden="1"/>
    <cellStyle name="20% - Accent6 13" xfId="4524" hidden="1"/>
    <cellStyle name="20% - Accent6 13" xfId="3753" hidden="1"/>
    <cellStyle name="20% - Accent6 13" xfId="2189" hidden="1"/>
    <cellStyle name="20% - Accent6 13" xfId="703" hidden="1"/>
    <cellStyle name="20% - Accent6 13" xfId="28345" hidden="1"/>
    <cellStyle name="20% - Accent6 13" xfId="28460" hidden="1"/>
    <cellStyle name="20% - Accent6 13" xfId="29183" hidden="1"/>
    <cellStyle name="20% - Accent6 13" xfId="29356" hidden="1"/>
    <cellStyle name="20% - Accent6 13" xfId="29749" hidden="1"/>
    <cellStyle name="20% - Accent6 13" xfId="29897" hidden="1"/>
    <cellStyle name="20% - Accent6 13" xfId="30235" hidden="1"/>
    <cellStyle name="20% - Accent6 13" xfId="30572" hidden="1"/>
    <cellStyle name="20% - Accent6 13" xfId="31137" hidden="1"/>
    <cellStyle name="20% - Accent6 13" xfId="31252" hidden="1"/>
    <cellStyle name="20% - Accent6 13" xfId="31975" hidden="1"/>
    <cellStyle name="20% - Accent6 13" xfId="32148" hidden="1"/>
    <cellStyle name="20% - Accent6 13" xfId="32541" hidden="1"/>
    <cellStyle name="20% - Accent6 13" xfId="32689" hidden="1"/>
    <cellStyle name="20% - Accent6 13" xfId="33027" hidden="1"/>
    <cellStyle name="20% - Accent6 13" xfId="33364" hidden="1"/>
    <cellStyle name="20% - Accent6 3 2 3 2" xfId="828" hidden="1"/>
    <cellStyle name="20% - Accent6 3 2 3 2" xfId="1036" hidden="1"/>
    <cellStyle name="20% - Accent6 3 2 3 2" xfId="3600" hidden="1"/>
    <cellStyle name="20% - Accent6 3 2 3 2" xfId="4115" hidden="1"/>
    <cellStyle name="20% - Accent6 3 2 3 2" xfId="5434" hidden="1"/>
    <cellStyle name="20% - Accent6 3 2 3 2" xfId="6131" hidden="1"/>
    <cellStyle name="20% - Accent6 3 2 3 2" xfId="7148" hidden="1"/>
    <cellStyle name="20% - Accent6 3 2 3 2" xfId="8352" hidden="1"/>
    <cellStyle name="20% - Accent6 3 2 3 2" xfId="10209" hidden="1"/>
    <cellStyle name="20% - Accent6 3 2 3 2" xfId="10324" hidden="1"/>
    <cellStyle name="20% - Accent6 3 2 3 2" xfId="11047" hidden="1"/>
    <cellStyle name="20% - Accent6 3 2 3 2" xfId="11220" hidden="1"/>
    <cellStyle name="20% - Accent6 3 2 3 2" xfId="11613" hidden="1"/>
    <cellStyle name="20% - Accent6 3 2 3 2" xfId="11761" hidden="1"/>
    <cellStyle name="20% - Accent6 3 2 3 2" xfId="12099" hidden="1"/>
    <cellStyle name="20% - Accent6 3 2 3 2" xfId="12436" hidden="1"/>
    <cellStyle name="20% - Accent6 3 2 3 2" xfId="13001" hidden="1"/>
    <cellStyle name="20% - Accent6 3 2 3 2" xfId="13116" hidden="1"/>
    <cellStyle name="20% - Accent6 3 2 3 2" xfId="13839" hidden="1"/>
    <cellStyle name="20% - Accent6 3 2 3 2" xfId="14012" hidden="1"/>
    <cellStyle name="20% - Accent6 3 2 3 2" xfId="14405" hidden="1"/>
    <cellStyle name="20% - Accent6 3 2 3 2" xfId="14553" hidden="1"/>
    <cellStyle name="20% - Accent6 3 2 3 2" xfId="14891" hidden="1"/>
    <cellStyle name="20% - Accent6 3 2 3 2" xfId="15228" hidden="1"/>
    <cellStyle name="20% - Accent6 3 2 3 2" xfId="9118" hidden="1"/>
    <cellStyle name="20% - Accent6 3 2 3 2" xfId="8574" hidden="1"/>
    <cellStyle name="20% - Accent6 3 2 3 2" xfId="5946" hidden="1"/>
    <cellStyle name="20% - Accent6 3 2 3 2" xfId="5155" hidden="1"/>
    <cellStyle name="20% - Accent6 3 2 3 2" xfId="3870" hidden="1"/>
    <cellStyle name="20% - Accent6 3 2 3 2" xfId="3191" hidden="1"/>
    <cellStyle name="20% - Accent6 3 2 3 2" xfId="1747" hidden="1"/>
    <cellStyle name="20% - Accent6 3 2 3 2" xfId="340" hidden="1"/>
    <cellStyle name="20% - Accent6 3 2 3 2" xfId="16550" hidden="1"/>
    <cellStyle name="20% - Accent6 3 2 3 2" xfId="16665" hidden="1"/>
    <cellStyle name="20% - Accent6 3 2 3 2" xfId="17388" hidden="1"/>
    <cellStyle name="20% - Accent6 3 2 3 2" xfId="17561" hidden="1"/>
    <cellStyle name="20% - Accent6 3 2 3 2" xfId="17954" hidden="1"/>
    <cellStyle name="20% - Accent6 3 2 3 2" xfId="18102" hidden="1"/>
    <cellStyle name="20% - Accent6 3 2 3 2" xfId="18440" hidden="1"/>
    <cellStyle name="20% - Accent6 3 2 3 2" xfId="18777" hidden="1"/>
    <cellStyle name="20% - Accent6 3 2 3 2" xfId="19342" hidden="1"/>
    <cellStyle name="20% - Accent6 3 2 3 2" xfId="19457" hidden="1"/>
    <cellStyle name="20% - Accent6 3 2 3 2" xfId="20180" hidden="1"/>
    <cellStyle name="20% - Accent6 3 2 3 2" xfId="20353" hidden="1"/>
    <cellStyle name="20% - Accent6 3 2 3 2" xfId="20746" hidden="1"/>
    <cellStyle name="20% - Accent6 3 2 3 2" xfId="20894" hidden="1"/>
    <cellStyle name="20% - Accent6 3 2 3 2" xfId="21232" hidden="1"/>
    <cellStyle name="20% - Accent6 3 2 3 2" xfId="21569" hidden="1"/>
    <cellStyle name="20% - Accent6 3 2 3 2" xfId="15626" hidden="1"/>
    <cellStyle name="20% - Accent6 3 2 3 2" xfId="9671" hidden="1"/>
    <cellStyle name="20% - Accent6 3 2 3 2" xfId="6517" hidden="1"/>
    <cellStyle name="20% - Accent6 3 2 3 2" xfId="5668" hidden="1"/>
    <cellStyle name="20% - Accent6 3 2 3 2" xfId="4140" hidden="1"/>
    <cellStyle name="20% - Accent6 3 2 3 2" xfId="3419" hidden="1"/>
    <cellStyle name="20% - Accent6 3 2 3 2" xfId="1921" hidden="1"/>
    <cellStyle name="20% - Accent6 3 2 3 2" xfId="481" hidden="1"/>
    <cellStyle name="20% - Accent6 3 2 3 2" xfId="22701" hidden="1"/>
    <cellStyle name="20% - Accent6 3 2 3 2" xfId="22816" hidden="1"/>
    <cellStyle name="20% - Accent6 3 2 3 2" xfId="23539" hidden="1"/>
    <cellStyle name="20% - Accent6 3 2 3 2" xfId="23712" hidden="1"/>
    <cellStyle name="20% - Accent6 3 2 3 2" xfId="24105" hidden="1"/>
    <cellStyle name="20% - Accent6 3 2 3 2" xfId="24253" hidden="1"/>
    <cellStyle name="20% - Accent6 3 2 3 2" xfId="24591" hidden="1"/>
    <cellStyle name="20% - Accent6 3 2 3 2" xfId="24928" hidden="1"/>
    <cellStyle name="20% - Accent6 3 2 3 2" xfId="25493" hidden="1"/>
    <cellStyle name="20% - Accent6 3 2 3 2" xfId="25608" hidden="1"/>
    <cellStyle name="20% - Accent6 3 2 3 2" xfId="26331" hidden="1"/>
    <cellStyle name="20% - Accent6 3 2 3 2" xfId="26504" hidden="1"/>
    <cellStyle name="20% - Accent6 3 2 3 2" xfId="26897" hidden="1"/>
    <cellStyle name="20% - Accent6 3 2 3 2" xfId="27045" hidden="1"/>
    <cellStyle name="20% - Accent6 3 2 3 2" xfId="27383" hidden="1"/>
    <cellStyle name="20% - Accent6 3 2 3 2" xfId="27720" hidden="1"/>
    <cellStyle name="20% - Accent6 3 2 3 2" xfId="21882" hidden="1"/>
    <cellStyle name="20% - Accent6 3 2 3 2" xfId="16052" hidden="1"/>
    <cellStyle name="20% - Accent6 3 2 3 2" xfId="7220" hidden="1"/>
    <cellStyle name="20% - Accent6 3 2 3 2" xfId="6175" hidden="1"/>
    <cellStyle name="20% - Accent6 3 2 3 2" xfId="4359" hidden="1"/>
    <cellStyle name="20% - Accent6 3 2 3 2" xfId="3675" hidden="1"/>
    <cellStyle name="20% - Accent6 3 2 3 2" xfId="2108" hidden="1"/>
    <cellStyle name="20% - Accent6 3 2 3 2" xfId="595" hidden="1"/>
    <cellStyle name="20% - Accent6 3 2 3 2" xfId="28420" hidden="1"/>
    <cellStyle name="20% - Accent6 3 2 3 2" xfId="28535" hidden="1"/>
    <cellStyle name="20% - Accent6 3 2 3 2" xfId="29258" hidden="1"/>
    <cellStyle name="20% - Accent6 3 2 3 2" xfId="29431" hidden="1"/>
    <cellStyle name="20% - Accent6 3 2 3 2" xfId="29824" hidden="1"/>
    <cellStyle name="20% - Accent6 3 2 3 2" xfId="29972" hidden="1"/>
    <cellStyle name="20% - Accent6 3 2 3 2" xfId="30310" hidden="1"/>
    <cellStyle name="20% - Accent6 3 2 3 2" xfId="30647" hidden="1"/>
    <cellStyle name="20% - Accent6 3 2 3 2" xfId="31212" hidden="1"/>
    <cellStyle name="20% - Accent6 3 2 3 2" xfId="31327" hidden="1"/>
    <cellStyle name="20% - Accent6 3 2 3 2" xfId="32050" hidden="1"/>
    <cellStyle name="20% - Accent6 3 2 3 2" xfId="32223" hidden="1"/>
    <cellStyle name="20% - Accent6 3 2 3 2" xfId="32616" hidden="1"/>
    <cellStyle name="20% - Accent6 3 2 3 2" xfId="32764" hidden="1"/>
    <cellStyle name="20% - Accent6 3 2 3 2" xfId="33102" hidden="1"/>
    <cellStyle name="20% - Accent6 3 2 3 2" xfId="33439" hidden="1"/>
    <cellStyle name="20% - Accent6 3 2 4 2" xfId="789" hidden="1"/>
    <cellStyle name="20% - Accent6 3 2 4 2" xfId="997" hidden="1"/>
    <cellStyle name="20% - Accent6 3 2 4 2" xfId="3561" hidden="1"/>
    <cellStyle name="20% - Accent6 3 2 4 2" xfId="4076" hidden="1"/>
    <cellStyle name="20% - Accent6 3 2 4 2" xfId="5395" hidden="1"/>
    <cellStyle name="20% - Accent6 3 2 4 2" xfId="6092" hidden="1"/>
    <cellStyle name="20% - Accent6 3 2 4 2" xfId="7109" hidden="1"/>
    <cellStyle name="20% - Accent6 3 2 4 2" xfId="8313" hidden="1"/>
    <cellStyle name="20% - Accent6 3 2 4 2" xfId="10170" hidden="1"/>
    <cellStyle name="20% - Accent6 3 2 4 2" xfId="10285" hidden="1"/>
    <cellStyle name="20% - Accent6 3 2 4 2" xfId="11008" hidden="1"/>
    <cellStyle name="20% - Accent6 3 2 4 2" xfId="11181" hidden="1"/>
    <cellStyle name="20% - Accent6 3 2 4 2" xfId="11574" hidden="1"/>
    <cellStyle name="20% - Accent6 3 2 4 2" xfId="11722" hidden="1"/>
    <cellStyle name="20% - Accent6 3 2 4 2" xfId="12060" hidden="1"/>
    <cellStyle name="20% - Accent6 3 2 4 2" xfId="12397" hidden="1"/>
    <cellStyle name="20% - Accent6 3 2 4 2" xfId="12962" hidden="1"/>
    <cellStyle name="20% - Accent6 3 2 4 2" xfId="13077" hidden="1"/>
    <cellStyle name="20% - Accent6 3 2 4 2" xfId="13800" hidden="1"/>
    <cellStyle name="20% - Accent6 3 2 4 2" xfId="13973" hidden="1"/>
    <cellStyle name="20% - Accent6 3 2 4 2" xfId="14366" hidden="1"/>
    <cellStyle name="20% - Accent6 3 2 4 2" xfId="14514" hidden="1"/>
    <cellStyle name="20% - Accent6 3 2 4 2" xfId="14852" hidden="1"/>
    <cellStyle name="20% - Accent6 3 2 4 2" xfId="15189" hidden="1"/>
    <cellStyle name="20% - Accent6 3 2 4 2" xfId="9158" hidden="1"/>
    <cellStyle name="20% - Accent6 3 2 4 2" xfId="8613" hidden="1"/>
    <cellStyle name="20% - Accent6 3 2 4 2" xfId="5985" hidden="1"/>
    <cellStyle name="20% - Accent6 3 2 4 2" xfId="5194" hidden="1"/>
    <cellStyle name="20% - Accent6 3 2 4 2" xfId="3911" hidden="1"/>
    <cellStyle name="20% - Accent6 3 2 4 2" xfId="3231" hidden="1"/>
    <cellStyle name="20% - Accent6 3 2 4 2" xfId="1792" hidden="1"/>
    <cellStyle name="20% - Accent6 3 2 4 2" xfId="404" hidden="1"/>
    <cellStyle name="20% - Accent6 3 2 4 2" xfId="16511" hidden="1"/>
    <cellStyle name="20% - Accent6 3 2 4 2" xfId="16626" hidden="1"/>
    <cellStyle name="20% - Accent6 3 2 4 2" xfId="17349" hidden="1"/>
    <cellStyle name="20% - Accent6 3 2 4 2" xfId="17522" hidden="1"/>
    <cellStyle name="20% - Accent6 3 2 4 2" xfId="17915" hidden="1"/>
    <cellStyle name="20% - Accent6 3 2 4 2" xfId="18063" hidden="1"/>
    <cellStyle name="20% - Accent6 3 2 4 2" xfId="18401" hidden="1"/>
    <cellStyle name="20% - Accent6 3 2 4 2" xfId="18738" hidden="1"/>
    <cellStyle name="20% - Accent6 3 2 4 2" xfId="19303" hidden="1"/>
    <cellStyle name="20% - Accent6 3 2 4 2" xfId="19418" hidden="1"/>
    <cellStyle name="20% - Accent6 3 2 4 2" xfId="20141" hidden="1"/>
    <cellStyle name="20% - Accent6 3 2 4 2" xfId="20314" hidden="1"/>
    <cellStyle name="20% - Accent6 3 2 4 2" xfId="20707" hidden="1"/>
    <cellStyle name="20% - Accent6 3 2 4 2" xfId="20855" hidden="1"/>
    <cellStyle name="20% - Accent6 3 2 4 2" xfId="21193" hidden="1"/>
    <cellStyle name="20% - Accent6 3 2 4 2" xfId="21530" hidden="1"/>
    <cellStyle name="20% - Accent6 3 2 4 2" xfId="15666" hidden="1"/>
    <cellStyle name="20% - Accent6 3 2 4 2" xfId="9710" hidden="1"/>
    <cellStyle name="20% - Accent6 3 2 4 2" xfId="6565" hidden="1"/>
    <cellStyle name="20% - Accent6 3 2 4 2" xfId="5715" hidden="1"/>
    <cellStyle name="20% - Accent6 3 2 4 2" xfId="4180" hidden="1"/>
    <cellStyle name="20% - Accent6 3 2 4 2" xfId="3460" hidden="1"/>
    <cellStyle name="20% - Accent6 3 2 4 2" xfId="1970" hidden="1"/>
    <cellStyle name="20% - Accent6 3 2 4 2" xfId="528" hidden="1"/>
    <cellStyle name="20% - Accent6 3 2 4 2" xfId="22662" hidden="1"/>
    <cellStyle name="20% - Accent6 3 2 4 2" xfId="22777" hidden="1"/>
    <cellStyle name="20% - Accent6 3 2 4 2" xfId="23500" hidden="1"/>
    <cellStyle name="20% - Accent6 3 2 4 2" xfId="23673" hidden="1"/>
    <cellStyle name="20% - Accent6 3 2 4 2" xfId="24066" hidden="1"/>
    <cellStyle name="20% - Accent6 3 2 4 2" xfId="24214" hidden="1"/>
    <cellStyle name="20% - Accent6 3 2 4 2" xfId="24552" hidden="1"/>
    <cellStyle name="20% - Accent6 3 2 4 2" xfId="24889" hidden="1"/>
    <cellStyle name="20% - Accent6 3 2 4 2" xfId="25454" hidden="1"/>
    <cellStyle name="20% - Accent6 3 2 4 2" xfId="25569" hidden="1"/>
    <cellStyle name="20% - Accent6 3 2 4 2" xfId="26292" hidden="1"/>
    <cellStyle name="20% - Accent6 3 2 4 2" xfId="26465" hidden="1"/>
    <cellStyle name="20% - Accent6 3 2 4 2" xfId="26858" hidden="1"/>
    <cellStyle name="20% - Accent6 3 2 4 2" xfId="27006" hidden="1"/>
    <cellStyle name="20% - Accent6 3 2 4 2" xfId="27344" hidden="1"/>
    <cellStyle name="20% - Accent6 3 2 4 2" xfId="27681" hidden="1"/>
    <cellStyle name="20% - Accent6 3 2 4 2" xfId="21922" hidden="1"/>
    <cellStyle name="20% - Accent6 3 2 4 2" xfId="16091" hidden="1"/>
    <cellStyle name="20% - Accent6 3 2 4 2" xfId="7269" hidden="1"/>
    <cellStyle name="20% - Accent6 3 2 4 2" xfId="6226" hidden="1"/>
    <cellStyle name="20% - Accent6 3 2 4 2" xfId="4458" hidden="1"/>
    <cellStyle name="20% - Accent6 3 2 4 2" xfId="3717" hidden="1"/>
    <cellStyle name="20% - Accent6 3 2 4 2" xfId="2150" hidden="1"/>
    <cellStyle name="20% - Accent6 3 2 4 2" xfId="640" hidden="1"/>
    <cellStyle name="20% - Accent6 3 2 4 2" xfId="28381" hidden="1"/>
    <cellStyle name="20% - Accent6 3 2 4 2" xfId="28496" hidden="1"/>
    <cellStyle name="20% - Accent6 3 2 4 2" xfId="29219" hidden="1"/>
    <cellStyle name="20% - Accent6 3 2 4 2" xfId="29392" hidden="1"/>
    <cellStyle name="20% - Accent6 3 2 4 2" xfId="29785" hidden="1"/>
    <cellStyle name="20% - Accent6 3 2 4 2" xfId="29933" hidden="1"/>
    <cellStyle name="20% - Accent6 3 2 4 2" xfId="30271" hidden="1"/>
    <cellStyle name="20% - Accent6 3 2 4 2" xfId="30608" hidden="1"/>
    <cellStyle name="20% - Accent6 3 2 4 2" xfId="31173" hidden="1"/>
    <cellStyle name="20% - Accent6 3 2 4 2" xfId="31288" hidden="1"/>
    <cellStyle name="20% - Accent6 3 2 4 2" xfId="32011" hidden="1"/>
    <cellStyle name="20% - Accent6 3 2 4 2" xfId="32184" hidden="1"/>
    <cellStyle name="20% - Accent6 3 2 4 2" xfId="32577" hidden="1"/>
    <cellStyle name="20% - Accent6 3 2 4 2" xfId="32725" hidden="1"/>
    <cellStyle name="20% - Accent6 3 2 4 2" xfId="33063" hidden="1"/>
    <cellStyle name="20% - Accent6 3 2 4 2" xfId="33400" hidden="1"/>
    <cellStyle name="20% - Accent6 3 3 3 2" xfId="788" hidden="1"/>
    <cellStyle name="20% - Accent6 3 3 3 2" xfId="996" hidden="1"/>
    <cellStyle name="20% - Accent6 3 3 3 2" xfId="3560" hidden="1"/>
    <cellStyle name="20% - Accent6 3 3 3 2" xfId="4075" hidden="1"/>
    <cellStyle name="20% - Accent6 3 3 3 2" xfId="5394" hidden="1"/>
    <cellStyle name="20% - Accent6 3 3 3 2" xfId="6091" hidden="1"/>
    <cellStyle name="20% - Accent6 3 3 3 2" xfId="7108" hidden="1"/>
    <cellStyle name="20% - Accent6 3 3 3 2" xfId="8312" hidden="1"/>
    <cellStyle name="20% - Accent6 3 3 3 2" xfId="10169" hidden="1"/>
    <cellStyle name="20% - Accent6 3 3 3 2" xfId="10284" hidden="1"/>
    <cellStyle name="20% - Accent6 3 3 3 2" xfId="11007" hidden="1"/>
    <cellStyle name="20% - Accent6 3 3 3 2" xfId="11180" hidden="1"/>
    <cellStyle name="20% - Accent6 3 3 3 2" xfId="11573" hidden="1"/>
    <cellStyle name="20% - Accent6 3 3 3 2" xfId="11721" hidden="1"/>
    <cellStyle name="20% - Accent6 3 3 3 2" xfId="12059" hidden="1"/>
    <cellStyle name="20% - Accent6 3 3 3 2" xfId="12396" hidden="1"/>
    <cellStyle name="20% - Accent6 3 3 3 2" xfId="12961" hidden="1"/>
    <cellStyle name="20% - Accent6 3 3 3 2" xfId="13076" hidden="1"/>
    <cellStyle name="20% - Accent6 3 3 3 2" xfId="13799" hidden="1"/>
    <cellStyle name="20% - Accent6 3 3 3 2" xfId="13972" hidden="1"/>
    <cellStyle name="20% - Accent6 3 3 3 2" xfId="14365" hidden="1"/>
    <cellStyle name="20% - Accent6 3 3 3 2" xfId="14513" hidden="1"/>
    <cellStyle name="20% - Accent6 3 3 3 2" xfId="14851" hidden="1"/>
    <cellStyle name="20% - Accent6 3 3 3 2" xfId="15188" hidden="1"/>
    <cellStyle name="20% - Accent6 3 3 3 2" xfId="9159" hidden="1"/>
    <cellStyle name="20% - Accent6 3 3 3 2" xfId="8614" hidden="1"/>
    <cellStyle name="20% - Accent6 3 3 3 2" xfId="5986" hidden="1"/>
    <cellStyle name="20% - Accent6 3 3 3 2" xfId="5195" hidden="1"/>
    <cellStyle name="20% - Accent6 3 3 3 2" xfId="3912" hidden="1"/>
    <cellStyle name="20% - Accent6 3 3 3 2" xfId="3232" hidden="1"/>
    <cellStyle name="20% - Accent6 3 3 3 2" xfId="1794" hidden="1"/>
    <cellStyle name="20% - Accent6 3 3 3 2" xfId="405" hidden="1"/>
    <cellStyle name="20% - Accent6 3 3 3 2" xfId="16510" hidden="1"/>
    <cellStyle name="20% - Accent6 3 3 3 2" xfId="16625" hidden="1"/>
    <cellStyle name="20% - Accent6 3 3 3 2" xfId="17348" hidden="1"/>
    <cellStyle name="20% - Accent6 3 3 3 2" xfId="17521" hidden="1"/>
    <cellStyle name="20% - Accent6 3 3 3 2" xfId="17914" hidden="1"/>
    <cellStyle name="20% - Accent6 3 3 3 2" xfId="18062" hidden="1"/>
    <cellStyle name="20% - Accent6 3 3 3 2" xfId="18400" hidden="1"/>
    <cellStyle name="20% - Accent6 3 3 3 2" xfId="18737" hidden="1"/>
    <cellStyle name="20% - Accent6 3 3 3 2" xfId="19302" hidden="1"/>
    <cellStyle name="20% - Accent6 3 3 3 2" xfId="19417" hidden="1"/>
    <cellStyle name="20% - Accent6 3 3 3 2" xfId="20140" hidden="1"/>
    <cellStyle name="20% - Accent6 3 3 3 2" xfId="20313" hidden="1"/>
    <cellStyle name="20% - Accent6 3 3 3 2" xfId="20706" hidden="1"/>
    <cellStyle name="20% - Accent6 3 3 3 2" xfId="20854" hidden="1"/>
    <cellStyle name="20% - Accent6 3 3 3 2" xfId="21192" hidden="1"/>
    <cellStyle name="20% - Accent6 3 3 3 2" xfId="21529" hidden="1"/>
    <cellStyle name="20% - Accent6 3 3 3 2" xfId="15667" hidden="1"/>
    <cellStyle name="20% - Accent6 3 3 3 2" xfId="9711" hidden="1"/>
    <cellStyle name="20% - Accent6 3 3 3 2" xfId="6566" hidden="1"/>
    <cellStyle name="20% - Accent6 3 3 3 2" xfId="5716" hidden="1"/>
    <cellStyle name="20% - Accent6 3 3 3 2" xfId="4181" hidden="1"/>
    <cellStyle name="20% - Accent6 3 3 3 2" xfId="3461" hidden="1"/>
    <cellStyle name="20% - Accent6 3 3 3 2" xfId="1971" hidden="1"/>
    <cellStyle name="20% - Accent6 3 3 3 2" xfId="529" hidden="1"/>
    <cellStyle name="20% - Accent6 3 3 3 2" xfId="22661" hidden="1"/>
    <cellStyle name="20% - Accent6 3 3 3 2" xfId="22776" hidden="1"/>
    <cellStyle name="20% - Accent6 3 3 3 2" xfId="23499" hidden="1"/>
    <cellStyle name="20% - Accent6 3 3 3 2" xfId="23672" hidden="1"/>
    <cellStyle name="20% - Accent6 3 3 3 2" xfId="24065" hidden="1"/>
    <cellStyle name="20% - Accent6 3 3 3 2" xfId="24213" hidden="1"/>
    <cellStyle name="20% - Accent6 3 3 3 2" xfId="24551" hidden="1"/>
    <cellStyle name="20% - Accent6 3 3 3 2" xfId="24888" hidden="1"/>
    <cellStyle name="20% - Accent6 3 3 3 2" xfId="25453" hidden="1"/>
    <cellStyle name="20% - Accent6 3 3 3 2" xfId="25568" hidden="1"/>
    <cellStyle name="20% - Accent6 3 3 3 2" xfId="26291" hidden="1"/>
    <cellStyle name="20% - Accent6 3 3 3 2" xfId="26464" hidden="1"/>
    <cellStyle name="20% - Accent6 3 3 3 2" xfId="26857" hidden="1"/>
    <cellStyle name="20% - Accent6 3 3 3 2" xfId="27005" hidden="1"/>
    <cellStyle name="20% - Accent6 3 3 3 2" xfId="27343" hidden="1"/>
    <cellStyle name="20% - Accent6 3 3 3 2" xfId="27680" hidden="1"/>
    <cellStyle name="20% - Accent6 3 3 3 2" xfId="21923" hidden="1"/>
    <cellStyle name="20% - Accent6 3 3 3 2" xfId="16092" hidden="1"/>
    <cellStyle name="20% - Accent6 3 3 3 2" xfId="7270" hidden="1"/>
    <cellStyle name="20% - Accent6 3 3 3 2" xfId="6230" hidden="1"/>
    <cellStyle name="20% - Accent6 3 3 3 2" xfId="4460" hidden="1"/>
    <cellStyle name="20% - Accent6 3 3 3 2" xfId="3718" hidden="1"/>
    <cellStyle name="20% - Accent6 3 3 3 2" xfId="2152" hidden="1"/>
    <cellStyle name="20% - Accent6 3 3 3 2" xfId="643" hidden="1"/>
    <cellStyle name="20% - Accent6 3 3 3 2" xfId="28380" hidden="1"/>
    <cellStyle name="20% - Accent6 3 3 3 2" xfId="28495" hidden="1"/>
    <cellStyle name="20% - Accent6 3 3 3 2" xfId="29218" hidden="1"/>
    <cellStyle name="20% - Accent6 3 3 3 2" xfId="29391" hidden="1"/>
    <cellStyle name="20% - Accent6 3 3 3 2" xfId="29784" hidden="1"/>
    <cellStyle name="20% - Accent6 3 3 3 2" xfId="29932" hidden="1"/>
    <cellStyle name="20% - Accent6 3 3 3 2" xfId="30270" hidden="1"/>
    <cellStyle name="20% - Accent6 3 3 3 2" xfId="30607" hidden="1"/>
    <cellStyle name="20% - Accent6 3 3 3 2" xfId="31172" hidden="1"/>
    <cellStyle name="20% - Accent6 3 3 3 2" xfId="31287" hidden="1"/>
    <cellStyle name="20% - Accent6 3 3 3 2" xfId="32010" hidden="1"/>
    <cellStyle name="20% - Accent6 3 3 3 2" xfId="32183" hidden="1"/>
    <cellStyle name="20% - Accent6 3 3 3 2" xfId="32576" hidden="1"/>
    <cellStyle name="20% - Accent6 3 3 3 2" xfId="32724" hidden="1"/>
    <cellStyle name="20% - Accent6 3 3 3 2" xfId="33062" hidden="1"/>
    <cellStyle name="20% - Accent6 3 3 3 2" xfId="33399" hidden="1"/>
    <cellStyle name="20% - Accent6 4 2 3 2" xfId="829" hidden="1"/>
    <cellStyle name="20% - Accent6 4 2 3 2" xfId="1037" hidden="1"/>
    <cellStyle name="20% - Accent6 4 2 3 2" xfId="3601" hidden="1"/>
    <cellStyle name="20% - Accent6 4 2 3 2" xfId="4116" hidden="1"/>
    <cellStyle name="20% - Accent6 4 2 3 2" xfId="5435" hidden="1"/>
    <cellStyle name="20% - Accent6 4 2 3 2" xfId="6132" hidden="1"/>
    <cellStyle name="20% - Accent6 4 2 3 2" xfId="7149" hidden="1"/>
    <cellStyle name="20% - Accent6 4 2 3 2" xfId="8353" hidden="1"/>
    <cellStyle name="20% - Accent6 4 2 3 2" xfId="10210" hidden="1"/>
    <cellStyle name="20% - Accent6 4 2 3 2" xfId="10325" hidden="1"/>
    <cellStyle name="20% - Accent6 4 2 3 2" xfId="11048" hidden="1"/>
    <cellStyle name="20% - Accent6 4 2 3 2" xfId="11221" hidden="1"/>
    <cellStyle name="20% - Accent6 4 2 3 2" xfId="11614" hidden="1"/>
    <cellStyle name="20% - Accent6 4 2 3 2" xfId="11762" hidden="1"/>
    <cellStyle name="20% - Accent6 4 2 3 2" xfId="12100" hidden="1"/>
    <cellStyle name="20% - Accent6 4 2 3 2" xfId="12437" hidden="1"/>
    <cellStyle name="20% - Accent6 4 2 3 2" xfId="13002" hidden="1"/>
    <cellStyle name="20% - Accent6 4 2 3 2" xfId="13117" hidden="1"/>
    <cellStyle name="20% - Accent6 4 2 3 2" xfId="13840" hidden="1"/>
    <cellStyle name="20% - Accent6 4 2 3 2" xfId="14013" hidden="1"/>
    <cellStyle name="20% - Accent6 4 2 3 2" xfId="14406" hidden="1"/>
    <cellStyle name="20% - Accent6 4 2 3 2" xfId="14554" hidden="1"/>
    <cellStyle name="20% - Accent6 4 2 3 2" xfId="14892" hidden="1"/>
    <cellStyle name="20% - Accent6 4 2 3 2" xfId="15229" hidden="1"/>
    <cellStyle name="20% - Accent6 4 2 3 2" xfId="9117" hidden="1"/>
    <cellStyle name="20% - Accent6 4 2 3 2" xfId="8573" hidden="1"/>
    <cellStyle name="20% - Accent6 4 2 3 2" xfId="5945" hidden="1"/>
    <cellStyle name="20% - Accent6 4 2 3 2" xfId="5154" hidden="1"/>
    <cellStyle name="20% - Accent6 4 2 3 2" xfId="3868" hidden="1"/>
    <cellStyle name="20% - Accent6 4 2 3 2" xfId="3190" hidden="1"/>
    <cellStyle name="20% - Accent6 4 2 3 2" xfId="1746" hidden="1"/>
    <cellStyle name="20% - Accent6 4 2 3 2" xfId="338" hidden="1"/>
    <cellStyle name="20% - Accent6 4 2 3 2" xfId="16551" hidden="1"/>
    <cellStyle name="20% - Accent6 4 2 3 2" xfId="16666" hidden="1"/>
    <cellStyle name="20% - Accent6 4 2 3 2" xfId="17389" hidden="1"/>
    <cellStyle name="20% - Accent6 4 2 3 2" xfId="17562" hidden="1"/>
    <cellStyle name="20% - Accent6 4 2 3 2" xfId="17955" hidden="1"/>
    <cellStyle name="20% - Accent6 4 2 3 2" xfId="18103" hidden="1"/>
    <cellStyle name="20% - Accent6 4 2 3 2" xfId="18441" hidden="1"/>
    <cellStyle name="20% - Accent6 4 2 3 2" xfId="18778" hidden="1"/>
    <cellStyle name="20% - Accent6 4 2 3 2" xfId="19343" hidden="1"/>
    <cellStyle name="20% - Accent6 4 2 3 2" xfId="19458" hidden="1"/>
    <cellStyle name="20% - Accent6 4 2 3 2" xfId="20181" hidden="1"/>
    <cellStyle name="20% - Accent6 4 2 3 2" xfId="20354" hidden="1"/>
    <cellStyle name="20% - Accent6 4 2 3 2" xfId="20747" hidden="1"/>
    <cellStyle name="20% - Accent6 4 2 3 2" xfId="20895" hidden="1"/>
    <cellStyle name="20% - Accent6 4 2 3 2" xfId="21233" hidden="1"/>
    <cellStyle name="20% - Accent6 4 2 3 2" xfId="21570" hidden="1"/>
    <cellStyle name="20% - Accent6 4 2 3 2" xfId="15625" hidden="1"/>
    <cellStyle name="20% - Accent6 4 2 3 2" xfId="9670" hidden="1"/>
    <cellStyle name="20% - Accent6 4 2 3 2" xfId="6516" hidden="1"/>
    <cellStyle name="20% - Accent6 4 2 3 2" xfId="5667" hidden="1"/>
    <cellStyle name="20% - Accent6 4 2 3 2" xfId="4139" hidden="1"/>
    <cellStyle name="20% - Accent6 4 2 3 2" xfId="3418" hidden="1"/>
    <cellStyle name="20% - Accent6 4 2 3 2" xfId="1919" hidden="1"/>
    <cellStyle name="20% - Accent6 4 2 3 2" xfId="477" hidden="1"/>
    <cellStyle name="20% - Accent6 4 2 3 2" xfId="22702" hidden="1"/>
    <cellStyle name="20% - Accent6 4 2 3 2" xfId="22817" hidden="1"/>
    <cellStyle name="20% - Accent6 4 2 3 2" xfId="23540" hidden="1"/>
    <cellStyle name="20% - Accent6 4 2 3 2" xfId="23713" hidden="1"/>
    <cellStyle name="20% - Accent6 4 2 3 2" xfId="24106" hidden="1"/>
    <cellStyle name="20% - Accent6 4 2 3 2" xfId="24254" hidden="1"/>
    <cellStyle name="20% - Accent6 4 2 3 2" xfId="24592" hidden="1"/>
    <cellStyle name="20% - Accent6 4 2 3 2" xfId="24929" hidden="1"/>
    <cellStyle name="20% - Accent6 4 2 3 2" xfId="25494" hidden="1"/>
    <cellStyle name="20% - Accent6 4 2 3 2" xfId="25609" hidden="1"/>
    <cellStyle name="20% - Accent6 4 2 3 2" xfId="26332" hidden="1"/>
    <cellStyle name="20% - Accent6 4 2 3 2" xfId="26505" hidden="1"/>
    <cellStyle name="20% - Accent6 4 2 3 2" xfId="26898" hidden="1"/>
    <cellStyle name="20% - Accent6 4 2 3 2" xfId="27046" hidden="1"/>
    <cellStyle name="20% - Accent6 4 2 3 2" xfId="27384" hidden="1"/>
    <cellStyle name="20% - Accent6 4 2 3 2" xfId="27721" hidden="1"/>
    <cellStyle name="20% - Accent6 4 2 3 2" xfId="21881" hidden="1"/>
    <cellStyle name="20% - Accent6 4 2 3 2" xfId="16051" hidden="1"/>
    <cellStyle name="20% - Accent6 4 2 3 2" xfId="7219" hidden="1"/>
    <cellStyle name="20% - Accent6 4 2 3 2" xfId="6174" hidden="1"/>
    <cellStyle name="20% - Accent6 4 2 3 2" xfId="4354" hidden="1"/>
    <cellStyle name="20% - Accent6 4 2 3 2" xfId="3674" hidden="1"/>
    <cellStyle name="20% - Accent6 4 2 3 2" xfId="2107" hidden="1"/>
    <cellStyle name="20% - Accent6 4 2 3 2" xfId="594" hidden="1"/>
    <cellStyle name="20% - Accent6 4 2 3 2" xfId="28421" hidden="1"/>
    <cellStyle name="20% - Accent6 4 2 3 2" xfId="28536" hidden="1"/>
    <cellStyle name="20% - Accent6 4 2 3 2" xfId="29259" hidden="1"/>
    <cellStyle name="20% - Accent6 4 2 3 2" xfId="29432" hidden="1"/>
    <cellStyle name="20% - Accent6 4 2 3 2" xfId="29825" hidden="1"/>
    <cellStyle name="20% - Accent6 4 2 3 2" xfId="29973" hidden="1"/>
    <cellStyle name="20% - Accent6 4 2 3 2" xfId="30311" hidden="1"/>
    <cellStyle name="20% - Accent6 4 2 3 2" xfId="30648" hidden="1"/>
    <cellStyle name="20% - Accent6 4 2 3 2" xfId="31213" hidden="1"/>
    <cellStyle name="20% - Accent6 4 2 3 2" xfId="31328" hidden="1"/>
    <cellStyle name="20% - Accent6 4 2 3 2" xfId="32051" hidden="1"/>
    <cellStyle name="20% - Accent6 4 2 3 2" xfId="32224" hidden="1"/>
    <cellStyle name="20% - Accent6 4 2 3 2" xfId="32617" hidden="1"/>
    <cellStyle name="20% - Accent6 4 2 3 2" xfId="32765" hidden="1"/>
    <cellStyle name="20% - Accent6 4 2 3 2" xfId="33103" hidden="1"/>
    <cellStyle name="20% - Accent6 4 2 3 2" xfId="33440" hidden="1"/>
    <cellStyle name="20% - Accent6 4 2 4 2" xfId="791" hidden="1"/>
    <cellStyle name="20% - Accent6 4 2 4 2" xfId="999" hidden="1"/>
    <cellStyle name="20% - Accent6 4 2 4 2" xfId="3563" hidden="1"/>
    <cellStyle name="20% - Accent6 4 2 4 2" xfId="4078" hidden="1"/>
    <cellStyle name="20% - Accent6 4 2 4 2" xfId="5397" hidden="1"/>
    <cellStyle name="20% - Accent6 4 2 4 2" xfId="6094" hidden="1"/>
    <cellStyle name="20% - Accent6 4 2 4 2" xfId="7111" hidden="1"/>
    <cellStyle name="20% - Accent6 4 2 4 2" xfId="8315" hidden="1"/>
    <cellStyle name="20% - Accent6 4 2 4 2" xfId="10172" hidden="1"/>
    <cellStyle name="20% - Accent6 4 2 4 2" xfId="10287" hidden="1"/>
    <cellStyle name="20% - Accent6 4 2 4 2" xfId="11010" hidden="1"/>
    <cellStyle name="20% - Accent6 4 2 4 2" xfId="11183" hidden="1"/>
    <cellStyle name="20% - Accent6 4 2 4 2" xfId="11576" hidden="1"/>
    <cellStyle name="20% - Accent6 4 2 4 2" xfId="11724" hidden="1"/>
    <cellStyle name="20% - Accent6 4 2 4 2" xfId="12062" hidden="1"/>
    <cellStyle name="20% - Accent6 4 2 4 2" xfId="12399" hidden="1"/>
    <cellStyle name="20% - Accent6 4 2 4 2" xfId="12964" hidden="1"/>
    <cellStyle name="20% - Accent6 4 2 4 2" xfId="13079" hidden="1"/>
    <cellStyle name="20% - Accent6 4 2 4 2" xfId="13802" hidden="1"/>
    <cellStyle name="20% - Accent6 4 2 4 2" xfId="13975" hidden="1"/>
    <cellStyle name="20% - Accent6 4 2 4 2" xfId="14368" hidden="1"/>
    <cellStyle name="20% - Accent6 4 2 4 2" xfId="14516" hidden="1"/>
    <cellStyle name="20% - Accent6 4 2 4 2" xfId="14854" hidden="1"/>
    <cellStyle name="20% - Accent6 4 2 4 2" xfId="15191" hidden="1"/>
    <cellStyle name="20% - Accent6 4 2 4 2" xfId="9156" hidden="1"/>
    <cellStyle name="20% - Accent6 4 2 4 2" xfId="8611" hidden="1"/>
    <cellStyle name="20% - Accent6 4 2 4 2" xfId="5983" hidden="1"/>
    <cellStyle name="20% - Accent6 4 2 4 2" xfId="5192" hidden="1"/>
    <cellStyle name="20% - Accent6 4 2 4 2" xfId="3909" hidden="1"/>
    <cellStyle name="20% - Accent6 4 2 4 2" xfId="3229" hidden="1"/>
    <cellStyle name="20% - Accent6 4 2 4 2" xfId="1789" hidden="1"/>
    <cellStyle name="20% - Accent6 4 2 4 2" xfId="402" hidden="1"/>
    <cellStyle name="20% - Accent6 4 2 4 2" xfId="16513" hidden="1"/>
    <cellStyle name="20% - Accent6 4 2 4 2" xfId="16628" hidden="1"/>
    <cellStyle name="20% - Accent6 4 2 4 2" xfId="17351" hidden="1"/>
    <cellStyle name="20% - Accent6 4 2 4 2" xfId="17524" hidden="1"/>
    <cellStyle name="20% - Accent6 4 2 4 2" xfId="17917" hidden="1"/>
    <cellStyle name="20% - Accent6 4 2 4 2" xfId="18065" hidden="1"/>
    <cellStyle name="20% - Accent6 4 2 4 2" xfId="18403" hidden="1"/>
    <cellStyle name="20% - Accent6 4 2 4 2" xfId="18740" hidden="1"/>
    <cellStyle name="20% - Accent6 4 2 4 2" xfId="19305" hidden="1"/>
    <cellStyle name="20% - Accent6 4 2 4 2" xfId="19420" hidden="1"/>
    <cellStyle name="20% - Accent6 4 2 4 2" xfId="20143" hidden="1"/>
    <cellStyle name="20% - Accent6 4 2 4 2" xfId="20316" hidden="1"/>
    <cellStyle name="20% - Accent6 4 2 4 2" xfId="20709" hidden="1"/>
    <cellStyle name="20% - Accent6 4 2 4 2" xfId="20857" hidden="1"/>
    <cellStyle name="20% - Accent6 4 2 4 2" xfId="21195" hidden="1"/>
    <cellStyle name="20% - Accent6 4 2 4 2" xfId="21532" hidden="1"/>
    <cellStyle name="20% - Accent6 4 2 4 2" xfId="15664" hidden="1"/>
    <cellStyle name="20% - Accent6 4 2 4 2" xfId="9708" hidden="1"/>
    <cellStyle name="20% - Accent6 4 2 4 2" xfId="6562" hidden="1"/>
    <cellStyle name="20% - Accent6 4 2 4 2" xfId="5713" hidden="1"/>
    <cellStyle name="20% - Accent6 4 2 4 2" xfId="4178" hidden="1"/>
    <cellStyle name="20% - Accent6 4 2 4 2" xfId="3458" hidden="1"/>
    <cellStyle name="20% - Accent6 4 2 4 2" xfId="1968" hidden="1"/>
    <cellStyle name="20% - Accent6 4 2 4 2" xfId="526" hidden="1"/>
    <cellStyle name="20% - Accent6 4 2 4 2" xfId="22664" hidden="1"/>
    <cellStyle name="20% - Accent6 4 2 4 2" xfId="22779" hidden="1"/>
    <cellStyle name="20% - Accent6 4 2 4 2" xfId="23502" hidden="1"/>
    <cellStyle name="20% - Accent6 4 2 4 2" xfId="23675" hidden="1"/>
    <cellStyle name="20% - Accent6 4 2 4 2" xfId="24068" hidden="1"/>
    <cellStyle name="20% - Accent6 4 2 4 2" xfId="24216" hidden="1"/>
    <cellStyle name="20% - Accent6 4 2 4 2" xfId="24554" hidden="1"/>
    <cellStyle name="20% - Accent6 4 2 4 2" xfId="24891" hidden="1"/>
    <cellStyle name="20% - Accent6 4 2 4 2" xfId="25456" hidden="1"/>
    <cellStyle name="20% - Accent6 4 2 4 2" xfId="25571" hidden="1"/>
    <cellStyle name="20% - Accent6 4 2 4 2" xfId="26294" hidden="1"/>
    <cellStyle name="20% - Accent6 4 2 4 2" xfId="26467" hidden="1"/>
    <cellStyle name="20% - Accent6 4 2 4 2" xfId="26860" hidden="1"/>
    <cellStyle name="20% - Accent6 4 2 4 2" xfId="27008" hidden="1"/>
    <cellStyle name="20% - Accent6 4 2 4 2" xfId="27346" hidden="1"/>
    <cellStyle name="20% - Accent6 4 2 4 2" xfId="27683" hidden="1"/>
    <cellStyle name="20% - Accent6 4 2 4 2" xfId="21920" hidden="1"/>
    <cellStyle name="20% - Accent6 4 2 4 2" xfId="16089" hidden="1"/>
    <cellStyle name="20% - Accent6 4 2 4 2" xfId="7267" hidden="1"/>
    <cellStyle name="20% - Accent6 4 2 4 2" xfId="6224" hidden="1"/>
    <cellStyle name="20% - Accent6 4 2 4 2" xfId="4451" hidden="1"/>
    <cellStyle name="20% - Accent6 4 2 4 2" xfId="3715" hidden="1"/>
    <cellStyle name="20% - Accent6 4 2 4 2" xfId="2148" hidden="1"/>
    <cellStyle name="20% - Accent6 4 2 4 2" xfId="637" hidden="1"/>
    <cellStyle name="20% - Accent6 4 2 4 2" xfId="28383" hidden="1"/>
    <cellStyle name="20% - Accent6 4 2 4 2" xfId="28498" hidden="1"/>
    <cellStyle name="20% - Accent6 4 2 4 2" xfId="29221" hidden="1"/>
    <cellStyle name="20% - Accent6 4 2 4 2" xfId="29394" hidden="1"/>
    <cellStyle name="20% - Accent6 4 2 4 2" xfId="29787" hidden="1"/>
    <cellStyle name="20% - Accent6 4 2 4 2" xfId="29935" hidden="1"/>
    <cellStyle name="20% - Accent6 4 2 4 2" xfId="30273" hidden="1"/>
    <cellStyle name="20% - Accent6 4 2 4 2" xfId="30610" hidden="1"/>
    <cellStyle name="20% - Accent6 4 2 4 2" xfId="31175" hidden="1"/>
    <cellStyle name="20% - Accent6 4 2 4 2" xfId="31290" hidden="1"/>
    <cellStyle name="20% - Accent6 4 2 4 2" xfId="32013" hidden="1"/>
    <cellStyle name="20% - Accent6 4 2 4 2" xfId="32186" hidden="1"/>
    <cellStyle name="20% - Accent6 4 2 4 2" xfId="32579" hidden="1"/>
    <cellStyle name="20% - Accent6 4 2 4 2" xfId="32727" hidden="1"/>
    <cellStyle name="20% - Accent6 4 2 4 2" xfId="33065" hidden="1"/>
    <cellStyle name="20% - Accent6 4 2 4 2" xfId="33402" hidden="1"/>
    <cellStyle name="20% - Accent6 4 3 3 2" xfId="790" hidden="1"/>
    <cellStyle name="20% - Accent6 4 3 3 2" xfId="998" hidden="1"/>
    <cellStyle name="20% - Accent6 4 3 3 2" xfId="3562" hidden="1"/>
    <cellStyle name="20% - Accent6 4 3 3 2" xfId="4077" hidden="1"/>
    <cellStyle name="20% - Accent6 4 3 3 2" xfId="5396" hidden="1"/>
    <cellStyle name="20% - Accent6 4 3 3 2" xfId="6093" hidden="1"/>
    <cellStyle name="20% - Accent6 4 3 3 2" xfId="7110" hidden="1"/>
    <cellStyle name="20% - Accent6 4 3 3 2" xfId="8314" hidden="1"/>
    <cellStyle name="20% - Accent6 4 3 3 2" xfId="10171" hidden="1"/>
    <cellStyle name="20% - Accent6 4 3 3 2" xfId="10286" hidden="1"/>
    <cellStyle name="20% - Accent6 4 3 3 2" xfId="11009" hidden="1"/>
    <cellStyle name="20% - Accent6 4 3 3 2" xfId="11182" hidden="1"/>
    <cellStyle name="20% - Accent6 4 3 3 2" xfId="11575" hidden="1"/>
    <cellStyle name="20% - Accent6 4 3 3 2" xfId="11723" hidden="1"/>
    <cellStyle name="20% - Accent6 4 3 3 2" xfId="12061" hidden="1"/>
    <cellStyle name="20% - Accent6 4 3 3 2" xfId="12398" hidden="1"/>
    <cellStyle name="20% - Accent6 4 3 3 2" xfId="12963" hidden="1"/>
    <cellStyle name="20% - Accent6 4 3 3 2" xfId="13078" hidden="1"/>
    <cellStyle name="20% - Accent6 4 3 3 2" xfId="13801" hidden="1"/>
    <cellStyle name="20% - Accent6 4 3 3 2" xfId="13974" hidden="1"/>
    <cellStyle name="20% - Accent6 4 3 3 2" xfId="14367" hidden="1"/>
    <cellStyle name="20% - Accent6 4 3 3 2" xfId="14515" hidden="1"/>
    <cellStyle name="20% - Accent6 4 3 3 2" xfId="14853" hidden="1"/>
    <cellStyle name="20% - Accent6 4 3 3 2" xfId="15190" hidden="1"/>
    <cellStyle name="20% - Accent6 4 3 3 2" xfId="9157" hidden="1"/>
    <cellStyle name="20% - Accent6 4 3 3 2" xfId="8612" hidden="1"/>
    <cellStyle name="20% - Accent6 4 3 3 2" xfId="5984" hidden="1"/>
    <cellStyle name="20% - Accent6 4 3 3 2" xfId="5193" hidden="1"/>
    <cellStyle name="20% - Accent6 4 3 3 2" xfId="3910" hidden="1"/>
    <cellStyle name="20% - Accent6 4 3 3 2" xfId="3230" hidden="1"/>
    <cellStyle name="20% - Accent6 4 3 3 2" xfId="1790" hidden="1"/>
    <cellStyle name="20% - Accent6 4 3 3 2" xfId="403" hidden="1"/>
    <cellStyle name="20% - Accent6 4 3 3 2" xfId="16512" hidden="1"/>
    <cellStyle name="20% - Accent6 4 3 3 2" xfId="16627" hidden="1"/>
    <cellStyle name="20% - Accent6 4 3 3 2" xfId="17350" hidden="1"/>
    <cellStyle name="20% - Accent6 4 3 3 2" xfId="17523" hidden="1"/>
    <cellStyle name="20% - Accent6 4 3 3 2" xfId="17916" hidden="1"/>
    <cellStyle name="20% - Accent6 4 3 3 2" xfId="18064" hidden="1"/>
    <cellStyle name="20% - Accent6 4 3 3 2" xfId="18402" hidden="1"/>
    <cellStyle name="20% - Accent6 4 3 3 2" xfId="18739" hidden="1"/>
    <cellStyle name="20% - Accent6 4 3 3 2" xfId="19304" hidden="1"/>
    <cellStyle name="20% - Accent6 4 3 3 2" xfId="19419" hidden="1"/>
    <cellStyle name="20% - Accent6 4 3 3 2" xfId="20142" hidden="1"/>
    <cellStyle name="20% - Accent6 4 3 3 2" xfId="20315" hidden="1"/>
    <cellStyle name="20% - Accent6 4 3 3 2" xfId="20708" hidden="1"/>
    <cellStyle name="20% - Accent6 4 3 3 2" xfId="20856" hidden="1"/>
    <cellStyle name="20% - Accent6 4 3 3 2" xfId="21194" hidden="1"/>
    <cellStyle name="20% - Accent6 4 3 3 2" xfId="21531" hidden="1"/>
    <cellStyle name="20% - Accent6 4 3 3 2" xfId="15665" hidden="1"/>
    <cellStyle name="20% - Accent6 4 3 3 2" xfId="9709" hidden="1"/>
    <cellStyle name="20% - Accent6 4 3 3 2" xfId="6563" hidden="1"/>
    <cellStyle name="20% - Accent6 4 3 3 2" xfId="5714" hidden="1"/>
    <cellStyle name="20% - Accent6 4 3 3 2" xfId="4179" hidden="1"/>
    <cellStyle name="20% - Accent6 4 3 3 2" xfId="3459" hidden="1"/>
    <cellStyle name="20% - Accent6 4 3 3 2" xfId="1969" hidden="1"/>
    <cellStyle name="20% - Accent6 4 3 3 2" xfId="527" hidden="1"/>
    <cellStyle name="20% - Accent6 4 3 3 2" xfId="22663" hidden="1"/>
    <cellStyle name="20% - Accent6 4 3 3 2" xfId="22778" hidden="1"/>
    <cellStyle name="20% - Accent6 4 3 3 2" xfId="23501" hidden="1"/>
    <cellStyle name="20% - Accent6 4 3 3 2" xfId="23674" hidden="1"/>
    <cellStyle name="20% - Accent6 4 3 3 2" xfId="24067" hidden="1"/>
    <cellStyle name="20% - Accent6 4 3 3 2" xfId="24215" hidden="1"/>
    <cellStyle name="20% - Accent6 4 3 3 2" xfId="24553" hidden="1"/>
    <cellStyle name="20% - Accent6 4 3 3 2" xfId="24890" hidden="1"/>
    <cellStyle name="20% - Accent6 4 3 3 2" xfId="25455" hidden="1"/>
    <cellStyle name="20% - Accent6 4 3 3 2" xfId="25570" hidden="1"/>
    <cellStyle name="20% - Accent6 4 3 3 2" xfId="26293" hidden="1"/>
    <cellStyle name="20% - Accent6 4 3 3 2" xfId="26466" hidden="1"/>
    <cellStyle name="20% - Accent6 4 3 3 2" xfId="26859" hidden="1"/>
    <cellStyle name="20% - Accent6 4 3 3 2" xfId="27007" hidden="1"/>
    <cellStyle name="20% - Accent6 4 3 3 2" xfId="27345" hidden="1"/>
    <cellStyle name="20% - Accent6 4 3 3 2" xfId="27682" hidden="1"/>
    <cellStyle name="20% - Accent6 4 3 3 2" xfId="21921" hidden="1"/>
    <cellStyle name="20% - Accent6 4 3 3 2" xfId="16090" hidden="1"/>
    <cellStyle name="20% - Accent6 4 3 3 2" xfId="7268" hidden="1"/>
    <cellStyle name="20% - Accent6 4 3 3 2" xfId="6225" hidden="1"/>
    <cellStyle name="20% - Accent6 4 3 3 2" xfId="4453" hidden="1"/>
    <cellStyle name="20% - Accent6 4 3 3 2" xfId="3716" hidden="1"/>
    <cellStyle name="20% - Accent6 4 3 3 2" xfId="2149" hidden="1"/>
    <cellStyle name="20% - Accent6 4 3 3 2" xfId="639" hidden="1"/>
    <cellStyle name="20% - Accent6 4 3 3 2" xfId="28382" hidden="1"/>
    <cellStyle name="20% - Accent6 4 3 3 2" xfId="28497" hidden="1"/>
    <cellStyle name="20% - Accent6 4 3 3 2" xfId="29220" hidden="1"/>
    <cellStyle name="20% - Accent6 4 3 3 2" xfId="29393" hidden="1"/>
    <cellStyle name="20% - Accent6 4 3 3 2" xfId="29786" hidden="1"/>
    <cellStyle name="20% - Accent6 4 3 3 2" xfId="29934" hidden="1"/>
    <cellStyle name="20% - Accent6 4 3 3 2" xfId="30272" hidden="1"/>
    <cellStyle name="20% - Accent6 4 3 3 2" xfId="30609" hidden="1"/>
    <cellStyle name="20% - Accent6 4 3 3 2" xfId="31174" hidden="1"/>
    <cellStyle name="20% - Accent6 4 3 3 2" xfId="31289" hidden="1"/>
    <cellStyle name="20% - Accent6 4 3 3 2" xfId="32012" hidden="1"/>
    <cellStyle name="20% - Accent6 4 3 3 2" xfId="32185" hidden="1"/>
    <cellStyle name="20% - Accent6 4 3 3 2" xfId="32578" hidden="1"/>
    <cellStyle name="20% - Accent6 4 3 3 2" xfId="32726" hidden="1"/>
    <cellStyle name="20% - Accent6 4 3 3 2" xfId="33064" hidden="1"/>
    <cellStyle name="20% - Accent6 4 3 3 2" xfId="33401" hidden="1"/>
    <cellStyle name="20% - Accent6 5 2" xfId="767" hidden="1"/>
    <cellStyle name="20% - Accent6 5 2" xfId="975" hidden="1"/>
    <cellStyle name="20% - Accent6 5 2" xfId="3539" hidden="1"/>
    <cellStyle name="20% - Accent6 5 2" xfId="4054" hidden="1"/>
    <cellStyle name="20% - Accent6 5 2" xfId="5373" hidden="1"/>
    <cellStyle name="20% - Accent6 5 2" xfId="6070" hidden="1"/>
    <cellStyle name="20% - Accent6 5 2" xfId="7087" hidden="1"/>
    <cellStyle name="20% - Accent6 5 2" xfId="8291" hidden="1"/>
    <cellStyle name="20% - Accent6 5 2" xfId="10148" hidden="1"/>
    <cellStyle name="20% - Accent6 5 2" xfId="10263" hidden="1"/>
    <cellStyle name="20% - Accent6 5 2" xfId="10986" hidden="1"/>
    <cellStyle name="20% - Accent6 5 2" xfId="11159" hidden="1"/>
    <cellStyle name="20% - Accent6 5 2" xfId="11552" hidden="1"/>
    <cellStyle name="20% - Accent6 5 2" xfId="11700" hidden="1"/>
    <cellStyle name="20% - Accent6 5 2" xfId="12038" hidden="1"/>
    <cellStyle name="20% - Accent6 5 2" xfId="12375" hidden="1"/>
    <cellStyle name="20% - Accent6 5 2" xfId="12940" hidden="1"/>
    <cellStyle name="20% - Accent6 5 2" xfId="13055" hidden="1"/>
    <cellStyle name="20% - Accent6 5 2" xfId="13778" hidden="1"/>
    <cellStyle name="20% - Accent6 5 2" xfId="13951" hidden="1"/>
    <cellStyle name="20% - Accent6 5 2" xfId="14344" hidden="1"/>
    <cellStyle name="20% - Accent6 5 2" xfId="14492" hidden="1"/>
    <cellStyle name="20% - Accent6 5 2" xfId="14830" hidden="1"/>
    <cellStyle name="20% - Accent6 5 2" xfId="15167" hidden="1"/>
    <cellStyle name="20% - Accent6 5 2" xfId="9180" hidden="1"/>
    <cellStyle name="20% - Accent6 5 2" xfId="8635" hidden="1"/>
    <cellStyle name="20% - Accent6 5 2" xfId="6007" hidden="1"/>
    <cellStyle name="20% - Accent6 5 2" xfId="5216" hidden="1"/>
    <cellStyle name="20% - Accent6 5 2" xfId="3934" hidden="1"/>
    <cellStyle name="20% - Accent6 5 2" xfId="3253" hidden="1"/>
    <cellStyle name="20% - Accent6 5 2" xfId="1817" hidden="1"/>
    <cellStyle name="20% - Accent6 5 2" xfId="442" hidden="1"/>
    <cellStyle name="20% - Accent6 5 2" xfId="16489" hidden="1"/>
    <cellStyle name="20% - Accent6 5 2" xfId="16604" hidden="1"/>
    <cellStyle name="20% - Accent6 5 2" xfId="17327" hidden="1"/>
    <cellStyle name="20% - Accent6 5 2" xfId="17500" hidden="1"/>
    <cellStyle name="20% - Accent6 5 2" xfId="17893" hidden="1"/>
    <cellStyle name="20% - Accent6 5 2" xfId="18041" hidden="1"/>
    <cellStyle name="20% - Accent6 5 2" xfId="18379" hidden="1"/>
    <cellStyle name="20% - Accent6 5 2" xfId="18716" hidden="1"/>
    <cellStyle name="20% - Accent6 5 2" xfId="19281" hidden="1"/>
    <cellStyle name="20% - Accent6 5 2" xfId="19396" hidden="1"/>
    <cellStyle name="20% - Accent6 5 2" xfId="20119" hidden="1"/>
    <cellStyle name="20% - Accent6 5 2" xfId="20292" hidden="1"/>
    <cellStyle name="20% - Accent6 5 2" xfId="20685" hidden="1"/>
    <cellStyle name="20% - Accent6 5 2" xfId="20833" hidden="1"/>
    <cellStyle name="20% - Accent6 5 2" xfId="21171" hidden="1"/>
    <cellStyle name="20% - Accent6 5 2" xfId="21508" hidden="1"/>
    <cellStyle name="20% - Accent6 5 2" xfId="15688" hidden="1"/>
    <cellStyle name="20% - Accent6 5 2" xfId="9732" hidden="1"/>
    <cellStyle name="20% - Accent6 5 2" xfId="6591" hidden="1"/>
    <cellStyle name="20% - Accent6 5 2" xfId="5745" hidden="1"/>
    <cellStyle name="20% - Accent6 5 2" xfId="4202" hidden="1"/>
    <cellStyle name="20% - Accent6 5 2" xfId="3483" hidden="1"/>
    <cellStyle name="20% - Accent6 5 2" xfId="1993" hidden="1"/>
    <cellStyle name="20% - Accent6 5 2" xfId="554" hidden="1"/>
    <cellStyle name="20% - Accent6 5 2" xfId="22640" hidden="1"/>
    <cellStyle name="20% - Accent6 5 2" xfId="22755" hidden="1"/>
    <cellStyle name="20% - Accent6 5 2" xfId="23478" hidden="1"/>
    <cellStyle name="20% - Accent6 5 2" xfId="23651" hidden="1"/>
    <cellStyle name="20% - Accent6 5 2" xfId="24044" hidden="1"/>
    <cellStyle name="20% - Accent6 5 2" xfId="24192" hidden="1"/>
    <cellStyle name="20% - Accent6 5 2" xfId="24530" hidden="1"/>
    <cellStyle name="20% - Accent6 5 2" xfId="24867" hidden="1"/>
    <cellStyle name="20% - Accent6 5 2" xfId="25432" hidden="1"/>
    <cellStyle name="20% - Accent6 5 2" xfId="25547" hidden="1"/>
    <cellStyle name="20% - Accent6 5 2" xfId="26270" hidden="1"/>
    <cellStyle name="20% - Accent6 5 2" xfId="26443" hidden="1"/>
    <cellStyle name="20% - Accent6 5 2" xfId="26836" hidden="1"/>
    <cellStyle name="20% - Accent6 5 2" xfId="26984" hidden="1"/>
    <cellStyle name="20% - Accent6 5 2" xfId="27322" hidden="1"/>
    <cellStyle name="20% - Accent6 5 2" xfId="27659" hidden="1"/>
    <cellStyle name="20% - Accent6 5 2" xfId="21944" hidden="1"/>
    <cellStyle name="20% - Accent6 5 2" xfId="16113" hidden="1"/>
    <cellStyle name="20% - Accent6 5 2" xfId="7294" hidden="1"/>
    <cellStyle name="20% - Accent6 5 2" xfId="6254" hidden="1"/>
    <cellStyle name="20% - Accent6 5 2" xfId="4499" hidden="1"/>
    <cellStyle name="20% - Accent6 5 2" xfId="3739" hidden="1"/>
    <cellStyle name="20% - Accent6 5 2" xfId="2174" hidden="1"/>
    <cellStyle name="20% - Accent6 5 2" xfId="679" hidden="1"/>
    <cellStyle name="20% - Accent6 5 2" xfId="28359" hidden="1"/>
    <cellStyle name="20% - Accent6 5 2" xfId="28474" hidden="1"/>
    <cellStyle name="20% - Accent6 5 2" xfId="29197" hidden="1"/>
    <cellStyle name="20% - Accent6 5 2" xfId="29370" hidden="1"/>
    <cellStyle name="20% - Accent6 5 2" xfId="29763" hidden="1"/>
    <cellStyle name="20% - Accent6 5 2" xfId="29911" hidden="1"/>
    <cellStyle name="20% - Accent6 5 2" xfId="30249" hidden="1"/>
    <cellStyle name="20% - Accent6 5 2" xfId="30586" hidden="1"/>
    <cellStyle name="20% - Accent6 5 2" xfId="31151" hidden="1"/>
    <cellStyle name="20% - Accent6 5 2" xfId="31266" hidden="1"/>
    <cellStyle name="20% - Accent6 5 2" xfId="31989" hidden="1"/>
    <cellStyle name="20% - Accent6 5 2" xfId="32162" hidden="1"/>
    <cellStyle name="20% - Accent6 5 2" xfId="32555" hidden="1"/>
    <cellStyle name="20% - Accent6 5 2" xfId="32703" hidden="1"/>
    <cellStyle name="20% - Accent6 5 2" xfId="33041" hidden="1"/>
    <cellStyle name="20% - Accent6 5 2" xfId="33378" hidden="1"/>
    <cellStyle name="20% - Accent6 7" xfId="135" hidden="1"/>
    <cellStyle name="20% - Accent6 7" xfId="224" hidden="1"/>
    <cellStyle name="20% - Accent6 7" xfId="304" hidden="1"/>
    <cellStyle name="20% - Accent6 7" xfId="574" hidden="1"/>
    <cellStyle name="20% - Accent6 7" xfId="2376" hidden="1"/>
    <cellStyle name="20% - Accent6 7" xfId="2510" hidden="1"/>
    <cellStyle name="20% - Accent6 7" xfId="2676" hidden="1"/>
    <cellStyle name="20% - Accent6 7" xfId="3136" hidden="1"/>
    <cellStyle name="20% - Accent6 7" xfId="2896" hidden="1"/>
    <cellStyle name="20% - Accent6 7" xfId="2258" hidden="1"/>
    <cellStyle name="20% - Accent6 7" xfId="1647" hidden="1"/>
    <cellStyle name="20% - Accent6 7" xfId="4544" hidden="1"/>
    <cellStyle name="20% - Accent6 7" xfId="4692" hidden="1"/>
    <cellStyle name="20% - Accent6 7" xfId="5000" hidden="1"/>
    <cellStyle name="20% - Accent6 7" xfId="4871" hidden="1"/>
    <cellStyle name="20% - Accent6 7" xfId="2823" hidden="1"/>
    <cellStyle name="20% - Accent6 7" xfId="1791" hidden="1"/>
    <cellStyle name="20% - Accent6 7" xfId="6426" hidden="1"/>
    <cellStyle name="20% - Accent6 7" xfId="6625" hidden="1"/>
    <cellStyle name="20% - Accent6 7" xfId="4828" hidden="1"/>
    <cellStyle name="20% - Accent6 7" xfId="7621" hidden="1"/>
    <cellStyle name="20% - Accent6 7" xfId="7799" hidden="1"/>
    <cellStyle name="20% - Accent6 7" xfId="4797" hidden="1"/>
    <cellStyle name="20% - Accent6 7" xfId="8887" hidden="1"/>
    <cellStyle name="20% - Accent6 7" xfId="9826" hidden="1"/>
    <cellStyle name="20% - Accent6 7" xfId="9909" hidden="1"/>
    <cellStyle name="20% - Accent6 7" xfId="9986" hidden="1"/>
    <cellStyle name="20% - Accent6 7" xfId="10064" hidden="1"/>
    <cellStyle name="20% - Accent6 7" xfId="10648" hidden="1"/>
    <cellStyle name="20% - Accent6 7" xfId="10725" hidden="1"/>
    <cellStyle name="20% - Accent6 7" xfId="10804" hidden="1"/>
    <cellStyle name="20% - Accent6 7" xfId="10938" hidden="1"/>
    <cellStyle name="20% - Accent6 7" xfId="10889" hidden="1"/>
    <cellStyle name="20% - Accent6 7" xfId="10601" hidden="1"/>
    <cellStyle name="20% - Accent6 7" xfId="10364" hidden="1"/>
    <cellStyle name="20% - Accent6 7" xfId="11320" hidden="1"/>
    <cellStyle name="20% - Accent6 7" xfId="11398" hidden="1"/>
    <cellStyle name="20% - Accent6 7" xfId="11509" hidden="1"/>
    <cellStyle name="20% - Accent6 7" xfId="11477" hidden="1"/>
    <cellStyle name="20% - Accent6 7" xfId="10865" hidden="1"/>
    <cellStyle name="20% - Accent6 7" xfId="10416" hidden="1"/>
    <cellStyle name="20% - Accent6 7" xfId="11852" hidden="1"/>
    <cellStyle name="20% - Accent6 7" xfId="11930" hidden="1"/>
    <cellStyle name="20% - Accent6 7" xfId="11462" hidden="1"/>
    <cellStyle name="20% - Accent6 7" xfId="12189" hidden="1"/>
    <cellStyle name="20% - Accent6 7" xfId="12267" hidden="1"/>
    <cellStyle name="20% - Accent6 7" xfId="11457" hidden="1"/>
    <cellStyle name="20% - Accent6 7" xfId="12526" hidden="1"/>
    <cellStyle name="20% - Accent6 7" xfId="12618" hidden="1"/>
    <cellStyle name="20% - Accent6 7" xfId="12701" hidden="1"/>
    <cellStyle name="20% - Accent6 7" xfId="12778" hidden="1"/>
    <cellStyle name="20% - Accent6 7" xfId="12856" hidden="1"/>
    <cellStyle name="20% - Accent6 7" xfId="13440" hidden="1"/>
    <cellStyle name="20% - Accent6 7" xfId="13517" hidden="1"/>
    <cellStyle name="20% - Accent6 7" xfId="13596" hidden="1"/>
    <cellStyle name="20% - Accent6 7" xfId="13730" hidden="1"/>
    <cellStyle name="20% - Accent6 7" xfId="13681" hidden="1"/>
    <cellStyle name="20% - Accent6 7" xfId="13393" hidden="1"/>
    <cellStyle name="20% - Accent6 7" xfId="13156" hidden="1"/>
    <cellStyle name="20% - Accent6 7" xfId="14112" hidden="1"/>
    <cellStyle name="20% - Accent6 7" xfId="14190" hidden="1"/>
    <cellStyle name="20% - Accent6 7" xfId="14301" hidden="1"/>
    <cellStyle name="20% - Accent6 7" xfId="14269" hidden="1"/>
    <cellStyle name="20% - Accent6 7" xfId="13657" hidden="1"/>
    <cellStyle name="20% - Accent6 7" xfId="13208" hidden="1"/>
    <cellStyle name="20% - Accent6 7" xfId="14644" hidden="1"/>
    <cellStyle name="20% - Accent6 7" xfId="14722" hidden="1"/>
    <cellStyle name="20% - Accent6 7" xfId="14254" hidden="1"/>
    <cellStyle name="20% - Accent6 7" xfId="14981" hidden="1"/>
    <cellStyle name="20% - Accent6 7" xfId="15059" hidden="1"/>
    <cellStyle name="20% - Accent6 7" xfId="14249" hidden="1"/>
    <cellStyle name="20% - Accent6 7" xfId="15318" hidden="1"/>
    <cellStyle name="20% - Accent6 7" xfId="9635" hidden="1"/>
    <cellStyle name="20% - Accent6 7" xfId="9524" hidden="1"/>
    <cellStyle name="20% - Accent6 7" xfId="9407" hidden="1"/>
    <cellStyle name="20% - Accent6 7" xfId="9298" hidden="1"/>
    <cellStyle name="20% - Accent6 7" xfId="7029" hidden="1"/>
    <cellStyle name="20% - Accent6 7" xfId="6940" hidden="1"/>
    <cellStyle name="20% - Accent6 7" xfId="6849" hidden="1"/>
    <cellStyle name="20% - Accent6 7" xfId="6327" hidden="1"/>
    <cellStyle name="20% - Accent6 7" xfId="6705" hidden="1"/>
    <cellStyle name="20% - Accent6 7" xfId="7232" hidden="1"/>
    <cellStyle name="20% - Accent6 7" xfId="8086" hidden="1"/>
    <cellStyle name="20% - Accent6 7" xfId="4756" hidden="1"/>
    <cellStyle name="20% - Accent6 7" xfId="4551" hidden="1"/>
    <cellStyle name="20% - Accent6 7" xfId="4237" hidden="1"/>
    <cellStyle name="20% - Accent6 7" xfId="4289" hidden="1"/>
    <cellStyle name="20% - Accent6 7" xfId="6773" hidden="1"/>
    <cellStyle name="20% - Accent6 7" xfId="7927" hidden="1"/>
    <cellStyle name="20% - Accent6 7" xfId="2598" hidden="1"/>
    <cellStyle name="20% - Accent6 7" xfId="2387" hidden="1"/>
    <cellStyle name="20% - Accent6 7" xfId="4307" hidden="1"/>
    <cellStyle name="20% - Accent6 7" xfId="1261" hidden="1"/>
    <cellStyle name="20% - Accent6 7" xfId="1088" hidden="1"/>
    <cellStyle name="20% - Accent6 7" xfId="4313" hidden="1"/>
    <cellStyle name="20% - Accent6 7" xfId="15479" hidden="1"/>
    <cellStyle name="20% - Accent6 7" xfId="16167" hidden="1"/>
    <cellStyle name="20% - Accent6 7" xfId="16250" hidden="1"/>
    <cellStyle name="20% - Accent6 7" xfId="16327" hidden="1"/>
    <cellStyle name="20% - Accent6 7" xfId="16405" hidden="1"/>
    <cellStyle name="20% - Accent6 7" xfId="16989" hidden="1"/>
    <cellStyle name="20% - Accent6 7" xfId="17066" hidden="1"/>
    <cellStyle name="20% - Accent6 7" xfId="17145" hidden="1"/>
    <cellStyle name="20% - Accent6 7" xfId="17279" hidden="1"/>
    <cellStyle name="20% - Accent6 7" xfId="17230" hidden="1"/>
    <cellStyle name="20% - Accent6 7" xfId="16942" hidden="1"/>
    <cellStyle name="20% - Accent6 7" xfId="16705" hidden="1"/>
    <cellStyle name="20% - Accent6 7" xfId="17661" hidden="1"/>
    <cellStyle name="20% - Accent6 7" xfId="17739" hidden="1"/>
    <cellStyle name="20% - Accent6 7" xfId="17850" hidden="1"/>
    <cellStyle name="20% - Accent6 7" xfId="17818" hidden="1"/>
    <cellStyle name="20% - Accent6 7" xfId="17206" hidden="1"/>
    <cellStyle name="20% - Accent6 7" xfId="16757" hidden="1"/>
    <cellStyle name="20% - Accent6 7" xfId="18193" hidden="1"/>
    <cellStyle name="20% - Accent6 7" xfId="18271" hidden="1"/>
    <cellStyle name="20% - Accent6 7" xfId="17803" hidden="1"/>
    <cellStyle name="20% - Accent6 7" xfId="18530" hidden="1"/>
    <cellStyle name="20% - Accent6 7" xfId="18608" hidden="1"/>
    <cellStyle name="20% - Accent6 7" xfId="17798" hidden="1"/>
    <cellStyle name="20% - Accent6 7" xfId="18867" hidden="1"/>
    <cellStyle name="20% - Accent6 7" xfId="18959" hidden="1"/>
    <cellStyle name="20% - Accent6 7" xfId="19042" hidden="1"/>
    <cellStyle name="20% - Accent6 7" xfId="19119" hidden="1"/>
    <cellStyle name="20% - Accent6 7" xfId="19197" hidden="1"/>
    <cellStyle name="20% - Accent6 7" xfId="19781" hidden="1"/>
    <cellStyle name="20% - Accent6 7" xfId="19858" hidden="1"/>
    <cellStyle name="20% - Accent6 7" xfId="19937" hidden="1"/>
    <cellStyle name="20% - Accent6 7" xfId="20071" hidden="1"/>
    <cellStyle name="20% - Accent6 7" xfId="20022" hidden="1"/>
    <cellStyle name="20% - Accent6 7" xfId="19734" hidden="1"/>
    <cellStyle name="20% - Accent6 7" xfId="19497" hidden="1"/>
    <cellStyle name="20% - Accent6 7" xfId="20453" hidden="1"/>
    <cellStyle name="20% - Accent6 7" xfId="20531" hidden="1"/>
    <cellStyle name="20% - Accent6 7" xfId="20642" hidden="1"/>
    <cellStyle name="20% - Accent6 7" xfId="20610" hidden="1"/>
    <cellStyle name="20% - Accent6 7" xfId="19998" hidden="1"/>
    <cellStyle name="20% - Accent6 7" xfId="19549" hidden="1"/>
    <cellStyle name="20% - Accent6 7" xfId="20985" hidden="1"/>
    <cellStyle name="20% - Accent6 7" xfId="21063" hidden="1"/>
    <cellStyle name="20% - Accent6 7" xfId="20595" hidden="1"/>
    <cellStyle name="20% - Accent6 7" xfId="21322" hidden="1"/>
    <cellStyle name="20% - Accent6 7" xfId="21400" hidden="1"/>
    <cellStyle name="20% - Accent6 7" xfId="20590" hidden="1"/>
    <cellStyle name="20% - Accent6 7" xfId="21659" hidden="1"/>
    <cellStyle name="20% - Accent6 7" xfId="16024" hidden="1"/>
    <cellStyle name="20% - Accent6 7" xfId="15941" hidden="1"/>
    <cellStyle name="20% - Accent6 7" xfId="15862" hidden="1"/>
    <cellStyle name="20% - Accent6 7" xfId="15778" hidden="1"/>
    <cellStyle name="20% - Accent6 7" xfId="8023" hidden="1"/>
    <cellStyle name="20% - Accent6 7" xfId="7850" hidden="1"/>
    <cellStyle name="20% - Accent6 7" xfId="7607" hidden="1"/>
    <cellStyle name="20% - Accent6 7" xfId="7026" hidden="1"/>
    <cellStyle name="20% - Accent6 7" xfId="7377" hidden="1"/>
    <cellStyle name="20% - Accent6 7" xfId="8160" hidden="1"/>
    <cellStyle name="20% - Accent6 7" xfId="9025" hidden="1"/>
    <cellStyle name="20% - Accent6 7" xfId="5132" hidden="1"/>
    <cellStyle name="20% - Accent6 7" xfId="5027" hidden="1"/>
    <cellStyle name="20% - Accent6 7" xfId="4590" hidden="1"/>
    <cellStyle name="20% - Accent6 7" xfId="4910" hidden="1"/>
    <cellStyle name="20% - Accent6 7" xfId="7429" hidden="1"/>
    <cellStyle name="20% - Accent6 7" xfId="8800" hidden="1"/>
    <cellStyle name="20% - Accent6 7" xfId="2946" hidden="1"/>
    <cellStyle name="20% - Accent6 7" xfId="2822" hidden="1"/>
    <cellStyle name="20% - Accent6 7" xfId="4930" hidden="1"/>
    <cellStyle name="20% - Accent6 7" xfId="1434" hidden="1"/>
    <cellStyle name="20% - Accent6 7" xfId="1200" hidden="1"/>
    <cellStyle name="20% - Accent6 7" xfId="4947" hidden="1"/>
    <cellStyle name="20% - Accent6 7" xfId="21797" hidden="1"/>
    <cellStyle name="20% - Accent6 7" xfId="22318" hidden="1"/>
    <cellStyle name="20% - Accent6 7" xfId="22401" hidden="1"/>
    <cellStyle name="20% - Accent6 7" xfId="22478" hidden="1"/>
    <cellStyle name="20% - Accent6 7" xfId="22556" hidden="1"/>
    <cellStyle name="20% - Accent6 7" xfId="23140" hidden="1"/>
    <cellStyle name="20% - Accent6 7" xfId="23217" hidden="1"/>
    <cellStyle name="20% - Accent6 7" xfId="23296" hidden="1"/>
    <cellStyle name="20% - Accent6 7" xfId="23430" hidden="1"/>
    <cellStyle name="20% - Accent6 7" xfId="23381" hidden="1"/>
    <cellStyle name="20% - Accent6 7" xfId="23093" hidden="1"/>
    <cellStyle name="20% - Accent6 7" xfId="22856" hidden="1"/>
    <cellStyle name="20% - Accent6 7" xfId="23812" hidden="1"/>
    <cellStyle name="20% - Accent6 7" xfId="23890" hidden="1"/>
    <cellStyle name="20% - Accent6 7" xfId="24001" hidden="1"/>
    <cellStyle name="20% - Accent6 7" xfId="23969" hidden="1"/>
    <cellStyle name="20% - Accent6 7" xfId="23357" hidden="1"/>
    <cellStyle name="20% - Accent6 7" xfId="22908" hidden="1"/>
    <cellStyle name="20% - Accent6 7" xfId="24344" hidden="1"/>
    <cellStyle name="20% - Accent6 7" xfId="24422" hidden="1"/>
    <cellStyle name="20% - Accent6 7" xfId="23954" hidden="1"/>
    <cellStyle name="20% - Accent6 7" xfId="24681" hidden="1"/>
    <cellStyle name="20% - Accent6 7" xfId="24759" hidden="1"/>
    <cellStyle name="20% - Accent6 7" xfId="23949" hidden="1"/>
    <cellStyle name="20% - Accent6 7" xfId="25018" hidden="1"/>
    <cellStyle name="20% - Accent6 7" xfId="25110" hidden="1"/>
    <cellStyle name="20% - Accent6 7" xfId="25193" hidden="1"/>
    <cellStyle name="20% - Accent6 7" xfId="25270" hidden="1"/>
    <cellStyle name="20% - Accent6 7" xfId="25348" hidden="1"/>
    <cellStyle name="20% - Accent6 7" xfId="25932" hidden="1"/>
    <cellStyle name="20% - Accent6 7" xfId="26009" hidden="1"/>
    <cellStyle name="20% - Accent6 7" xfId="26088" hidden="1"/>
    <cellStyle name="20% - Accent6 7" xfId="26222" hidden="1"/>
    <cellStyle name="20% - Accent6 7" xfId="26173" hidden="1"/>
    <cellStyle name="20% - Accent6 7" xfId="25885" hidden="1"/>
    <cellStyle name="20% - Accent6 7" xfId="25648" hidden="1"/>
    <cellStyle name="20% - Accent6 7" xfId="26604" hidden="1"/>
    <cellStyle name="20% - Accent6 7" xfId="26682" hidden="1"/>
    <cellStyle name="20% - Accent6 7" xfId="26793" hidden="1"/>
    <cellStyle name="20% - Accent6 7" xfId="26761" hidden="1"/>
    <cellStyle name="20% - Accent6 7" xfId="26149" hidden="1"/>
    <cellStyle name="20% - Accent6 7" xfId="25700" hidden="1"/>
    <cellStyle name="20% - Accent6 7" xfId="27136" hidden="1"/>
    <cellStyle name="20% - Accent6 7" xfId="27214" hidden="1"/>
    <cellStyle name="20% - Accent6 7" xfId="26746" hidden="1"/>
    <cellStyle name="20% - Accent6 7" xfId="27473" hidden="1"/>
    <cellStyle name="20% - Accent6 7" xfId="27551" hidden="1"/>
    <cellStyle name="20% - Accent6 7" xfId="26741" hidden="1"/>
    <cellStyle name="20% - Accent6 7" xfId="27810" hidden="1"/>
    <cellStyle name="20% - Accent6 7" xfId="22277" hidden="1"/>
    <cellStyle name="20% - Accent6 7" xfId="22194" hidden="1"/>
    <cellStyle name="20% - Accent6 7" xfId="22115" hidden="1"/>
    <cellStyle name="20% - Accent6 7" xfId="22031" hidden="1"/>
    <cellStyle name="20% - Accent6 7" xfId="8979" hidden="1"/>
    <cellStyle name="20% - Accent6 7" xfId="8725" hidden="1"/>
    <cellStyle name="20% - Accent6 7" xfId="8485" hidden="1"/>
    <cellStyle name="20% - Accent6 7" xfId="8019" hidden="1"/>
    <cellStyle name="20% - Accent6 7" xfId="8230" hidden="1"/>
    <cellStyle name="20% - Accent6 7" xfId="9086" hidden="1"/>
    <cellStyle name="20% - Accent6 7" xfId="15580" hidden="1"/>
    <cellStyle name="20% - Accent6 7" xfId="5637" hidden="1"/>
    <cellStyle name="20% - Accent6 7" xfId="5539" hidden="1"/>
    <cellStyle name="20% - Accent6 7" xfId="5042" hidden="1"/>
    <cellStyle name="20% - Accent6 7" xfId="5343" hidden="1"/>
    <cellStyle name="20% - Accent6 7" xfId="8380" hidden="1"/>
    <cellStyle name="20% - Accent6 7" xfId="15433" hidden="1"/>
    <cellStyle name="20% - Accent6 7" xfId="3308" hidden="1"/>
    <cellStyle name="20% - Accent6 7" xfId="3105" hidden="1"/>
    <cellStyle name="20% - Accent6 7" xfId="5459" hidden="1"/>
    <cellStyle name="20% - Accent6 7" xfId="1587" hidden="1"/>
    <cellStyle name="20% - Accent6 7" xfId="1391" hidden="1"/>
    <cellStyle name="20% - Accent6 7" xfId="5469" hidden="1"/>
    <cellStyle name="20% - Accent6 7" xfId="27945" hidden="1"/>
    <cellStyle name="20% - Accent6 7" xfId="28037" hidden="1"/>
    <cellStyle name="20% - Accent6 7" xfId="28120" hidden="1"/>
    <cellStyle name="20% - Accent6 7" xfId="28197" hidden="1"/>
    <cellStyle name="20% - Accent6 7" xfId="28275" hidden="1"/>
    <cellStyle name="20% - Accent6 7" xfId="28859" hidden="1"/>
    <cellStyle name="20% - Accent6 7" xfId="28936" hidden="1"/>
    <cellStyle name="20% - Accent6 7" xfId="29015" hidden="1"/>
    <cellStyle name="20% - Accent6 7" xfId="29149" hidden="1"/>
    <cellStyle name="20% - Accent6 7" xfId="29100" hidden="1"/>
    <cellStyle name="20% - Accent6 7" xfId="28812" hidden="1"/>
    <cellStyle name="20% - Accent6 7" xfId="28575" hidden="1"/>
    <cellStyle name="20% - Accent6 7" xfId="29531" hidden="1"/>
    <cellStyle name="20% - Accent6 7" xfId="29609" hidden="1"/>
    <cellStyle name="20% - Accent6 7" xfId="29720" hidden="1"/>
    <cellStyle name="20% - Accent6 7" xfId="29688" hidden="1"/>
    <cellStyle name="20% - Accent6 7" xfId="29076" hidden="1"/>
    <cellStyle name="20% - Accent6 7" xfId="28627" hidden="1"/>
    <cellStyle name="20% - Accent6 7" xfId="30063" hidden="1"/>
    <cellStyle name="20% - Accent6 7" xfId="30141" hidden="1"/>
    <cellStyle name="20% - Accent6 7" xfId="29673" hidden="1"/>
    <cellStyle name="20% - Accent6 7" xfId="30400" hidden="1"/>
    <cellStyle name="20% - Accent6 7" xfId="30478" hidden="1"/>
    <cellStyle name="20% - Accent6 7" xfId="29668" hidden="1"/>
    <cellStyle name="20% - Accent6 7" xfId="30737" hidden="1"/>
    <cellStyle name="20% - Accent6 7" xfId="30829" hidden="1"/>
    <cellStyle name="20% - Accent6 7" xfId="30912" hidden="1"/>
    <cellStyle name="20% - Accent6 7" xfId="30989" hidden="1"/>
    <cellStyle name="20% - Accent6 7" xfId="31067" hidden="1"/>
    <cellStyle name="20% - Accent6 7" xfId="31651" hidden="1"/>
    <cellStyle name="20% - Accent6 7" xfId="31728" hidden="1"/>
    <cellStyle name="20% - Accent6 7" xfId="31807" hidden="1"/>
    <cellStyle name="20% - Accent6 7" xfId="31941" hidden="1"/>
    <cellStyle name="20% - Accent6 7" xfId="31892" hidden="1"/>
    <cellStyle name="20% - Accent6 7" xfId="31604" hidden="1"/>
    <cellStyle name="20% - Accent6 7" xfId="31367" hidden="1"/>
    <cellStyle name="20% - Accent6 7" xfId="32323" hidden="1"/>
    <cellStyle name="20% - Accent6 7" xfId="32401" hidden="1"/>
    <cellStyle name="20% - Accent6 7" xfId="32512" hidden="1"/>
    <cellStyle name="20% - Accent6 7" xfId="32480" hidden="1"/>
    <cellStyle name="20% - Accent6 7" xfId="31868" hidden="1"/>
    <cellStyle name="20% - Accent6 7" xfId="31419" hidden="1"/>
    <cellStyle name="20% - Accent6 7" xfId="32855" hidden="1"/>
    <cellStyle name="20% - Accent6 7" xfId="32933" hidden="1"/>
    <cellStyle name="20% - Accent6 7" xfId="32465" hidden="1"/>
    <cellStyle name="20% - Accent6 7" xfId="33192" hidden="1"/>
    <cellStyle name="20% - Accent6 7" xfId="33270" hidden="1"/>
    <cellStyle name="20% - Accent6 7" xfId="32460" hidden="1"/>
    <cellStyle name="20% - Accent6 7" xfId="33529" hidden="1"/>
    <cellStyle name="20% - Accent6 8" xfId="150" hidden="1"/>
    <cellStyle name="20% - Accent6 8" xfId="213" hidden="1"/>
    <cellStyle name="20% - Accent6 8" xfId="297" hidden="1"/>
    <cellStyle name="20% - Accent6 8" xfId="505" hidden="1"/>
    <cellStyle name="20% - Accent6 8" xfId="2343" hidden="1"/>
    <cellStyle name="20% - Accent6 8" xfId="2476" hidden="1"/>
    <cellStyle name="20% - Accent6 8" xfId="2631" hidden="1"/>
    <cellStyle name="20% - Accent6 8" xfId="1894" hidden="1"/>
    <cellStyle name="20% - Accent6 8" xfId="2837" hidden="1"/>
    <cellStyle name="20% - Accent6 8" xfId="2222" hidden="1"/>
    <cellStyle name="20% - Accent6 8" xfId="4304" hidden="1"/>
    <cellStyle name="20% - Accent6 8" xfId="4486" hidden="1"/>
    <cellStyle name="20% - Accent6 8" xfId="4660" hidden="1"/>
    <cellStyle name="20% - Accent6 8" xfId="1583" hidden="1"/>
    <cellStyle name="20% - Accent6 8" xfId="4819" hidden="1"/>
    <cellStyle name="20% - Accent6 8" xfId="4283" hidden="1"/>
    <cellStyle name="20% - Accent6 8" xfId="6323" hidden="1"/>
    <cellStyle name="20% - Accent6 8" xfId="6409" hidden="1"/>
    <cellStyle name="20% - Accent6 8" xfId="6575" hidden="1"/>
    <cellStyle name="20% - Accent6 8" xfId="7435" hidden="1"/>
    <cellStyle name="20% - Accent6 8" xfId="7599" hidden="1"/>
    <cellStyle name="20% - Accent6 8" xfId="7763" hidden="1"/>
    <cellStyle name="20% - Accent6 8" xfId="8715" hidden="1"/>
    <cellStyle name="20% - Accent6 8" xfId="8847" hidden="1"/>
    <cellStyle name="20% - Accent6 8" xfId="9841" hidden="1"/>
    <cellStyle name="20% - Accent6 8" xfId="9901" hidden="1"/>
    <cellStyle name="20% - Accent6 8" xfId="9979" hidden="1"/>
    <cellStyle name="20% - Accent6 8" xfId="10057" hidden="1"/>
    <cellStyle name="20% - Accent6 8" xfId="10639" hidden="1"/>
    <cellStyle name="20% - Accent6 8" xfId="10718" hidden="1"/>
    <cellStyle name="20% - Accent6 8" xfId="10797" hidden="1"/>
    <cellStyle name="20% - Accent6 8" xfId="10466" hidden="1"/>
    <cellStyle name="20% - Accent6 8" xfId="10870" hidden="1"/>
    <cellStyle name="20% - Accent6 8" xfId="10572" hidden="1"/>
    <cellStyle name="20% - Accent6 8" xfId="11247" hidden="1"/>
    <cellStyle name="20% - Accent6 8" xfId="11313" hidden="1"/>
    <cellStyle name="20% - Accent6 8" xfId="11391" hidden="1"/>
    <cellStyle name="20% - Accent6 8" xfId="10342" hidden="1"/>
    <cellStyle name="20% - Accent6 8" xfId="11461" hidden="1"/>
    <cellStyle name="20% - Accent6 8" xfId="11245" hidden="1"/>
    <cellStyle name="20% - Accent6 8" xfId="11780" hidden="1"/>
    <cellStyle name="20% - Accent6 8" xfId="11845" hidden="1"/>
    <cellStyle name="20% - Accent6 8" xfId="11923" hidden="1"/>
    <cellStyle name="20% - Accent6 8" xfId="12117" hidden="1"/>
    <cellStyle name="20% - Accent6 8" xfId="12182" hidden="1"/>
    <cellStyle name="20% - Accent6 8" xfId="12260" hidden="1"/>
    <cellStyle name="20% - Accent6 8" xfId="12454" hidden="1"/>
    <cellStyle name="20% - Accent6 8" xfId="12519" hidden="1"/>
    <cellStyle name="20% - Accent6 8" xfId="12633" hidden="1"/>
    <cellStyle name="20% - Accent6 8" xfId="12693" hidden="1"/>
    <cellStyle name="20% - Accent6 8" xfId="12771" hidden="1"/>
    <cellStyle name="20% - Accent6 8" xfId="12849" hidden="1"/>
    <cellStyle name="20% - Accent6 8" xfId="13431" hidden="1"/>
    <cellStyle name="20% - Accent6 8" xfId="13510" hidden="1"/>
    <cellStyle name="20% - Accent6 8" xfId="13589" hidden="1"/>
    <cellStyle name="20% - Accent6 8" xfId="13258" hidden="1"/>
    <cellStyle name="20% - Accent6 8" xfId="13662" hidden="1"/>
    <cellStyle name="20% - Accent6 8" xfId="13364" hidden="1"/>
    <cellStyle name="20% - Accent6 8" xfId="14039" hidden="1"/>
    <cellStyle name="20% - Accent6 8" xfId="14105" hidden="1"/>
    <cellStyle name="20% - Accent6 8" xfId="14183" hidden="1"/>
    <cellStyle name="20% - Accent6 8" xfId="13134" hidden="1"/>
    <cellStyle name="20% - Accent6 8" xfId="14253" hidden="1"/>
    <cellStyle name="20% - Accent6 8" xfId="14037" hidden="1"/>
    <cellStyle name="20% - Accent6 8" xfId="14572" hidden="1"/>
    <cellStyle name="20% - Accent6 8" xfId="14637" hidden="1"/>
    <cellStyle name="20% - Accent6 8" xfId="14715" hidden="1"/>
    <cellStyle name="20% - Accent6 8" xfId="14909" hidden="1"/>
    <cellStyle name="20% - Accent6 8" xfId="14974" hidden="1"/>
    <cellStyle name="20% - Accent6 8" xfId="15052" hidden="1"/>
    <cellStyle name="20% - Accent6 8" xfId="15246" hidden="1"/>
    <cellStyle name="20% - Accent6 8" xfId="15311" hidden="1"/>
    <cellStyle name="20% - Accent6 8" xfId="9618" hidden="1"/>
    <cellStyle name="20% - Accent6 8" xfId="9540" hidden="1"/>
    <cellStyle name="20% - Accent6 8" xfId="9420" hidden="1"/>
    <cellStyle name="20% - Accent6 8" xfId="9309" hidden="1"/>
    <cellStyle name="20% - Accent6 8" xfId="7046" hidden="1"/>
    <cellStyle name="20% - Accent6 8" xfId="6949" hidden="1"/>
    <cellStyle name="20% - Accent6 8" xfId="6859" hidden="1"/>
    <cellStyle name="20% - Accent6 8" xfId="7729" hidden="1"/>
    <cellStyle name="20% - Accent6 8" xfId="6752" hidden="1"/>
    <cellStyle name="20% - Accent6 8" xfId="7354" hidden="1"/>
    <cellStyle name="20% - Accent6 8" xfId="4904" hidden="1"/>
    <cellStyle name="20% - Accent6 8" xfId="4796" hidden="1"/>
    <cellStyle name="20% - Accent6 8" xfId="4591" hidden="1"/>
    <cellStyle name="20% - Accent6 8" xfId="8158" hidden="1"/>
    <cellStyle name="20% - Accent6 8" xfId="4308" hidden="1"/>
    <cellStyle name="20% - Accent6 8" xfId="4934" hidden="1"/>
    <cellStyle name="20% - Accent6 8" xfId="2831" hidden="1"/>
    <cellStyle name="20% - Accent6 8" xfId="2636" hidden="1"/>
    <cellStyle name="20% - Accent6 8" xfId="2427" hidden="1"/>
    <cellStyle name="20% - Accent6 8" xfId="1446" hidden="1"/>
    <cellStyle name="20% - Accent6 8" xfId="1302" hidden="1"/>
    <cellStyle name="20% - Accent6 8" xfId="1119" hidden="1"/>
    <cellStyle name="20% - Accent6 8" xfId="110" hidden="1"/>
    <cellStyle name="20% - Accent6 8" xfId="15462" hidden="1"/>
    <cellStyle name="20% - Accent6 8" xfId="16182" hidden="1"/>
    <cellStyle name="20% - Accent6 8" xfId="16242" hidden="1"/>
    <cellStyle name="20% - Accent6 8" xfId="16320" hidden="1"/>
    <cellStyle name="20% - Accent6 8" xfId="16398" hidden="1"/>
    <cellStyle name="20% - Accent6 8" xfId="16980" hidden="1"/>
    <cellStyle name="20% - Accent6 8" xfId="17059" hidden="1"/>
    <cellStyle name="20% - Accent6 8" xfId="17138" hidden="1"/>
    <cellStyle name="20% - Accent6 8" xfId="16807" hidden="1"/>
    <cellStyle name="20% - Accent6 8" xfId="17211" hidden="1"/>
    <cellStyle name="20% - Accent6 8" xfId="16913" hidden="1"/>
    <cellStyle name="20% - Accent6 8" xfId="17588" hidden="1"/>
    <cellStyle name="20% - Accent6 8" xfId="17654" hidden="1"/>
    <cellStyle name="20% - Accent6 8" xfId="17732" hidden="1"/>
    <cellStyle name="20% - Accent6 8" xfId="16683" hidden="1"/>
    <cellStyle name="20% - Accent6 8" xfId="17802" hidden="1"/>
    <cellStyle name="20% - Accent6 8" xfId="17586" hidden="1"/>
    <cellStyle name="20% - Accent6 8" xfId="18121" hidden="1"/>
    <cellStyle name="20% - Accent6 8" xfId="18186" hidden="1"/>
    <cellStyle name="20% - Accent6 8" xfId="18264" hidden="1"/>
    <cellStyle name="20% - Accent6 8" xfId="18458" hidden="1"/>
    <cellStyle name="20% - Accent6 8" xfId="18523" hidden="1"/>
    <cellStyle name="20% - Accent6 8" xfId="18601" hidden="1"/>
    <cellStyle name="20% - Accent6 8" xfId="18795" hidden="1"/>
    <cellStyle name="20% - Accent6 8" xfId="18860" hidden="1"/>
    <cellStyle name="20% - Accent6 8" xfId="18974" hidden="1"/>
    <cellStyle name="20% - Accent6 8" xfId="19034" hidden="1"/>
    <cellStyle name="20% - Accent6 8" xfId="19112" hidden="1"/>
    <cellStyle name="20% - Accent6 8" xfId="19190" hidden="1"/>
    <cellStyle name="20% - Accent6 8" xfId="19772" hidden="1"/>
    <cellStyle name="20% - Accent6 8" xfId="19851" hidden="1"/>
    <cellStyle name="20% - Accent6 8" xfId="19930" hidden="1"/>
    <cellStyle name="20% - Accent6 8" xfId="19599" hidden="1"/>
    <cellStyle name="20% - Accent6 8" xfId="20003" hidden="1"/>
    <cellStyle name="20% - Accent6 8" xfId="19705" hidden="1"/>
    <cellStyle name="20% - Accent6 8" xfId="20380" hidden="1"/>
    <cellStyle name="20% - Accent6 8" xfId="20446" hidden="1"/>
    <cellStyle name="20% - Accent6 8" xfId="20524" hidden="1"/>
    <cellStyle name="20% - Accent6 8" xfId="19475" hidden="1"/>
    <cellStyle name="20% - Accent6 8" xfId="20594" hidden="1"/>
    <cellStyle name="20% - Accent6 8" xfId="20378" hidden="1"/>
    <cellStyle name="20% - Accent6 8" xfId="20913" hidden="1"/>
    <cellStyle name="20% - Accent6 8" xfId="20978" hidden="1"/>
    <cellStyle name="20% - Accent6 8" xfId="21056" hidden="1"/>
    <cellStyle name="20% - Accent6 8" xfId="21250" hidden="1"/>
    <cellStyle name="20% - Accent6 8" xfId="21315" hidden="1"/>
    <cellStyle name="20% - Accent6 8" xfId="21393" hidden="1"/>
    <cellStyle name="20% - Accent6 8" xfId="21587" hidden="1"/>
    <cellStyle name="20% - Accent6 8" xfId="21652" hidden="1"/>
    <cellStyle name="20% - Accent6 8" xfId="16009" hidden="1"/>
    <cellStyle name="20% - Accent6 8" xfId="15949" hidden="1"/>
    <cellStyle name="20% - Accent6 8" xfId="15870" hidden="1"/>
    <cellStyle name="20% - Accent6 8" xfId="15787" hidden="1"/>
    <cellStyle name="20% - Accent6 8" xfId="8052" hidden="1"/>
    <cellStyle name="20% - Accent6 8" xfId="7904" hidden="1"/>
    <cellStyle name="20% - Accent6 8" xfId="7638" hidden="1"/>
    <cellStyle name="20% - Accent6 8" xfId="8535" hidden="1"/>
    <cellStyle name="20% - Accent6 8" xfId="7408" hidden="1"/>
    <cellStyle name="20% - Accent6 8" xfId="8204" hidden="1"/>
    <cellStyle name="20% - Accent6 8" xfId="5334" hidden="1"/>
    <cellStyle name="20% - Accent6 8" xfId="5248" hidden="1"/>
    <cellStyle name="20% - Accent6 8" xfId="5041" hidden="1"/>
    <cellStyle name="20% - Accent6 8" xfId="9080" hidden="1"/>
    <cellStyle name="20% - Accent6 8" xfId="4935" hidden="1"/>
    <cellStyle name="20% - Accent6 8" xfId="5458" hidden="1"/>
    <cellStyle name="20% - Accent6 8" xfId="3112" hidden="1"/>
    <cellStyle name="20% - Accent6 8" xfId="2959" hidden="1"/>
    <cellStyle name="20% - Accent6 8" xfId="2835" hidden="1"/>
    <cellStyle name="20% - Accent6 8" xfId="1600" hidden="1"/>
    <cellStyle name="20% - Accent6 8" xfId="1452" hidden="1"/>
    <cellStyle name="20% - Accent6 8" xfId="1252" hidden="1"/>
    <cellStyle name="20% - Accent6 8" xfId="108" hidden="1"/>
    <cellStyle name="20% - Accent6 8" xfId="21789" hidden="1"/>
    <cellStyle name="20% - Accent6 8" xfId="22333" hidden="1"/>
    <cellStyle name="20% - Accent6 8" xfId="22393" hidden="1"/>
    <cellStyle name="20% - Accent6 8" xfId="22471" hidden="1"/>
    <cellStyle name="20% - Accent6 8" xfId="22549" hidden="1"/>
    <cellStyle name="20% - Accent6 8" xfId="23131" hidden="1"/>
    <cellStyle name="20% - Accent6 8" xfId="23210" hidden="1"/>
    <cellStyle name="20% - Accent6 8" xfId="23289" hidden="1"/>
    <cellStyle name="20% - Accent6 8" xfId="22958" hidden="1"/>
    <cellStyle name="20% - Accent6 8" xfId="23362" hidden="1"/>
    <cellStyle name="20% - Accent6 8" xfId="23064" hidden="1"/>
    <cellStyle name="20% - Accent6 8" xfId="23739" hidden="1"/>
    <cellStyle name="20% - Accent6 8" xfId="23805" hidden="1"/>
    <cellStyle name="20% - Accent6 8" xfId="23883" hidden="1"/>
    <cellStyle name="20% - Accent6 8" xfId="22834" hidden="1"/>
    <cellStyle name="20% - Accent6 8" xfId="23953" hidden="1"/>
    <cellStyle name="20% - Accent6 8" xfId="23737" hidden="1"/>
    <cellStyle name="20% - Accent6 8" xfId="24272" hidden="1"/>
    <cellStyle name="20% - Accent6 8" xfId="24337" hidden="1"/>
    <cellStyle name="20% - Accent6 8" xfId="24415" hidden="1"/>
    <cellStyle name="20% - Accent6 8" xfId="24609" hidden="1"/>
    <cellStyle name="20% - Accent6 8" xfId="24674" hidden="1"/>
    <cellStyle name="20% - Accent6 8" xfId="24752" hidden="1"/>
    <cellStyle name="20% - Accent6 8" xfId="24946" hidden="1"/>
    <cellStyle name="20% - Accent6 8" xfId="25011" hidden="1"/>
    <cellStyle name="20% - Accent6 8" xfId="25125" hidden="1"/>
    <cellStyle name="20% - Accent6 8" xfId="25185" hidden="1"/>
    <cellStyle name="20% - Accent6 8" xfId="25263" hidden="1"/>
    <cellStyle name="20% - Accent6 8" xfId="25341" hidden="1"/>
    <cellStyle name="20% - Accent6 8" xfId="25923" hidden="1"/>
    <cellStyle name="20% - Accent6 8" xfId="26002" hidden="1"/>
    <cellStyle name="20% - Accent6 8" xfId="26081" hidden="1"/>
    <cellStyle name="20% - Accent6 8" xfId="25750" hidden="1"/>
    <cellStyle name="20% - Accent6 8" xfId="26154" hidden="1"/>
    <cellStyle name="20% - Accent6 8" xfId="25856" hidden="1"/>
    <cellStyle name="20% - Accent6 8" xfId="26531" hidden="1"/>
    <cellStyle name="20% - Accent6 8" xfId="26597" hidden="1"/>
    <cellStyle name="20% - Accent6 8" xfId="26675" hidden="1"/>
    <cellStyle name="20% - Accent6 8" xfId="25626" hidden="1"/>
    <cellStyle name="20% - Accent6 8" xfId="26745" hidden="1"/>
    <cellStyle name="20% - Accent6 8" xfId="26529" hidden="1"/>
    <cellStyle name="20% - Accent6 8" xfId="27064" hidden="1"/>
    <cellStyle name="20% - Accent6 8" xfId="27129" hidden="1"/>
    <cellStyle name="20% - Accent6 8" xfId="27207" hidden="1"/>
    <cellStyle name="20% - Accent6 8" xfId="27401" hidden="1"/>
    <cellStyle name="20% - Accent6 8" xfId="27466" hidden="1"/>
    <cellStyle name="20% - Accent6 8" xfId="27544" hidden="1"/>
    <cellStyle name="20% - Accent6 8" xfId="27738" hidden="1"/>
    <cellStyle name="20% - Accent6 8" xfId="27803" hidden="1"/>
    <cellStyle name="20% - Accent6 8" xfId="22262" hidden="1"/>
    <cellStyle name="20% - Accent6 8" xfId="22202" hidden="1"/>
    <cellStyle name="20% - Accent6 8" xfId="22123" hidden="1"/>
    <cellStyle name="20% - Accent6 8" xfId="22040" hidden="1"/>
    <cellStyle name="20% - Accent6 8" xfId="9003" hidden="1"/>
    <cellStyle name="20% - Accent6 8" xfId="8757" hidden="1"/>
    <cellStyle name="20% - Accent6 8" xfId="8507" hidden="1"/>
    <cellStyle name="20% - Accent6 8" xfId="9650" hidden="1"/>
    <cellStyle name="20% - Accent6 8" xfId="8260" hidden="1"/>
    <cellStyle name="20% - Accent6 8" xfId="9258" hidden="1"/>
    <cellStyle name="20% - Accent6 8" xfId="5884" hidden="1"/>
    <cellStyle name="20% - Accent6 8" xfId="5784" hidden="1"/>
    <cellStyle name="20% - Accent6 8" xfId="5553" hidden="1"/>
    <cellStyle name="20% - Accent6 8" xfId="15607" hidden="1"/>
    <cellStyle name="20% - Accent6 8" xfId="5460" hidden="1"/>
    <cellStyle name="20% - Accent6 8" xfId="5894" hidden="1"/>
    <cellStyle name="20% - Accent6 8" xfId="3397" hidden="1"/>
    <cellStyle name="20% - Accent6 8" xfId="3317" hidden="1"/>
    <cellStyle name="20% - Accent6 8" xfId="3116" hidden="1"/>
    <cellStyle name="20% - Accent6 8" xfId="1705" hidden="1"/>
    <cellStyle name="20% - Accent6 8" xfId="1609" hidden="1"/>
    <cellStyle name="20% - Accent6 8" xfId="1433" hidden="1"/>
    <cellStyle name="20% - Accent6 8" xfId="109" hidden="1"/>
    <cellStyle name="20% - Accent6 8" xfId="27938" hidden="1"/>
    <cellStyle name="20% - Accent6 8" xfId="28052" hidden="1"/>
    <cellStyle name="20% - Accent6 8" xfId="28112" hidden="1"/>
    <cellStyle name="20% - Accent6 8" xfId="28190" hidden="1"/>
    <cellStyle name="20% - Accent6 8" xfId="28268" hidden="1"/>
    <cellStyle name="20% - Accent6 8" xfId="28850" hidden="1"/>
    <cellStyle name="20% - Accent6 8" xfId="28929" hidden="1"/>
    <cellStyle name="20% - Accent6 8" xfId="29008" hidden="1"/>
    <cellStyle name="20% - Accent6 8" xfId="28677" hidden="1"/>
    <cellStyle name="20% - Accent6 8" xfId="29081" hidden="1"/>
    <cellStyle name="20% - Accent6 8" xfId="28783" hidden="1"/>
    <cellStyle name="20% - Accent6 8" xfId="29458" hidden="1"/>
    <cellStyle name="20% - Accent6 8" xfId="29524" hidden="1"/>
    <cellStyle name="20% - Accent6 8" xfId="29602" hidden="1"/>
    <cellStyle name="20% - Accent6 8" xfId="28553" hidden="1"/>
    <cellStyle name="20% - Accent6 8" xfId="29672" hidden="1"/>
    <cellStyle name="20% - Accent6 8" xfId="29456" hidden="1"/>
    <cellStyle name="20% - Accent6 8" xfId="29991" hidden="1"/>
    <cellStyle name="20% - Accent6 8" xfId="30056" hidden="1"/>
    <cellStyle name="20% - Accent6 8" xfId="30134" hidden="1"/>
    <cellStyle name="20% - Accent6 8" xfId="30328" hidden="1"/>
    <cellStyle name="20% - Accent6 8" xfId="30393" hidden="1"/>
    <cellStyle name="20% - Accent6 8" xfId="30471" hidden="1"/>
    <cellStyle name="20% - Accent6 8" xfId="30665" hidden="1"/>
    <cellStyle name="20% - Accent6 8" xfId="30730" hidden="1"/>
    <cellStyle name="20% - Accent6 8" xfId="30844" hidden="1"/>
    <cellStyle name="20% - Accent6 8" xfId="30904" hidden="1"/>
    <cellStyle name="20% - Accent6 8" xfId="30982" hidden="1"/>
    <cellStyle name="20% - Accent6 8" xfId="31060" hidden="1"/>
    <cellStyle name="20% - Accent6 8" xfId="31642" hidden="1"/>
    <cellStyle name="20% - Accent6 8" xfId="31721" hidden="1"/>
    <cellStyle name="20% - Accent6 8" xfId="31800" hidden="1"/>
    <cellStyle name="20% - Accent6 8" xfId="31469" hidden="1"/>
    <cellStyle name="20% - Accent6 8" xfId="31873" hidden="1"/>
    <cellStyle name="20% - Accent6 8" xfId="31575" hidden="1"/>
    <cellStyle name="20% - Accent6 8" xfId="32250" hidden="1"/>
    <cellStyle name="20% - Accent6 8" xfId="32316" hidden="1"/>
    <cellStyle name="20% - Accent6 8" xfId="32394" hidden="1"/>
    <cellStyle name="20% - Accent6 8" xfId="31345" hidden="1"/>
    <cellStyle name="20% - Accent6 8" xfId="32464" hidden="1"/>
    <cellStyle name="20% - Accent6 8" xfId="32248" hidden="1"/>
    <cellStyle name="20% - Accent6 8" xfId="32783" hidden="1"/>
    <cellStyle name="20% - Accent6 8" xfId="32848" hidden="1"/>
    <cellStyle name="20% - Accent6 8" xfId="32926" hidden="1"/>
    <cellStyle name="20% - Accent6 8" xfId="33120" hidden="1"/>
    <cellStyle name="20% - Accent6 8" xfId="33185" hidden="1"/>
    <cellStyle name="20% - Accent6 8" xfId="33263" hidden="1"/>
    <cellStyle name="20% - Accent6 8" xfId="33457" hidden="1"/>
    <cellStyle name="20% - Accent6 8" xfId="33522" hidden="1"/>
    <cellStyle name="20% - Accent6 9" xfId="163" hidden="1"/>
    <cellStyle name="20% - Accent6 9" xfId="243" hidden="1"/>
    <cellStyle name="20% - Accent6 9" xfId="327" hidden="1"/>
    <cellStyle name="20% - Accent6 9" xfId="661" hidden="1"/>
    <cellStyle name="20% - Accent6 9" xfId="2406" hidden="1"/>
    <cellStyle name="20% - Accent6 9" xfId="2557" hidden="1"/>
    <cellStyle name="20% - Accent6 9" xfId="2737" hidden="1"/>
    <cellStyle name="20% - Accent6 9" xfId="3797" hidden="1"/>
    <cellStyle name="20% - Accent6 9" xfId="2276" hidden="1"/>
    <cellStyle name="20% - Accent6 9" xfId="2034" hidden="1"/>
    <cellStyle name="20% - Accent6 9" xfId="4328" hidden="1"/>
    <cellStyle name="20% - Accent6 9" xfId="4573" hidden="1"/>
    <cellStyle name="20% - Accent6 9" xfId="4733" hidden="1"/>
    <cellStyle name="20% - Accent6 9" xfId="5813" hidden="1"/>
    <cellStyle name="20% - Accent6 9" xfId="3968" hidden="1"/>
    <cellStyle name="20% - Accent6 9" xfId="2838" hidden="1"/>
    <cellStyle name="20% - Accent6 9" xfId="6347" hidden="1"/>
    <cellStyle name="20% - Accent6 9" xfId="6456" hidden="1"/>
    <cellStyle name="20% - Accent6 9" xfId="6652" hidden="1"/>
    <cellStyle name="20% - Accent6 9" xfId="7508" hidden="1"/>
    <cellStyle name="20% - Accent6 9" xfId="7659" hidden="1"/>
    <cellStyle name="20% - Accent6 9" xfId="7840" hidden="1"/>
    <cellStyle name="20% - Accent6 9" xfId="8754" hidden="1"/>
    <cellStyle name="20% - Accent6 9" xfId="8932" hidden="1"/>
    <cellStyle name="20% - Accent6 9" xfId="9854" hidden="1"/>
    <cellStyle name="20% - Accent6 9" xfId="9928" hidden="1"/>
    <cellStyle name="20% - Accent6 9" xfId="10004" hidden="1"/>
    <cellStyle name="20% - Accent6 9" xfId="10082" hidden="1"/>
    <cellStyle name="20% - Accent6 9" xfId="10667" hidden="1"/>
    <cellStyle name="20% - Accent6 9" xfId="10743" hidden="1"/>
    <cellStyle name="20% - Accent6 9" xfId="10822" hidden="1"/>
    <cellStyle name="20% - Accent6 9" xfId="11081" hidden="1"/>
    <cellStyle name="20% - Accent6 9" xfId="10615" hidden="1"/>
    <cellStyle name="20% - Accent6 9" xfId="10502" hidden="1"/>
    <cellStyle name="20% - Accent6 9" xfId="11262" hidden="1"/>
    <cellStyle name="20% - Accent6 9" xfId="11338" hidden="1"/>
    <cellStyle name="20% - Accent6 9" xfId="11416" hidden="1"/>
    <cellStyle name="20% - Accent6 9" xfId="11640" hidden="1"/>
    <cellStyle name="20% - Accent6 9" xfId="11117" hidden="1"/>
    <cellStyle name="20% - Accent6 9" xfId="10871" hidden="1"/>
    <cellStyle name="20% - Accent6 9" xfId="11794" hidden="1"/>
    <cellStyle name="20% - Accent6 9" xfId="11870" hidden="1"/>
    <cellStyle name="20% - Accent6 9" xfId="11948" hidden="1"/>
    <cellStyle name="20% - Accent6 9" xfId="12131" hidden="1"/>
    <cellStyle name="20% - Accent6 9" xfId="12207" hidden="1"/>
    <cellStyle name="20% - Accent6 9" xfId="12285" hidden="1"/>
    <cellStyle name="20% - Accent6 9" xfId="12468" hidden="1"/>
    <cellStyle name="20% - Accent6 9" xfId="12544" hidden="1"/>
    <cellStyle name="20% - Accent6 9" xfId="12646" hidden="1"/>
    <cellStyle name="20% - Accent6 9" xfId="12720" hidden="1"/>
    <cellStyle name="20% - Accent6 9" xfId="12796" hidden="1"/>
    <cellStyle name="20% - Accent6 9" xfId="12874" hidden="1"/>
    <cellStyle name="20% - Accent6 9" xfId="13459" hidden="1"/>
    <cellStyle name="20% - Accent6 9" xfId="13535" hidden="1"/>
    <cellStyle name="20% - Accent6 9" xfId="13614" hidden="1"/>
    <cellStyle name="20% - Accent6 9" xfId="13873" hidden="1"/>
    <cellStyle name="20% - Accent6 9" xfId="13407" hidden="1"/>
    <cellStyle name="20% - Accent6 9" xfId="13294" hidden="1"/>
    <cellStyle name="20% - Accent6 9" xfId="14054" hidden="1"/>
    <cellStyle name="20% - Accent6 9" xfId="14130" hidden="1"/>
    <cellStyle name="20% - Accent6 9" xfId="14208" hidden="1"/>
    <cellStyle name="20% - Accent6 9" xfId="14432" hidden="1"/>
    <cellStyle name="20% - Accent6 9" xfId="13909" hidden="1"/>
    <cellStyle name="20% - Accent6 9" xfId="13663" hidden="1"/>
    <cellStyle name="20% - Accent6 9" xfId="14586" hidden="1"/>
    <cellStyle name="20% - Accent6 9" xfId="14662" hidden="1"/>
    <cellStyle name="20% - Accent6 9" xfId="14740" hidden="1"/>
    <cellStyle name="20% - Accent6 9" xfId="14923" hidden="1"/>
    <cellStyle name="20% - Accent6 9" xfId="14999" hidden="1"/>
    <cellStyle name="20% - Accent6 9" xfId="15077" hidden="1"/>
    <cellStyle name="20% - Accent6 9" xfId="15260" hidden="1"/>
    <cellStyle name="20% - Accent6 9" xfId="15336" hidden="1"/>
    <cellStyle name="20% - Accent6 9" xfId="9603" hidden="1"/>
    <cellStyle name="20% - Accent6 9" xfId="9494" hidden="1"/>
    <cellStyle name="20% - Accent6 9" xfId="9374" hidden="1"/>
    <cellStyle name="20% - Accent6 9" xfId="9268" hidden="1"/>
    <cellStyle name="20% - Accent6 9" xfId="7006" hidden="1"/>
    <cellStyle name="20% - Accent6 9" xfId="6917" hidden="1"/>
    <cellStyle name="20% - Accent6 9" xfId="6824" hidden="1"/>
    <cellStyle name="20% - Accent6 9" xfId="5707" hidden="1"/>
    <cellStyle name="20% - Accent6 9" xfId="7193" hidden="1"/>
    <cellStyle name="20% - Accent6 9" xfId="7536" hidden="1"/>
    <cellStyle name="20% - Accent6 9" xfId="4870" hidden="1"/>
    <cellStyle name="20% - Accent6 9" xfId="4698" hidden="1"/>
    <cellStyle name="20% - Accent6 9" xfId="4492" hidden="1"/>
    <cellStyle name="20% - Accent6 9" xfId="3643" hidden="1"/>
    <cellStyle name="20% - Accent6 9" xfId="5501" hidden="1"/>
    <cellStyle name="20% - Accent6 9" xfId="6751" hidden="1"/>
    <cellStyle name="20% - Accent6 9" xfId="2770" hidden="1"/>
    <cellStyle name="20% - Accent6 9" xfId="2529" hidden="1"/>
    <cellStyle name="20% - Accent6 9" xfId="2355" hidden="1"/>
    <cellStyle name="20% - Accent6 9" xfId="1402" hidden="1"/>
    <cellStyle name="20% - Accent6 9" xfId="1212" hidden="1"/>
    <cellStyle name="20% - Accent6 9" xfId="1057" hidden="1"/>
    <cellStyle name="20% - Accent6 9" xfId="105" hidden="1"/>
    <cellStyle name="20% - Accent6 9" xfId="15507" hidden="1"/>
    <cellStyle name="20% - Accent6 9" xfId="16195" hidden="1"/>
    <cellStyle name="20% - Accent6 9" xfId="16269" hidden="1"/>
    <cellStyle name="20% - Accent6 9" xfId="16345" hidden="1"/>
    <cellStyle name="20% - Accent6 9" xfId="16423" hidden="1"/>
    <cellStyle name="20% - Accent6 9" xfId="17008" hidden="1"/>
    <cellStyle name="20% - Accent6 9" xfId="17084" hidden="1"/>
    <cellStyle name="20% - Accent6 9" xfId="17163" hidden="1"/>
    <cellStyle name="20% - Accent6 9" xfId="17422" hidden="1"/>
    <cellStyle name="20% - Accent6 9" xfId="16956" hidden="1"/>
    <cellStyle name="20% - Accent6 9" xfId="16843" hidden="1"/>
    <cellStyle name="20% - Accent6 9" xfId="17603" hidden="1"/>
    <cellStyle name="20% - Accent6 9" xfId="17679" hidden="1"/>
    <cellStyle name="20% - Accent6 9" xfId="17757" hidden="1"/>
    <cellStyle name="20% - Accent6 9" xfId="17981" hidden="1"/>
    <cellStyle name="20% - Accent6 9" xfId="17458" hidden="1"/>
    <cellStyle name="20% - Accent6 9" xfId="17212" hidden="1"/>
    <cellStyle name="20% - Accent6 9" xfId="18135" hidden="1"/>
    <cellStyle name="20% - Accent6 9" xfId="18211" hidden="1"/>
    <cellStyle name="20% - Accent6 9" xfId="18289" hidden="1"/>
    <cellStyle name="20% - Accent6 9" xfId="18472" hidden="1"/>
    <cellStyle name="20% - Accent6 9" xfId="18548" hidden="1"/>
    <cellStyle name="20% - Accent6 9" xfId="18626" hidden="1"/>
    <cellStyle name="20% - Accent6 9" xfId="18809" hidden="1"/>
    <cellStyle name="20% - Accent6 9" xfId="18885" hidden="1"/>
    <cellStyle name="20% - Accent6 9" xfId="18987" hidden="1"/>
    <cellStyle name="20% - Accent6 9" xfId="19061" hidden="1"/>
    <cellStyle name="20% - Accent6 9" xfId="19137" hidden="1"/>
    <cellStyle name="20% - Accent6 9" xfId="19215" hidden="1"/>
    <cellStyle name="20% - Accent6 9" xfId="19800" hidden="1"/>
    <cellStyle name="20% - Accent6 9" xfId="19876" hidden="1"/>
    <cellStyle name="20% - Accent6 9" xfId="19955" hidden="1"/>
    <cellStyle name="20% - Accent6 9" xfId="20214" hidden="1"/>
    <cellStyle name="20% - Accent6 9" xfId="19748" hidden="1"/>
    <cellStyle name="20% - Accent6 9" xfId="19635" hidden="1"/>
    <cellStyle name="20% - Accent6 9" xfId="20395" hidden="1"/>
    <cellStyle name="20% - Accent6 9" xfId="20471" hidden="1"/>
    <cellStyle name="20% - Accent6 9" xfId="20549" hidden="1"/>
    <cellStyle name="20% - Accent6 9" xfId="20773" hidden="1"/>
    <cellStyle name="20% - Accent6 9" xfId="20250" hidden="1"/>
    <cellStyle name="20% - Accent6 9" xfId="20004" hidden="1"/>
    <cellStyle name="20% - Accent6 9" xfId="20927" hidden="1"/>
    <cellStyle name="20% - Accent6 9" xfId="21003" hidden="1"/>
    <cellStyle name="20% - Accent6 9" xfId="21081" hidden="1"/>
    <cellStyle name="20% - Accent6 9" xfId="21264" hidden="1"/>
    <cellStyle name="20% - Accent6 9" xfId="21340" hidden="1"/>
    <cellStyle name="20% - Accent6 9" xfId="21418" hidden="1"/>
    <cellStyle name="20% - Accent6 9" xfId="21601" hidden="1"/>
    <cellStyle name="20% - Accent6 9" xfId="21677" hidden="1"/>
    <cellStyle name="20% - Accent6 9" xfId="15996" hidden="1"/>
    <cellStyle name="20% - Accent6 9" xfId="15922" hidden="1"/>
    <cellStyle name="20% - Accent6 9" xfId="15842" hidden="1"/>
    <cellStyle name="20% - Accent6 9" xfId="15759" hidden="1"/>
    <cellStyle name="20% - Accent6 9" xfId="7986" hidden="1"/>
    <cellStyle name="20% - Accent6 9" xfId="7788" hidden="1"/>
    <cellStyle name="20% - Accent6 9" xfId="7529" hidden="1"/>
    <cellStyle name="20% - Accent6 9" xfId="6204" hidden="1"/>
    <cellStyle name="20% - Accent6 9" xfId="8124" hidden="1"/>
    <cellStyle name="20% - Accent6 9" xfId="8451" hidden="1"/>
    <cellStyle name="20% - Accent6 9" xfId="5308" hidden="1"/>
    <cellStyle name="20% - Accent6 9" xfId="5108" hidden="1"/>
    <cellStyle name="20% - Accent6 9" xfId="5002" hidden="1"/>
    <cellStyle name="20% - Accent6 9" xfId="3833" hidden="1"/>
    <cellStyle name="20% - Accent6 9" xfId="5909" hidden="1"/>
    <cellStyle name="20% - Accent6 9" xfId="7407" hidden="1"/>
    <cellStyle name="20% - Accent6 9" xfId="3063" hidden="1"/>
    <cellStyle name="20% - Accent6 9" xfId="2916" hidden="1"/>
    <cellStyle name="20% - Accent6 9" xfId="2744" hidden="1"/>
    <cellStyle name="20% - Accent6 9" xfId="1550" hidden="1"/>
    <cellStyle name="20% - Accent6 9" xfId="1394" hidden="1"/>
    <cellStyle name="20% - Accent6 9" xfId="1129" hidden="1"/>
    <cellStyle name="20% - Accent6 9" xfId="9799" hidden="1"/>
    <cellStyle name="20% - Accent6 9" xfId="21815" hidden="1"/>
    <cellStyle name="20% - Accent6 9" xfId="22346" hidden="1"/>
    <cellStyle name="20% - Accent6 9" xfId="22420" hidden="1"/>
    <cellStyle name="20% - Accent6 9" xfId="22496" hidden="1"/>
    <cellStyle name="20% - Accent6 9" xfId="22574" hidden="1"/>
    <cellStyle name="20% - Accent6 9" xfId="23159" hidden="1"/>
    <cellStyle name="20% - Accent6 9" xfId="23235" hidden="1"/>
    <cellStyle name="20% - Accent6 9" xfId="23314" hidden="1"/>
    <cellStyle name="20% - Accent6 9" xfId="23573" hidden="1"/>
    <cellStyle name="20% - Accent6 9" xfId="23107" hidden="1"/>
    <cellStyle name="20% - Accent6 9" xfId="22994" hidden="1"/>
    <cellStyle name="20% - Accent6 9" xfId="23754" hidden="1"/>
    <cellStyle name="20% - Accent6 9" xfId="23830" hidden="1"/>
    <cellStyle name="20% - Accent6 9" xfId="23908" hidden="1"/>
    <cellStyle name="20% - Accent6 9" xfId="24132" hidden="1"/>
    <cellStyle name="20% - Accent6 9" xfId="23609" hidden="1"/>
    <cellStyle name="20% - Accent6 9" xfId="23363" hidden="1"/>
    <cellStyle name="20% - Accent6 9" xfId="24286" hidden="1"/>
    <cellStyle name="20% - Accent6 9" xfId="24362" hidden="1"/>
    <cellStyle name="20% - Accent6 9" xfId="24440" hidden="1"/>
    <cellStyle name="20% - Accent6 9" xfId="24623" hidden="1"/>
    <cellStyle name="20% - Accent6 9" xfId="24699" hidden="1"/>
    <cellStyle name="20% - Accent6 9" xfId="24777" hidden="1"/>
    <cellStyle name="20% - Accent6 9" xfId="24960" hidden="1"/>
    <cellStyle name="20% - Accent6 9" xfId="25036" hidden="1"/>
    <cellStyle name="20% - Accent6 9" xfId="25138" hidden="1"/>
    <cellStyle name="20% - Accent6 9" xfId="25212" hidden="1"/>
    <cellStyle name="20% - Accent6 9" xfId="25288" hidden="1"/>
    <cellStyle name="20% - Accent6 9" xfId="25366" hidden="1"/>
    <cellStyle name="20% - Accent6 9" xfId="25951" hidden="1"/>
    <cellStyle name="20% - Accent6 9" xfId="26027" hidden="1"/>
    <cellStyle name="20% - Accent6 9" xfId="26106" hidden="1"/>
    <cellStyle name="20% - Accent6 9" xfId="26365" hidden="1"/>
    <cellStyle name="20% - Accent6 9" xfId="25899" hidden="1"/>
    <cellStyle name="20% - Accent6 9" xfId="25786" hidden="1"/>
    <cellStyle name="20% - Accent6 9" xfId="26546" hidden="1"/>
    <cellStyle name="20% - Accent6 9" xfId="26622" hidden="1"/>
    <cellStyle name="20% - Accent6 9" xfId="26700" hidden="1"/>
    <cellStyle name="20% - Accent6 9" xfId="26924" hidden="1"/>
    <cellStyle name="20% - Accent6 9" xfId="26401" hidden="1"/>
    <cellStyle name="20% - Accent6 9" xfId="26155" hidden="1"/>
    <cellStyle name="20% - Accent6 9" xfId="27078" hidden="1"/>
    <cellStyle name="20% - Accent6 9" xfId="27154" hidden="1"/>
    <cellStyle name="20% - Accent6 9" xfId="27232" hidden="1"/>
    <cellStyle name="20% - Accent6 9" xfId="27415" hidden="1"/>
    <cellStyle name="20% - Accent6 9" xfId="27491" hidden="1"/>
    <cellStyle name="20% - Accent6 9" xfId="27569" hidden="1"/>
    <cellStyle name="20% - Accent6 9" xfId="27752" hidden="1"/>
    <cellStyle name="20% - Accent6 9" xfId="27828" hidden="1"/>
    <cellStyle name="20% - Accent6 9" xfId="22249" hidden="1"/>
    <cellStyle name="20% - Accent6 9" xfId="22175" hidden="1"/>
    <cellStyle name="20% - Accent6 9" xfId="22095" hidden="1"/>
    <cellStyle name="20% - Accent6 9" xfId="22012" hidden="1"/>
    <cellStyle name="20% - Accent6 9" xfId="8893" hidden="1"/>
    <cellStyle name="20% - Accent6 9" xfId="8683" hidden="1"/>
    <cellStyle name="20% - Accent6 9" xfId="8453" hidden="1"/>
    <cellStyle name="20% - Accent6 9" xfId="6748" hidden="1"/>
    <cellStyle name="20% - Accent6 9" xfId="9055" hidden="1"/>
    <cellStyle name="20% - Accent6 9" xfId="9512" hidden="1"/>
    <cellStyle name="20% - Accent6 9" xfId="5861" hidden="1"/>
    <cellStyle name="20% - Accent6 9" xfId="5615" hidden="1"/>
    <cellStyle name="20% - Accent6 9" xfId="5516" hidden="1"/>
    <cellStyle name="20% - Accent6 9" xfId="4010" hidden="1"/>
    <cellStyle name="20% - Accent6 9" xfId="6330" hidden="1"/>
    <cellStyle name="20% - Accent6 9" xfId="8259" hidden="1"/>
    <cellStyle name="20% - Accent6 9" xfId="3380" hidden="1"/>
    <cellStyle name="20% - Accent6 9" xfId="3285" hidden="1"/>
    <cellStyle name="20% - Accent6 9" xfId="3059" hidden="1"/>
    <cellStyle name="20% - Accent6 9" xfId="1675" hidden="1"/>
    <cellStyle name="20% - Accent6 9" xfId="1548" hidden="1"/>
    <cellStyle name="20% - Accent6 9" xfId="1275" hidden="1"/>
    <cellStyle name="20% - Accent6 9" xfId="16147" hidden="1"/>
    <cellStyle name="20% - Accent6 9" xfId="27963" hidden="1"/>
    <cellStyle name="20% - Accent6 9" xfId="28065" hidden="1"/>
    <cellStyle name="20% - Accent6 9" xfId="28139" hidden="1"/>
    <cellStyle name="20% - Accent6 9" xfId="28215" hidden="1"/>
    <cellStyle name="20% - Accent6 9" xfId="28293" hidden="1"/>
    <cellStyle name="20% - Accent6 9" xfId="28878" hidden="1"/>
    <cellStyle name="20% - Accent6 9" xfId="28954" hidden="1"/>
    <cellStyle name="20% - Accent6 9" xfId="29033" hidden="1"/>
    <cellStyle name="20% - Accent6 9" xfId="29292" hidden="1"/>
    <cellStyle name="20% - Accent6 9" xfId="28826" hidden="1"/>
    <cellStyle name="20% - Accent6 9" xfId="28713" hidden="1"/>
    <cellStyle name="20% - Accent6 9" xfId="29473" hidden="1"/>
    <cellStyle name="20% - Accent6 9" xfId="29549" hidden="1"/>
    <cellStyle name="20% - Accent6 9" xfId="29627" hidden="1"/>
    <cellStyle name="20% - Accent6 9" xfId="29851" hidden="1"/>
    <cellStyle name="20% - Accent6 9" xfId="29328" hidden="1"/>
    <cellStyle name="20% - Accent6 9" xfId="29082" hidden="1"/>
    <cellStyle name="20% - Accent6 9" xfId="30005" hidden="1"/>
    <cellStyle name="20% - Accent6 9" xfId="30081" hidden="1"/>
    <cellStyle name="20% - Accent6 9" xfId="30159" hidden="1"/>
    <cellStyle name="20% - Accent6 9" xfId="30342" hidden="1"/>
    <cellStyle name="20% - Accent6 9" xfId="30418" hidden="1"/>
    <cellStyle name="20% - Accent6 9" xfId="30496" hidden="1"/>
    <cellStyle name="20% - Accent6 9" xfId="30679" hidden="1"/>
    <cellStyle name="20% - Accent6 9" xfId="30755" hidden="1"/>
    <cellStyle name="20% - Accent6 9" xfId="30857" hidden="1"/>
    <cellStyle name="20% - Accent6 9" xfId="30931" hidden="1"/>
    <cellStyle name="20% - Accent6 9" xfId="31007" hidden="1"/>
    <cellStyle name="20% - Accent6 9" xfId="31085" hidden="1"/>
    <cellStyle name="20% - Accent6 9" xfId="31670" hidden="1"/>
    <cellStyle name="20% - Accent6 9" xfId="31746" hidden="1"/>
    <cellStyle name="20% - Accent6 9" xfId="31825" hidden="1"/>
    <cellStyle name="20% - Accent6 9" xfId="32084" hidden="1"/>
    <cellStyle name="20% - Accent6 9" xfId="31618" hidden="1"/>
    <cellStyle name="20% - Accent6 9" xfId="31505" hidden="1"/>
    <cellStyle name="20% - Accent6 9" xfId="32265" hidden="1"/>
    <cellStyle name="20% - Accent6 9" xfId="32341" hidden="1"/>
    <cellStyle name="20% - Accent6 9" xfId="32419" hidden="1"/>
    <cellStyle name="20% - Accent6 9" xfId="32643" hidden="1"/>
    <cellStyle name="20% - Accent6 9" xfId="32120" hidden="1"/>
    <cellStyle name="20% - Accent6 9" xfId="31874" hidden="1"/>
    <cellStyle name="20% - Accent6 9" xfId="32797" hidden="1"/>
    <cellStyle name="20% - Accent6 9" xfId="32873" hidden="1"/>
    <cellStyle name="20% - Accent6 9" xfId="32951" hidden="1"/>
    <cellStyle name="20% - Accent6 9" xfId="33134" hidden="1"/>
    <cellStyle name="20% - Accent6 9" xfId="33210" hidden="1"/>
    <cellStyle name="20% - Accent6 9" xfId="33288" hidden="1"/>
    <cellStyle name="20% - Accent6 9" xfId="33471" hidden="1"/>
    <cellStyle name="20% - Accent6 9" xfId="33547" hidden="1"/>
    <cellStyle name="40% - Accent1" xfId="24" builtinId="31" hidden="1"/>
    <cellStyle name="40% - Accent1" xfId="68" builtinId="31" hidden="1" customBuiltin="1"/>
    <cellStyle name="40% - Accent1 10" xfId="167" hidden="1"/>
    <cellStyle name="40% - Accent1 10" xfId="247" hidden="1"/>
    <cellStyle name="40% - Accent1 10" xfId="343" hidden="1"/>
    <cellStyle name="40% - Accent1 10" xfId="677" hidden="1"/>
    <cellStyle name="40% - Accent1 10" xfId="2411" hidden="1"/>
    <cellStyle name="40% - Accent1 10" xfId="2562" hidden="1"/>
    <cellStyle name="40% - Accent1 10" xfId="2750" hidden="1"/>
    <cellStyle name="40% - Accent1 10" xfId="3093" hidden="1"/>
    <cellStyle name="40% - Accent1 10" xfId="1822" hidden="1"/>
    <cellStyle name="40% - Accent1 10" xfId="2099" hidden="1"/>
    <cellStyle name="40% - Accent1 10" xfId="4345" hidden="1"/>
    <cellStyle name="40% - Accent1 10" xfId="4577" hidden="1"/>
    <cellStyle name="40% - Accent1 10" xfId="4739" hidden="1"/>
    <cellStyle name="40% - Accent1 10" xfId="4945" hidden="1"/>
    <cellStyle name="40% - Accent1 10" xfId="1728" hidden="1"/>
    <cellStyle name="40% - Accent1 10" xfId="3831" hidden="1"/>
    <cellStyle name="40% - Accent1 10" xfId="6354" hidden="1"/>
    <cellStyle name="40% - Accent1 10" xfId="6461" hidden="1"/>
    <cellStyle name="40% - Accent1 10" xfId="6658" hidden="1"/>
    <cellStyle name="40% - Accent1 10" xfId="7518" hidden="1"/>
    <cellStyle name="40% - Accent1 10" xfId="7668" hidden="1"/>
    <cellStyle name="40% - Accent1 10" xfId="7846" hidden="1"/>
    <cellStyle name="40% - Accent1 10" xfId="8761" hidden="1"/>
    <cellStyle name="40% - Accent1 10" xfId="8938" hidden="1"/>
    <cellStyle name="40% - Accent1 10" xfId="9858" hidden="1"/>
    <cellStyle name="40% - Accent1 10" xfId="9932" hidden="1"/>
    <cellStyle name="40% - Accent1 10" xfId="10008" hidden="1"/>
    <cellStyle name="40% - Accent1 10" xfId="10086" hidden="1"/>
    <cellStyle name="40% - Accent1 10" xfId="10671" hidden="1"/>
    <cellStyle name="40% - Accent1 10" xfId="10747" hidden="1"/>
    <cellStyle name="40% - Accent1 10" xfId="10826" hidden="1"/>
    <cellStyle name="40% - Accent1 10" xfId="10920" hidden="1"/>
    <cellStyle name="40% - Accent1 10" xfId="10421" hidden="1"/>
    <cellStyle name="40% - Accent1 10" xfId="10551" hidden="1"/>
    <cellStyle name="40% - Accent1 10" xfId="11266" hidden="1"/>
    <cellStyle name="40% - Accent1 10" xfId="11342" hidden="1"/>
    <cellStyle name="40% - Accent1 10" xfId="11420" hidden="1"/>
    <cellStyle name="40% - Accent1 10" xfId="11499" hidden="1"/>
    <cellStyle name="40% - Accent1 10" xfId="10404" hidden="1"/>
    <cellStyle name="40% - Accent1 10" xfId="11100" hidden="1"/>
    <cellStyle name="40% - Accent1 10" xfId="11798" hidden="1"/>
    <cellStyle name="40% - Accent1 10" xfId="11874" hidden="1"/>
    <cellStyle name="40% - Accent1 10" xfId="11952" hidden="1"/>
    <cellStyle name="40% - Accent1 10" xfId="12135" hidden="1"/>
    <cellStyle name="40% - Accent1 10" xfId="12211" hidden="1"/>
    <cellStyle name="40% - Accent1 10" xfId="12289" hidden="1"/>
    <cellStyle name="40% - Accent1 10" xfId="12472" hidden="1"/>
    <cellStyle name="40% - Accent1 10" xfId="12548" hidden="1"/>
    <cellStyle name="40% - Accent1 10" xfId="12650" hidden="1"/>
    <cellStyle name="40% - Accent1 10" xfId="12724" hidden="1"/>
    <cellStyle name="40% - Accent1 10" xfId="12800" hidden="1"/>
    <cellStyle name="40% - Accent1 10" xfId="12878" hidden="1"/>
    <cellStyle name="40% - Accent1 10" xfId="13463" hidden="1"/>
    <cellStyle name="40% - Accent1 10" xfId="13539" hidden="1"/>
    <cellStyle name="40% - Accent1 10" xfId="13618" hidden="1"/>
    <cellStyle name="40% - Accent1 10" xfId="13712" hidden="1"/>
    <cellStyle name="40% - Accent1 10" xfId="13213" hidden="1"/>
    <cellStyle name="40% - Accent1 10" xfId="13343" hidden="1"/>
    <cellStyle name="40% - Accent1 10" xfId="14058" hidden="1"/>
    <cellStyle name="40% - Accent1 10" xfId="14134" hidden="1"/>
    <cellStyle name="40% - Accent1 10" xfId="14212" hidden="1"/>
    <cellStyle name="40% - Accent1 10" xfId="14291" hidden="1"/>
    <cellStyle name="40% - Accent1 10" xfId="13196" hidden="1"/>
    <cellStyle name="40% - Accent1 10" xfId="13892" hidden="1"/>
    <cellStyle name="40% - Accent1 10" xfId="14590" hidden="1"/>
    <cellStyle name="40% - Accent1 10" xfId="14666" hidden="1"/>
    <cellStyle name="40% - Accent1 10" xfId="14744" hidden="1"/>
    <cellStyle name="40% - Accent1 10" xfId="14927" hidden="1"/>
    <cellStyle name="40% - Accent1 10" xfId="15003" hidden="1"/>
    <cellStyle name="40% - Accent1 10" xfId="15081" hidden="1"/>
    <cellStyle name="40% - Accent1 10" xfId="15264" hidden="1"/>
    <cellStyle name="40% - Accent1 10" xfId="15340" hidden="1"/>
    <cellStyle name="40% - Accent1 10" xfId="9597" hidden="1"/>
    <cellStyle name="40% - Accent1 10" xfId="9488" hidden="1"/>
    <cellStyle name="40% - Accent1 10" xfId="9369" hidden="1"/>
    <cellStyle name="40% - Accent1 10" xfId="9262" hidden="1"/>
    <cellStyle name="40% - Accent1 10" xfId="7000" hidden="1"/>
    <cellStyle name="40% - Accent1 10" xfId="6913" hidden="1"/>
    <cellStyle name="40% - Accent1 10" xfId="6819" hidden="1"/>
    <cellStyle name="40% - Accent1 10" xfId="6422" hidden="1"/>
    <cellStyle name="40% - Accent1 10" xfId="7912" hidden="1"/>
    <cellStyle name="40% - Accent1 10" xfId="7397" hidden="1"/>
    <cellStyle name="40% - Accent1 10" xfId="4862" hidden="1"/>
    <cellStyle name="40% - Accent1 10" xfId="4693" hidden="1"/>
    <cellStyle name="40% - Accent1 10" xfId="4473" hidden="1"/>
    <cellStyle name="40% - Accent1 10" xfId="4256" hidden="1"/>
    <cellStyle name="40% - Accent1 10" xfId="7967" hidden="1"/>
    <cellStyle name="40% - Accent1 10" xfId="5640" hidden="1"/>
    <cellStyle name="40% - Accent1 10" xfId="2745" hidden="1"/>
    <cellStyle name="40% - Accent1 10" xfId="2523" hidden="1"/>
    <cellStyle name="40% - Accent1 10" xfId="2349" hidden="1"/>
    <cellStyle name="40% - Accent1 10" xfId="1389" hidden="1"/>
    <cellStyle name="40% - Accent1 10" xfId="1201" hidden="1"/>
    <cellStyle name="40% - Accent1 10" xfId="1051" hidden="1"/>
    <cellStyle name="40% - Accent1 10" xfId="15401" hidden="1"/>
    <cellStyle name="40% - Accent1 10" xfId="15513" hidden="1"/>
    <cellStyle name="40% - Accent1 10" xfId="16199" hidden="1"/>
    <cellStyle name="40% - Accent1 10" xfId="16273" hidden="1"/>
    <cellStyle name="40% - Accent1 10" xfId="16349" hidden="1"/>
    <cellStyle name="40% - Accent1 10" xfId="16427" hidden="1"/>
    <cellStyle name="40% - Accent1 10" xfId="17012" hidden="1"/>
    <cellStyle name="40% - Accent1 10" xfId="17088" hidden="1"/>
    <cellStyle name="40% - Accent1 10" xfId="17167" hidden="1"/>
    <cellStyle name="40% - Accent1 10" xfId="17261" hidden="1"/>
    <cellStyle name="40% - Accent1 10" xfId="16762" hidden="1"/>
    <cellStyle name="40% - Accent1 10" xfId="16892" hidden="1"/>
    <cellStyle name="40% - Accent1 10" xfId="17607" hidden="1"/>
    <cellStyle name="40% - Accent1 10" xfId="17683" hidden="1"/>
    <cellStyle name="40% - Accent1 10" xfId="17761" hidden="1"/>
    <cellStyle name="40% - Accent1 10" xfId="17840" hidden="1"/>
    <cellStyle name="40% - Accent1 10" xfId="16745" hidden="1"/>
    <cellStyle name="40% - Accent1 10" xfId="17441" hidden="1"/>
    <cellStyle name="40% - Accent1 10" xfId="18139" hidden="1"/>
    <cellStyle name="40% - Accent1 10" xfId="18215" hidden="1"/>
    <cellStyle name="40% - Accent1 10" xfId="18293" hidden="1"/>
    <cellStyle name="40% - Accent1 10" xfId="18476" hidden="1"/>
    <cellStyle name="40% - Accent1 10" xfId="18552" hidden="1"/>
    <cellStyle name="40% - Accent1 10" xfId="18630" hidden="1"/>
    <cellStyle name="40% - Accent1 10" xfId="18813" hidden="1"/>
    <cellStyle name="40% - Accent1 10" xfId="18889" hidden="1"/>
    <cellStyle name="40% - Accent1 10" xfId="18991" hidden="1"/>
    <cellStyle name="40% - Accent1 10" xfId="19065" hidden="1"/>
    <cellStyle name="40% - Accent1 10" xfId="19141" hidden="1"/>
    <cellStyle name="40% - Accent1 10" xfId="19219" hidden="1"/>
    <cellStyle name="40% - Accent1 10" xfId="19804" hidden="1"/>
    <cellStyle name="40% - Accent1 10" xfId="19880" hidden="1"/>
    <cellStyle name="40% - Accent1 10" xfId="19959" hidden="1"/>
    <cellStyle name="40% - Accent1 10" xfId="20053" hidden="1"/>
    <cellStyle name="40% - Accent1 10" xfId="19554" hidden="1"/>
    <cellStyle name="40% - Accent1 10" xfId="19684" hidden="1"/>
    <cellStyle name="40% - Accent1 10" xfId="20399" hidden="1"/>
    <cellStyle name="40% - Accent1 10" xfId="20475" hidden="1"/>
    <cellStyle name="40% - Accent1 10" xfId="20553" hidden="1"/>
    <cellStyle name="40% - Accent1 10" xfId="20632" hidden="1"/>
    <cellStyle name="40% - Accent1 10" xfId="19537" hidden="1"/>
    <cellStyle name="40% - Accent1 10" xfId="20233" hidden="1"/>
    <cellStyle name="40% - Accent1 10" xfId="20931" hidden="1"/>
    <cellStyle name="40% - Accent1 10" xfId="21007" hidden="1"/>
    <cellStyle name="40% - Accent1 10" xfId="21085" hidden="1"/>
    <cellStyle name="40% - Accent1 10" xfId="21268" hidden="1"/>
    <cellStyle name="40% - Accent1 10" xfId="21344" hidden="1"/>
    <cellStyle name="40% - Accent1 10" xfId="21422" hidden="1"/>
    <cellStyle name="40% - Accent1 10" xfId="21605" hidden="1"/>
    <cellStyle name="40% - Accent1 10" xfId="21681" hidden="1"/>
    <cellStyle name="40% - Accent1 10" xfId="15992" hidden="1"/>
    <cellStyle name="40% - Accent1 10" xfId="15918" hidden="1"/>
    <cellStyle name="40% - Accent1 10" xfId="15838" hidden="1"/>
    <cellStyle name="40% - Accent1 10" xfId="15755" hidden="1"/>
    <cellStyle name="40% - Accent1 10" xfId="7980" hidden="1"/>
    <cellStyle name="40% - Accent1 10" xfId="7780" hidden="1"/>
    <cellStyle name="40% - Accent1 10" xfId="7513" hidden="1"/>
    <cellStyle name="40% - Accent1 10" xfId="7162" hidden="1"/>
    <cellStyle name="40% - Accent1 10" xfId="8776" hidden="1"/>
    <cellStyle name="40% - Accent1 10" xfId="8248" hidden="1"/>
    <cellStyle name="40% - Accent1 10" xfId="5301" hidden="1"/>
    <cellStyle name="40% - Accent1 10" xfId="5100" hidden="1"/>
    <cellStyle name="40% - Accent1 10" xfId="4996" hidden="1"/>
    <cellStyle name="40% - Accent1 10" xfId="4743" hidden="1"/>
    <cellStyle name="40% - Accent1 10" xfId="8863" hidden="1"/>
    <cellStyle name="40% - Accent1 10" xfId="6148" hidden="1"/>
    <cellStyle name="40% - Accent1 10" xfId="3053" hidden="1"/>
    <cellStyle name="40% - Accent1 10" xfId="2911" hidden="1"/>
    <cellStyle name="40% - Accent1 10" xfId="2716" hidden="1"/>
    <cellStyle name="40% - Accent1 10" xfId="1542" hidden="1"/>
    <cellStyle name="40% - Accent1 10" xfId="1375" hidden="1"/>
    <cellStyle name="40% - Accent1 10" xfId="1122" hidden="1"/>
    <cellStyle name="40% - Accent1 10" xfId="21741" hidden="1"/>
    <cellStyle name="40% - Accent1 10" xfId="21820" hidden="1"/>
    <cellStyle name="40% - Accent1 10" xfId="22350" hidden="1"/>
    <cellStyle name="40% - Accent1 10" xfId="22424" hidden="1"/>
    <cellStyle name="40% - Accent1 10" xfId="22500" hidden="1"/>
    <cellStyle name="40% - Accent1 10" xfId="22578" hidden="1"/>
    <cellStyle name="40% - Accent1 10" xfId="23163" hidden="1"/>
    <cellStyle name="40% - Accent1 10" xfId="23239" hidden="1"/>
    <cellStyle name="40% - Accent1 10" xfId="23318" hidden="1"/>
    <cellStyle name="40% - Accent1 10" xfId="23412" hidden="1"/>
    <cellStyle name="40% - Accent1 10" xfId="22913" hidden="1"/>
    <cellStyle name="40% - Accent1 10" xfId="23043" hidden="1"/>
    <cellStyle name="40% - Accent1 10" xfId="23758" hidden="1"/>
    <cellStyle name="40% - Accent1 10" xfId="23834" hidden="1"/>
    <cellStyle name="40% - Accent1 10" xfId="23912" hidden="1"/>
    <cellStyle name="40% - Accent1 10" xfId="23991" hidden="1"/>
    <cellStyle name="40% - Accent1 10" xfId="22896" hidden="1"/>
    <cellStyle name="40% - Accent1 10" xfId="23592" hidden="1"/>
    <cellStyle name="40% - Accent1 10" xfId="24290" hidden="1"/>
    <cellStyle name="40% - Accent1 10" xfId="24366" hidden="1"/>
    <cellStyle name="40% - Accent1 10" xfId="24444" hidden="1"/>
    <cellStyle name="40% - Accent1 10" xfId="24627" hidden="1"/>
    <cellStyle name="40% - Accent1 10" xfId="24703" hidden="1"/>
    <cellStyle name="40% - Accent1 10" xfId="24781" hidden="1"/>
    <cellStyle name="40% - Accent1 10" xfId="24964" hidden="1"/>
    <cellStyle name="40% - Accent1 10" xfId="25040" hidden="1"/>
    <cellStyle name="40% - Accent1 10" xfId="25142" hidden="1"/>
    <cellStyle name="40% - Accent1 10" xfId="25216" hidden="1"/>
    <cellStyle name="40% - Accent1 10" xfId="25292" hidden="1"/>
    <cellStyle name="40% - Accent1 10" xfId="25370" hidden="1"/>
    <cellStyle name="40% - Accent1 10" xfId="25955" hidden="1"/>
    <cellStyle name="40% - Accent1 10" xfId="26031" hidden="1"/>
    <cellStyle name="40% - Accent1 10" xfId="26110" hidden="1"/>
    <cellStyle name="40% - Accent1 10" xfId="26204" hidden="1"/>
    <cellStyle name="40% - Accent1 10" xfId="25705" hidden="1"/>
    <cellStyle name="40% - Accent1 10" xfId="25835" hidden="1"/>
    <cellStyle name="40% - Accent1 10" xfId="26550" hidden="1"/>
    <cellStyle name="40% - Accent1 10" xfId="26626" hidden="1"/>
    <cellStyle name="40% - Accent1 10" xfId="26704" hidden="1"/>
    <cellStyle name="40% - Accent1 10" xfId="26783" hidden="1"/>
    <cellStyle name="40% - Accent1 10" xfId="25688" hidden="1"/>
    <cellStyle name="40% - Accent1 10" xfId="26384" hidden="1"/>
    <cellStyle name="40% - Accent1 10" xfId="27082" hidden="1"/>
    <cellStyle name="40% - Accent1 10" xfId="27158" hidden="1"/>
    <cellStyle name="40% - Accent1 10" xfId="27236" hidden="1"/>
    <cellStyle name="40% - Accent1 10" xfId="27419" hidden="1"/>
    <cellStyle name="40% - Accent1 10" xfId="27495" hidden="1"/>
    <cellStyle name="40% - Accent1 10" xfId="27573" hidden="1"/>
    <cellStyle name="40% - Accent1 10" xfId="27756" hidden="1"/>
    <cellStyle name="40% - Accent1 10" xfId="27832" hidden="1"/>
    <cellStyle name="40% - Accent1 10" xfId="22245" hidden="1"/>
    <cellStyle name="40% - Accent1 10" xfId="22171" hidden="1"/>
    <cellStyle name="40% - Accent1 10" xfId="22091" hidden="1"/>
    <cellStyle name="40% - Accent1 10" xfId="22008" hidden="1"/>
    <cellStyle name="40% - Accent1 10" xfId="8885" hidden="1"/>
    <cellStyle name="40% - Accent1 10" xfId="8679" hidden="1"/>
    <cellStyle name="40% - Accent1 10" xfId="8446" hidden="1"/>
    <cellStyle name="40% - Accent1 10" xfId="8085" hidden="1"/>
    <cellStyle name="40% - Accent1 10" xfId="15414" hidden="1"/>
    <cellStyle name="40% - Accent1 10" xfId="9329" hidden="1"/>
    <cellStyle name="40% - Accent1 10" xfId="5856" hidden="1"/>
    <cellStyle name="40% - Accent1 10" xfId="5610" hidden="1"/>
    <cellStyle name="40% - Accent1 10" xfId="5512" hidden="1"/>
    <cellStyle name="40% - Accent1 10" xfId="5128" hidden="1"/>
    <cellStyle name="40% - Accent1 10" xfId="15471" hidden="1"/>
    <cellStyle name="40% - Accent1 10" xfId="6712" hidden="1"/>
    <cellStyle name="40% - Accent1 10" xfId="3374" hidden="1"/>
    <cellStyle name="40% - Accent1 10" xfId="3272" hidden="1"/>
    <cellStyle name="40% - Accent1 10" xfId="3046" hidden="1"/>
    <cellStyle name="40% - Accent1 10" xfId="1668" hidden="1"/>
    <cellStyle name="40% - Accent1 10" xfId="1541" hidden="1"/>
    <cellStyle name="40% - Accent1 10" xfId="1266" hidden="1"/>
    <cellStyle name="40% - Accent1 10" xfId="27891" hidden="1"/>
    <cellStyle name="40% - Accent1 10" xfId="27967" hidden="1"/>
    <cellStyle name="40% - Accent1 10" xfId="28069" hidden="1"/>
    <cellStyle name="40% - Accent1 10" xfId="28143" hidden="1"/>
    <cellStyle name="40% - Accent1 10" xfId="28219" hidden="1"/>
    <cellStyle name="40% - Accent1 10" xfId="28297" hidden="1"/>
    <cellStyle name="40% - Accent1 10" xfId="28882" hidden="1"/>
    <cellStyle name="40% - Accent1 10" xfId="28958" hidden="1"/>
    <cellStyle name="40% - Accent1 10" xfId="29037" hidden="1"/>
    <cellStyle name="40% - Accent1 10" xfId="29131" hidden="1"/>
    <cellStyle name="40% - Accent1 10" xfId="28632" hidden="1"/>
    <cellStyle name="40% - Accent1 10" xfId="28762" hidden="1"/>
    <cellStyle name="40% - Accent1 10" xfId="29477" hidden="1"/>
    <cellStyle name="40% - Accent1 10" xfId="29553" hidden="1"/>
    <cellStyle name="40% - Accent1 10" xfId="29631" hidden="1"/>
    <cellStyle name="40% - Accent1 10" xfId="29710" hidden="1"/>
    <cellStyle name="40% - Accent1 10" xfId="28615" hidden="1"/>
    <cellStyle name="40% - Accent1 10" xfId="29311" hidden="1"/>
    <cellStyle name="40% - Accent1 10" xfId="30009" hidden="1"/>
    <cellStyle name="40% - Accent1 10" xfId="30085" hidden="1"/>
    <cellStyle name="40% - Accent1 10" xfId="30163" hidden="1"/>
    <cellStyle name="40% - Accent1 10" xfId="30346" hidden="1"/>
    <cellStyle name="40% - Accent1 10" xfId="30422" hidden="1"/>
    <cellStyle name="40% - Accent1 10" xfId="30500" hidden="1"/>
    <cellStyle name="40% - Accent1 10" xfId="30683" hidden="1"/>
    <cellStyle name="40% - Accent1 10" xfId="30759" hidden="1"/>
    <cellStyle name="40% - Accent1 10" xfId="30861" hidden="1"/>
    <cellStyle name="40% - Accent1 10" xfId="30935" hidden="1"/>
    <cellStyle name="40% - Accent1 10" xfId="31011" hidden="1"/>
    <cellStyle name="40% - Accent1 10" xfId="31089" hidden="1"/>
    <cellStyle name="40% - Accent1 10" xfId="31674" hidden="1"/>
    <cellStyle name="40% - Accent1 10" xfId="31750" hidden="1"/>
    <cellStyle name="40% - Accent1 10" xfId="31829" hidden="1"/>
    <cellStyle name="40% - Accent1 10" xfId="31923" hidden="1"/>
    <cellStyle name="40% - Accent1 10" xfId="31424" hidden="1"/>
    <cellStyle name="40% - Accent1 10" xfId="31554" hidden="1"/>
    <cellStyle name="40% - Accent1 10" xfId="32269" hidden="1"/>
    <cellStyle name="40% - Accent1 10" xfId="32345" hidden="1"/>
    <cellStyle name="40% - Accent1 10" xfId="32423" hidden="1"/>
    <cellStyle name="40% - Accent1 10" xfId="32502" hidden="1"/>
    <cellStyle name="40% - Accent1 10" xfId="31407" hidden="1"/>
    <cellStyle name="40% - Accent1 10" xfId="32103" hidden="1"/>
    <cellStyle name="40% - Accent1 10" xfId="32801" hidden="1"/>
    <cellStyle name="40% - Accent1 10" xfId="32877" hidden="1"/>
    <cellStyle name="40% - Accent1 10" xfId="32955" hidden="1"/>
    <cellStyle name="40% - Accent1 10" xfId="33138" hidden="1"/>
    <cellStyle name="40% - Accent1 10" xfId="33214" hidden="1"/>
    <cellStyle name="40% - Accent1 10" xfId="33292" hidden="1"/>
    <cellStyle name="40% - Accent1 10" xfId="33475" hidden="1"/>
    <cellStyle name="40% - Accent1 10" xfId="33551" hidden="1"/>
    <cellStyle name="40% - Accent1 11" xfId="180" hidden="1"/>
    <cellStyle name="40% - Accent1 11" xfId="260" hidden="1"/>
    <cellStyle name="40% - Accent1 11" xfId="379" hidden="1"/>
    <cellStyle name="40% - Accent1 11" xfId="708" hidden="1"/>
    <cellStyle name="40% - Accent1 11" xfId="2426" hidden="1"/>
    <cellStyle name="40% - Accent1 11" xfId="2579" hidden="1"/>
    <cellStyle name="40% - Accent1 11" xfId="2778" hidden="1"/>
    <cellStyle name="40% - Accent1 11" xfId="2828" hidden="1"/>
    <cellStyle name="40% - Accent1 11" xfId="1734" hidden="1"/>
    <cellStyle name="40% - Accent1 11" xfId="2239" hidden="1"/>
    <cellStyle name="40% - Accent1 11" xfId="4381" hidden="1"/>
    <cellStyle name="40% - Accent1 11" xfId="4594" hidden="1"/>
    <cellStyle name="40% - Accent1 11" xfId="4758" hidden="1"/>
    <cellStyle name="40% - Accent1 11" xfId="4801" hidden="1"/>
    <cellStyle name="40% - Accent1 11" xfId="1582" hidden="1"/>
    <cellStyle name="40% - Accent1 11" xfId="2038" hidden="1"/>
    <cellStyle name="40% - Accent1 11" xfId="6369" hidden="1"/>
    <cellStyle name="40% - Accent1 11" xfId="6475" hidden="1"/>
    <cellStyle name="40% - Accent1 11" xfId="6672" hidden="1"/>
    <cellStyle name="40% - Accent1 11" xfId="7542" hidden="1"/>
    <cellStyle name="40% - Accent1 11" xfId="7687" hidden="1"/>
    <cellStyle name="40% - Accent1 11" xfId="7866" hidden="1"/>
    <cellStyle name="40% - Accent1 11" xfId="8781" hidden="1"/>
    <cellStyle name="40% - Accent1 11" xfId="8955" hidden="1"/>
    <cellStyle name="40% - Accent1 11" xfId="9871" hidden="1"/>
    <cellStyle name="40% - Accent1 11" xfId="9945" hidden="1"/>
    <cellStyle name="40% - Accent1 11" xfId="10021" hidden="1"/>
    <cellStyle name="40% - Accent1 11" xfId="10099" hidden="1"/>
    <cellStyle name="40% - Accent1 11" xfId="10684" hidden="1"/>
    <cellStyle name="40% - Accent1 11" xfId="10760" hidden="1"/>
    <cellStyle name="40% - Accent1 11" xfId="10839" hidden="1"/>
    <cellStyle name="40% - Accent1 11" xfId="10866" hidden="1"/>
    <cellStyle name="40% - Accent1 11" xfId="10410" hidden="1"/>
    <cellStyle name="40% - Accent1 11" xfId="10587" hidden="1"/>
    <cellStyle name="40% - Accent1 11" xfId="11279" hidden="1"/>
    <cellStyle name="40% - Accent1 11" xfId="11355" hidden="1"/>
    <cellStyle name="40% - Accent1 11" xfId="11433" hidden="1"/>
    <cellStyle name="40% - Accent1 11" xfId="11458" hidden="1"/>
    <cellStyle name="40% - Accent1 11" xfId="10341" hidden="1"/>
    <cellStyle name="40% - Accent1 11" xfId="10505" hidden="1"/>
    <cellStyle name="40% - Accent1 11" xfId="11811" hidden="1"/>
    <cellStyle name="40% - Accent1 11" xfId="11887" hidden="1"/>
    <cellStyle name="40% - Accent1 11" xfId="11965" hidden="1"/>
    <cellStyle name="40% - Accent1 11" xfId="12148" hidden="1"/>
    <cellStyle name="40% - Accent1 11" xfId="12224" hidden="1"/>
    <cellStyle name="40% - Accent1 11" xfId="12302" hidden="1"/>
    <cellStyle name="40% - Accent1 11" xfId="12485" hidden="1"/>
    <cellStyle name="40% - Accent1 11" xfId="12561" hidden="1"/>
    <cellStyle name="40% - Accent1 11" xfId="12663" hidden="1"/>
    <cellStyle name="40% - Accent1 11" xfId="12737" hidden="1"/>
    <cellStyle name="40% - Accent1 11" xfId="12813" hidden="1"/>
    <cellStyle name="40% - Accent1 11" xfId="12891" hidden="1"/>
    <cellStyle name="40% - Accent1 11" xfId="13476" hidden="1"/>
    <cellStyle name="40% - Accent1 11" xfId="13552" hidden="1"/>
    <cellStyle name="40% - Accent1 11" xfId="13631" hidden="1"/>
    <cellStyle name="40% - Accent1 11" xfId="13658" hidden="1"/>
    <cellStyle name="40% - Accent1 11" xfId="13202" hidden="1"/>
    <cellStyle name="40% - Accent1 11" xfId="13379" hidden="1"/>
    <cellStyle name="40% - Accent1 11" xfId="14071" hidden="1"/>
    <cellStyle name="40% - Accent1 11" xfId="14147" hidden="1"/>
    <cellStyle name="40% - Accent1 11" xfId="14225" hidden="1"/>
    <cellStyle name="40% - Accent1 11" xfId="14250" hidden="1"/>
    <cellStyle name="40% - Accent1 11" xfId="13133" hidden="1"/>
    <cellStyle name="40% - Accent1 11" xfId="13297" hidden="1"/>
    <cellStyle name="40% - Accent1 11" xfId="14603" hidden="1"/>
    <cellStyle name="40% - Accent1 11" xfId="14679" hidden="1"/>
    <cellStyle name="40% - Accent1 11" xfId="14757" hidden="1"/>
    <cellStyle name="40% - Accent1 11" xfId="14940" hidden="1"/>
    <cellStyle name="40% - Accent1 11" xfId="15016" hidden="1"/>
    <cellStyle name="40% - Accent1 11" xfId="15094" hidden="1"/>
    <cellStyle name="40% - Accent1 11" xfId="15277" hidden="1"/>
    <cellStyle name="40% - Accent1 11" xfId="15353" hidden="1"/>
    <cellStyle name="40% - Accent1 11" xfId="9581" hidden="1"/>
    <cellStyle name="40% - Accent1 11" xfId="9466" hidden="1"/>
    <cellStyle name="40% - Accent1 11" xfId="9356" hidden="1"/>
    <cellStyle name="40% - Accent1 11" xfId="9241" hidden="1"/>
    <cellStyle name="40% - Accent1 11" xfId="6986" hidden="1"/>
    <cellStyle name="40% - Accent1 11" xfId="6899" hidden="1"/>
    <cellStyle name="40% - Accent1 11" xfId="6806" hidden="1"/>
    <cellStyle name="40% - Accent1 11" xfId="6768" hidden="1"/>
    <cellStyle name="40% - Accent1 11" xfId="7958" hidden="1"/>
    <cellStyle name="40% - Accent1 11" xfId="7328" hidden="1"/>
    <cellStyle name="40% - Accent1 11" xfId="4841" hidden="1"/>
    <cellStyle name="40% - Accent1 11" xfId="4674" hidden="1"/>
    <cellStyle name="40% - Accent1 11" xfId="4422" hidden="1"/>
    <cellStyle name="40% - Accent1 11" xfId="4312" hidden="1"/>
    <cellStyle name="40% - Accent1 11" xfId="8159" hidden="1"/>
    <cellStyle name="40% - Accent1 11" xfId="7521" hidden="1"/>
    <cellStyle name="40% - Accent1 11" xfId="2709" hidden="1"/>
    <cellStyle name="40% - Accent1 11" xfId="2506" hidden="1"/>
    <cellStyle name="40% - Accent1 11" xfId="2329" hidden="1"/>
    <cellStyle name="40% - Accent1 11" xfId="1366" hidden="1"/>
    <cellStyle name="40% - Accent1 11" xfId="1182" hidden="1"/>
    <cellStyle name="40% - Accent1 11" xfId="938" hidden="1"/>
    <cellStyle name="40% - Accent1 11" xfId="15419" hidden="1"/>
    <cellStyle name="40% - Accent1 11" xfId="15527" hidden="1"/>
    <cellStyle name="40% - Accent1 11" xfId="16212" hidden="1"/>
    <cellStyle name="40% - Accent1 11" xfId="16286" hidden="1"/>
    <cellStyle name="40% - Accent1 11" xfId="16362" hidden="1"/>
    <cellStyle name="40% - Accent1 11" xfId="16440" hidden="1"/>
    <cellStyle name="40% - Accent1 11" xfId="17025" hidden="1"/>
    <cellStyle name="40% - Accent1 11" xfId="17101" hidden="1"/>
    <cellStyle name="40% - Accent1 11" xfId="17180" hidden="1"/>
    <cellStyle name="40% - Accent1 11" xfId="17207" hidden="1"/>
    <cellStyle name="40% - Accent1 11" xfId="16751" hidden="1"/>
    <cellStyle name="40% - Accent1 11" xfId="16928" hidden="1"/>
    <cellStyle name="40% - Accent1 11" xfId="17620" hidden="1"/>
    <cellStyle name="40% - Accent1 11" xfId="17696" hidden="1"/>
    <cellStyle name="40% - Accent1 11" xfId="17774" hidden="1"/>
    <cellStyle name="40% - Accent1 11" xfId="17799" hidden="1"/>
    <cellStyle name="40% - Accent1 11" xfId="16682" hidden="1"/>
    <cellStyle name="40% - Accent1 11" xfId="16846" hidden="1"/>
    <cellStyle name="40% - Accent1 11" xfId="18152" hidden="1"/>
    <cellStyle name="40% - Accent1 11" xfId="18228" hidden="1"/>
    <cellStyle name="40% - Accent1 11" xfId="18306" hidden="1"/>
    <cellStyle name="40% - Accent1 11" xfId="18489" hidden="1"/>
    <cellStyle name="40% - Accent1 11" xfId="18565" hidden="1"/>
    <cellStyle name="40% - Accent1 11" xfId="18643" hidden="1"/>
    <cellStyle name="40% - Accent1 11" xfId="18826" hidden="1"/>
    <cellStyle name="40% - Accent1 11" xfId="18902" hidden="1"/>
    <cellStyle name="40% - Accent1 11" xfId="19004" hidden="1"/>
    <cellStyle name="40% - Accent1 11" xfId="19078" hidden="1"/>
    <cellStyle name="40% - Accent1 11" xfId="19154" hidden="1"/>
    <cellStyle name="40% - Accent1 11" xfId="19232" hidden="1"/>
    <cellStyle name="40% - Accent1 11" xfId="19817" hidden="1"/>
    <cellStyle name="40% - Accent1 11" xfId="19893" hidden="1"/>
    <cellStyle name="40% - Accent1 11" xfId="19972" hidden="1"/>
    <cellStyle name="40% - Accent1 11" xfId="19999" hidden="1"/>
    <cellStyle name="40% - Accent1 11" xfId="19543" hidden="1"/>
    <cellStyle name="40% - Accent1 11" xfId="19720" hidden="1"/>
    <cellStyle name="40% - Accent1 11" xfId="20412" hidden="1"/>
    <cellStyle name="40% - Accent1 11" xfId="20488" hidden="1"/>
    <cellStyle name="40% - Accent1 11" xfId="20566" hidden="1"/>
    <cellStyle name="40% - Accent1 11" xfId="20591" hidden="1"/>
    <cellStyle name="40% - Accent1 11" xfId="19474" hidden="1"/>
    <cellStyle name="40% - Accent1 11" xfId="19638" hidden="1"/>
    <cellStyle name="40% - Accent1 11" xfId="20944" hidden="1"/>
    <cellStyle name="40% - Accent1 11" xfId="21020" hidden="1"/>
    <cellStyle name="40% - Accent1 11" xfId="21098" hidden="1"/>
    <cellStyle name="40% - Accent1 11" xfId="21281" hidden="1"/>
    <cellStyle name="40% - Accent1 11" xfId="21357" hidden="1"/>
    <cellStyle name="40% - Accent1 11" xfId="21435" hidden="1"/>
    <cellStyle name="40% - Accent1 11" xfId="21618" hidden="1"/>
    <cellStyle name="40% - Accent1 11" xfId="21694" hidden="1"/>
    <cellStyle name="40% - Accent1 11" xfId="15979" hidden="1"/>
    <cellStyle name="40% - Accent1 11" xfId="15905" hidden="1"/>
    <cellStyle name="40% - Accent1 11" xfId="15825" hidden="1"/>
    <cellStyle name="40% - Accent1 11" xfId="15740" hidden="1"/>
    <cellStyle name="40% - Accent1 11" xfId="7959" hidden="1"/>
    <cellStyle name="40% - Accent1 11" xfId="7757" hidden="1"/>
    <cellStyle name="40% - Accent1 11" xfId="7473" hidden="1"/>
    <cellStyle name="40% - Accent1 11" xfId="7421" hidden="1"/>
    <cellStyle name="40% - Accent1 11" xfId="8851" hidden="1"/>
    <cellStyle name="40% - Accent1 11" xfId="8179" hidden="1"/>
    <cellStyle name="40% - Accent1 11" xfId="5287" hidden="1"/>
    <cellStyle name="40% - Accent1 11" xfId="5086" hidden="1"/>
    <cellStyle name="40% - Accent1 11" xfId="4980" hidden="1"/>
    <cellStyle name="40% - Accent1 11" xfId="4944" hidden="1"/>
    <cellStyle name="40% - Accent1 11" xfId="9082" hidden="1"/>
    <cellStyle name="40% - Accent1 11" xfId="8445" hidden="1"/>
    <cellStyle name="40% - Accent1 11" xfId="3025" hidden="1"/>
    <cellStyle name="40% - Accent1 11" xfId="2894" hidden="1"/>
    <cellStyle name="40% - Accent1 11" xfId="2671" hidden="1"/>
    <cellStyle name="40% - Accent1 11" xfId="1518" hidden="1"/>
    <cellStyle name="40% - Accent1 11" xfId="1341" hidden="1"/>
    <cellStyle name="40% - Accent1 11" xfId="1106" hidden="1"/>
    <cellStyle name="40% - Accent1 11" xfId="21754" hidden="1"/>
    <cellStyle name="40% - Accent1 11" xfId="21834" hidden="1"/>
    <cellStyle name="40% - Accent1 11" xfId="22363" hidden="1"/>
    <cellStyle name="40% - Accent1 11" xfId="22437" hidden="1"/>
    <cellStyle name="40% - Accent1 11" xfId="22513" hidden="1"/>
    <cellStyle name="40% - Accent1 11" xfId="22591" hidden="1"/>
    <cellStyle name="40% - Accent1 11" xfId="23176" hidden="1"/>
    <cellStyle name="40% - Accent1 11" xfId="23252" hidden="1"/>
    <cellStyle name="40% - Accent1 11" xfId="23331" hidden="1"/>
    <cellStyle name="40% - Accent1 11" xfId="23358" hidden="1"/>
    <cellStyle name="40% - Accent1 11" xfId="22902" hidden="1"/>
    <cellStyle name="40% - Accent1 11" xfId="23079" hidden="1"/>
    <cellStyle name="40% - Accent1 11" xfId="23771" hidden="1"/>
    <cellStyle name="40% - Accent1 11" xfId="23847" hidden="1"/>
    <cellStyle name="40% - Accent1 11" xfId="23925" hidden="1"/>
    <cellStyle name="40% - Accent1 11" xfId="23950" hidden="1"/>
    <cellStyle name="40% - Accent1 11" xfId="22833" hidden="1"/>
    <cellStyle name="40% - Accent1 11" xfId="22997" hidden="1"/>
    <cellStyle name="40% - Accent1 11" xfId="24303" hidden="1"/>
    <cellStyle name="40% - Accent1 11" xfId="24379" hidden="1"/>
    <cellStyle name="40% - Accent1 11" xfId="24457" hidden="1"/>
    <cellStyle name="40% - Accent1 11" xfId="24640" hidden="1"/>
    <cellStyle name="40% - Accent1 11" xfId="24716" hidden="1"/>
    <cellStyle name="40% - Accent1 11" xfId="24794" hidden="1"/>
    <cellStyle name="40% - Accent1 11" xfId="24977" hidden="1"/>
    <cellStyle name="40% - Accent1 11" xfId="25053" hidden="1"/>
    <cellStyle name="40% - Accent1 11" xfId="25155" hidden="1"/>
    <cellStyle name="40% - Accent1 11" xfId="25229" hidden="1"/>
    <cellStyle name="40% - Accent1 11" xfId="25305" hidden="1"/>
    <cellStyle name="40% - Accent1 11" xfId="25383" hidden="1"/>
    <cellStyle name="40% - Accent1 11" xfId="25968" hidden="1"/>
    <cellStyle name="40% - Accent1 11" xfId="26044" hidden="1"/>
    <cellStyle name="40% - Accent1 11" xfId="26123" hidden="1"/>
    <cellStyle name="40% - Accent1 11" xfId="26150" hidden="1"/>
    <cellStyle name="40% - Accent1 11" xfId="25694" hidden="1"/>
    <cellStyle name="40% - Accent1 11" xfId="25871" hidden="1"/>
    <cellStyle name="40% - Accent1 11" xfId="26563" hidden="1"/>
    <cellStyle name="40% - Accent1 11" xfId="26639" hidden="1"/>
    <cellStyle name="40% - Accent1 11" xfId="26717" hidden="1"/>
    <cellStyle name="40% - Accent1 11" xfId="26742" hidden="1"/>
    <cellStyle name="40% - Accent1 11" xfId="25625" hidden="1"/>
    <cellStyle name="40% - Accent1 11" xfId="25789" hidden="1"/>
    <cellStyle name="40% - Accent1 11" xfId="27095" hidden="1"/>
    <cellStyle name="40% - Accent1 11" xfId="27171" hidden="1"/>
    <cellStyle name="40% - Accent1 11" xfId="27249" hidden="1"/>
    <cellStyle name="40% - Accent1 11" xfId="27432" hidden="1"/>
    <cellStyle name="40% - Accent1 11" xfId="27508" hidden="1"/>
    <cellStyle name="40% - Accent1 11" xfId="27586" hidden="1"/>
    <cellStyle name="40% - Accent1 11" xfId="27769" hidden="1"/>
    <cellStyle name="40% - Accent1 11" xfId="27845" hidden="1"/>
    <cellStyle name="40% - Accent1 11" xfId="22232" hidden="1"/>
    <cellStyle name="40% - Accent1 11" xfId="22158" hidden="1"/>
    <cellStyle name="40% - Accent1 11" xfId="22078" hidden="1"/>
    <cellStyle name="40% - Accent1 11" xfId="21994" hidden="1"/>
    <cellStyle name="40% - Accent1 11" xfId="8865" hidden="1"/>
    <cellStyle name="40% - Accent1 11" xfId="8650" hidden="1"/>
    <cellStyle name="40% - Accent1 11" xfId="8421" hidden="1"/>
    <cellStyle name="40% - Accent1 11" xfId="8372" hidden="1"/>
    <cellStyle name="40% - Accent1 11" xfId="15464" hidden="1"/>
    <cellStyle name="40% - Accent1 11" xfId="9103" hidden="1"/>
    <cellStyle name="40% - Accent1 11" xfId="5839" hidden="1"/>
    <cellStyle name="40% - Accent1 11" xfId="5593" hidden="1"/>
    <cellStyle name="40% - Accent1 11" xfId="5498" hidden="1"/>
    <cellStyle name="40% - Accent1 11" xfId="5465" hidden="1"/>
    <cellStyle name="40% - Accent1 11" xfId="15608" hidden="1"/>
    <cellStyle name="40% - Accent1 11" xfId="9505" hidden="1"/>
    <cellStyle name="40% - Accent1 11" xfId="3356" hidden="1"/>
    <cellStyle name="40% - Accent1 11" xfId="3165" hidden="1"/>
    <cellStyle name="40% - Accent1 11" xfId="3007" hidden="1"/>
    <cellStyle name="40% - Accent1 11" xfId="1652" hidden="1"/>
    <cellStyle name="40% - Accent1 11" xfId="1504" hidden="1"/>
    <cellStyle name="40% - Accent1 11" xfId="1242" hidden="1"/>
    <cellStyle name="40% - Accent1 11" xfId="27904" hidden="1"/>
    <cellStyle name="40% - Accent1 11" xfId="27980" hidden="1"/>
    <cellStyle name="40% - Accent1 11" xfId="28082" hidden="1"/>
    <cellStyle name="40% - Accent1 11" xfId="28156" hidden="1"/>
    <cellStyle name="40% - Accent1 11" xfId="28232" hidden="1"/>
    <cellStyle name="40% - Accent1 11" xfId="28310" hidden="1"/>
    <cellStyle name="40% - Accent1 11" xfId="28895" hidden="1"/>
    <cellStyle name="40% - Accent1 11" xfId="28971" hidden="1"/>
    <cellStyle name="40% - Accent1 11" xfId="29050" hidden="1"/>
    <cellStyle name="40% - Accent1 11" xfId="29077" hidden="1"/>
    <cellStyle name="40% - Accent1 11" xfId="28621" hidden="1"/>
    <cellStyle name="40% - Accent1 11" xfId="28798" hidden="1"/>
    <cellStyle name="40% - Accent1 11" xfId="29490" hidden="1"/>
    <cellStyle name="40% - Accent1 11" xfId="29566" hidden="1"/>
    <cellStyle name="40% - Accent1 11" xfId="29644" hidden="1"/>
    <cellStyle name="40% - Accent1 11" xfId="29669" hidden="1"/>
    <cellStyle name="40% - Accent1 11" xfId="28552" hidden="1"/>
    <cellStyle name="40% - Accent1 11" xfId="28716" hidden="1"/>
    <cellStyle name="40% - Accent1 11" xfId="30022" hidden="1"/>
    <cellStyle name="40% - Accent1 11" xfId="30098" hidden="1"/>
    <cellStyle name="40% - Accent1 11" xfId="30176" hidden="1"/>
    <cellStyle name="40% - Accent1 11" xfId="30359" hidden="1"/>
    <cellStyle name="40% - Accent1 11" xfId="30435" hidden="1"/>
    <cellStyle name="40% - Accent1 11" xfId="30513" hidden="1"/>
    <cellStyle name="40% - Accent1 11" xfId="30696" hidden="1"/>
    <cellStyle name="40% - Accent1 11" xfId="30772" hidden="1"/>
    <cellStyle name="40% - Accent1 11" xfId="30874" hidden="1"/>
    <cellStyle name="40% - Accent1 11" xfId="30948" hidden="1"/>
    <cellStyle name="40% - Accent1 11" xfId="31024" hidden="1"/>
    <cellStyle name="40% - Accent1 11" xfId="31102" hidden="1"/>
    <cellStyle name="40% - Accent1 11" xfId="31687" hidden="1"/>
    <cellStyle name="40% - Accent1 11" xfId="31763" hidden="1"/>
    <cellStyle name="40% - Accent1 11" xfId="31842" hidden="1"/>
    <cellStyle name="40% - Accent1 11" xfId="31869" hidden="1"/>
    <cellStyle name="40% - Accent1 11" xfId="31413" hidden="1"/>
    <cellStyle name="40% - Accent1 11" xfId="31590" hidden="1"/>
    <cellStyle name="40% - Accent1 11" xfId="32282" hidden="1"/>
    <cellStyle name="40% - Accent1 11" xfId="32358" hidden="1"/>
    <cellStyle name="40% - Accent1 11" xfId="32436" hidden="1"/>
    <cellStyle name="40% - Accent1 11" xfId="32461" hidden="1"/>
    <cellStyle name="40% - Accent1 11" xfId="31344" hidden="1"/>
    <cellStyle name="40% - Accent1 11" xfId="31508" hidden="1"/>
    <cellStyle name="40% - Accent1 11" xfId="32814" hidden="1"/>
    <cellStyle name="40% - Accent1 11" xfId="32890" hidden="1"/>
    <cellStyle name="40% - Accent1 11" xfId="32968" hidden="1"/>
    <cellStyle name="40% - Accent1 11" xfId="33151" hidden="1"/>
    <cellStyle name="40% - Accent1 11" xfId="33227" hidden="1"/>
    <cellStyle name="40% - Accent1 11" xfId="33305" hidden="1"/>
    <cellStyle name="40% - Accent1 11" xfId="33488" hidden="1"/>
    <cellStyle name="40% - Accent1 11" xfId="33564" hidden="1"/>
    <cellStyle name="40% - Accent1 12" xfId="196" hidden="1"/>
    <cellStyle name="40% - Accent1 12" xfId="274" hidden="1"/>
    <cellStyle name="40% - Accent1 12" xfId="413" hidden="1"/>
    <cellStyle name="40% - Accent1 12" xfId="730" hidden="1"/>
    <cellStyle name="40% - Accent1 12" xfId="2443" hidden="1"/>
    <cellStyle name="40% - Accent1 12" xfId="2595" hidden="1"/>
    <cellStyle name="40% - Accent1 12" xfId="2801" hidden="1"/>
    <cellStyle name="40% - Accent1 12" xfId="3057" hidden="1"/>
    <cellStyle name="40% - Accent1 12" xfId="2062" hidden="1"/>
    <cellStyle name="40% - Accent1 12" xfId="1963" hidden="1"/>
    <cellStyle name="40% - Accent1 12" xfId="4416" hidden="1"/>
    <cellStyle name="40% - Accent1 12" xfId="4611" hidden="1"/>
    <cellStyle name="40% - Accent1 12" xfId="4774" hidden="1"/>
    <cellStyle name="40% - Accent1 12" xfId="4936" hidden="1"/>
    <cellStyle name="40% - Accent1 12" xfId="2246" hidden="1"/>
    <cellStyle name="40% - Accent1 12" xfId="1853" hidden="1"/>
    <cellStyle name="40% - Accent1 12" xfId="6386" hidden="1"/>
    <cellStyle name="40% - Accent1 12" xfId="6490" hidden="1"/>
    <cellStyle name="40% - Accent1 12" xfId="6688" hidden="1"/>
    <cellStyle name="40% - Accent1 12" xfId="7564" hidden="1"/>
    <cellStyle name="40% - Accent1 12" xfId="7706" hidden="1"/>
    <cellStyle name="40% - Accent1 12" xfId="7882" hidden="1"/>
    <cellStyle name="40% - Accent1 12" xfId="8803" hidden="1"/>
    <cellStyle name="40% - Accent1 12" xfId="8972" hidden="1"/>
    <cellStyle name="40% - Accent1 12" xfId="9884" hidden="1"/>
    <cellStyle name="40% - Accent1 12" xfId="9959" hidden="1"/>
    <cellStyle name="40% - Accent1 12" xfId="10034" hidden="1"/>
    <cellStyle name="40% - Accent1 12" xfId="10112" hidden="1"/>
    <cellStyle name="40% - Accent1 12" xfId="10698" hidden="1"/>
    <cellStyle name="40% - Accent1 12" xfId="10773" hidden="1"/>
    <cellStyle name="40% - Accent1 12" xfId="10852" hidden="1"/>
    <cellStyle name="40% - Accent1 12" xfId="10913" hidden="1"/>
    <cellStyle name="40% - Accent1 12" xfId="10525" hidden="1"/>
    <cellStyle name="40% - Accent1 12" xfId="10485" hidden="1"/>
    <cellStyle name="40% - Accent1 12" xfId="11293" hidden="1"/>
    <cellStyle name="40% - Accent1 12" xfId="11368" hidden="1"/>
    <cellStyle name="40% - Accent1 12" xfId="11446" hidden="1"/>
    <cellStyle name="40% - Accent1 12" xfId="11494" hidden="1"/>
    <cellStyle name="40% - Accent1 12" xfId="10591" hidden="1"/>
    <cellStyle name="40% - Accent1 12" xfId="10430" hidden="1"/>
    <cellStyle name="40% - Accent1 12" xfId="11825" hidden="1"/>
    <cellStyle name="40% - Accent1 12" xfId="11900" hidden="1"/>
    <cellStyle name="40% - Accent1 12" xfId="11978" hidden="1"/>
    <cellStyle name="40% - Accent1 12" xfId="12162" hidden="1"/>
    <cellStyle name="40% - Accent1 12" xfId="12237" hidden="1"/>
    <cellStyle name="40% - Accent1 12" xfId="12315" hidden="1"/>
    <cellStyle name="40% - Accent1 12" xfId="12499" hidden="1"/>
    <cellStyle name="40% - Accent1 12" xfId="12574" hidden="1"/>
    <cellStyle name="40% - Accent1 12" xfId="12676" hidden="1"/>
    <cellStyle name="40% - Accent1 12" xfId="12751" hidden="1"/>
    <cellStyle name="40% - Accent1 12" xfId="12826" hidden="1"/>
    <cellStyle name="40% - Accent1 12" xfId="12904" hidden="1"/>
    <cellStyle name="40% - Accent1 12" xfId="13490" hidden="1"/>
    <cellStyle name="40% - Accent1 12" xfId="13565" hidden="1"/>
    <cellStyle name="40% - Accent1 12" xfId="13644" hidden="1"/>
    <cellStyle name="40% - Accent1 12" xfId="13705" hidden="1"/>
    <cellStyle name="40% - Accent1 12" xfId="13317" hidden="1"/>
    <cellStyle name="40% - Accent1 12" xfId="13277" hidden="1"/>
    <cellStyle name="40% - Accent1 12" xfId="14085" hidden="1"/>
    <cellStyle name="40% - Accent1 12" xfId="14160" hidden="1"/>
    <cellStyle name="40% - Accent1 12" xfId="14238" hidden="1"/>
    <cellStyle name="40% - Accent1 12" xfId="14286" hidden="1"/>
    <cellStyle name="40% - Accent1 12" xfId="13383" hidden="1"/>
    <cellStyle name="40% - Accent1 12" xfId="13222" hidden="1"/>
    <cellStyle name="40% - Accent1 12" xfId="14617" hidden="1"/>
    <cellStyle name="40% - Accent1 12" xfId="14692" hidden="1"/>
    <cellStyle name="40% - Accent1 12" xfId="14770" hidden="1"/>
    <cellStyle name="40% - Accent1 12" xfId="14954" hidden="1"/>
    <cellStyle name="40% - Accent1 12" xfId="15029" hidden="1"/>
    <cellStyle name="40% - Accent1 12" xfId="15107" hidden="1"/>
    <cellStyle name="40% - Accent1 12" xfId="15291" hidden="1"/>
    <cellStyle name="40% - Accent1 12" xfId="15366" hidden="1"/>
    <cellStyle name="40% - Accent1 12" xfId="9565" hidden="1"/>
    <cellStyle name="40% - Accent1 12" xfId="9452" hidden="1"/>
    <cellStyle name="40% - Accent1 12" xfId="9340" hidden="1"/>
    <cellStyle name="40% - Accent1 12" xfId="9223" hidden="1"/>
    <cellStyle name="40% - Accent1 12" xfId="6970" hidden="1"/>
    <cellStyle name="40% - Accent1 12" xfId="6885" hidden="1"/>
    <cellStyle name="40% - Accent1 12" xfId="6791" hidden="1"/>
    <cellStyle name="40% - Accent1 12" xfId="6437" hidden="1"/>
    <cellStyle name="40% - Accent1 12" xfId="7446" hidden="1"/>
    <cellStyle name="40% - Accent1 12" xfId="7618" hidden="1"/>
    <cellStyle name="40% - Accent1 12" xfId="4822" hidden="1"/>
    <cellStyle name="40% - Accent1 12" xfId="4658" hidden="1"/>
    <cellStyle name="40% - Accent1 12" xfId="4369" hidden="1"/>
    <cellStyle name="40% - Accent1 12" xfId="4261" hidden="1"/>
    <cellStyle name="40% - Accent1 12" xfId="7311" hidden="1"/>
    <cellStyle name="40% - Accent1 12" xfId="7885" hidden="1"/>
    <cellStyle name="40% - Accent1 12" xfId="2684" hidden="1"/>
    <cellStyle name="40% - Accent1 12" xfId="2489" hidden="1"/>
    <cellStyle name="40% - Accent1 12" xfId="2313" hidden="1"/>
    <cellStyle name="40% - Accent1 12" xfId="1345" hidden="1"/>
    <cellStyle name="40% - Accent1 12" xfId="1166" hidden="1"/>
    <cellStyle name="40% - Accent1 12" xfId="924" hidden="1"/>
    <cellStyle name="40% - Accent1 12" xfId="15436" hidden="1"/>
    <cellStyle name="40% - Accent1 12" xfId="15543" hidden="1"/>
    <cellStyle name="40% - Accent1 12" xfId="16225" hidden="1"/>
    <cellStyle name="40% - Accent1 12" xfId="16300" hidden="1"/>
    <cellStyle name="40% - Accent1 12" xfId="16375" hidden="1"/>
    <cellStyle name="40% - Accent1 12" xfId="16453" hidden="1"/>
    <cellStyle name="40% - Accent1 12" xfId="17039" hidden="1"/>
    <cellStyle name="40% - Accent1 12" xfId="17114" hidden="1"/>
    <cellStyle name="40% - Accent1 12" xfId="17193" hidden="1"/>
    <cellStyle name="40% - Accent1 12" xfId="17254" hidden="1"/>
    <cellStyle name="40% - Accent1 12" xfId="16866" hidden="1"/>
    <cellStyle name="40% - Accent1 12" xfId="16826" hidden="1"/>
    <cellStyle name="40% - Accent1 12" xfId="17634" hidden="1"/>
    <cellStyle name="40% - Accent1 12" xfId="17709" hidden="1"/>
    <cellStyle name="40% - Accent1 12" xfId="17787" hidden="1"/>
    <cellStyle name="40% - Accent1 12" xfId="17835" hidden="1"/>
    <cellStyle name="40% - Accent1 12" xfId="16932" hidden="1"/>
    <cellStyle name="40% - Accent1 12" xfId="16771" hidden="1"/>
    <cellStyle name="40% - Accent1 12" xfId="18166" hidden="1"/>
    <cellStyle name="40% - Accent1 12" xfId="18241" hidden="1"/>
    <cellStyle name="40% - Accent1 12" xfId="18319" hidden="1"/>
    <cellStyle name="40% - Accent1 12" xfId="18503" hidden="1"/>
    <cellStyle name="40% - Accent1 12" xfId="18578" hidden="1"/>
    <cellStyle name="40% - Accent1 12" xfId="18656" hidden="1"/>
    <cellStyle name="40% - Accent1 12" xfId="18840" hidden="1"/>
    <cellStyle name="40% - Accent1 12" xfId="18915" hidden="1"/>
    <cellStyle name="40% - Accent1 12" xfId="19017" hidden="1"/>
    <cellStyle name="40% - Accent1 12" xfId="19092" hidden="1"/>
    <cellStyle name="40% - Accent1 12" xfId="19167" hidden="1"/>
    <cellStyle name="40% - Accent1 12" xfId="19245" hidden="1"/>
    <cellStyle name="40% - Accent1 12" xfId="19831" hidden="1"/>
    <cellStyle name="40% - Accent1 12" xfId="19906" hidden="1"/>
    <cellStyle name="40% - Accent1 12" xfId="19985" hidden="1"/>
    <cellStyle name="40% - Accent1 12" xfId="20046" hidden="1"/>
    <cellStyle name="40% - Accent1 12" xfId="19658" hidden="1"/>
    <cellStyle name="40% - Accent1 12" xfId="19618" hidden="1"/>
    <cellStyle name="40% - Accent1 12" xfId="20426" hidden="1"/>
    <cellStyle name="40% - Accent1 12" xfId="20501" hidden="1"/>
    <cellStyle name="40% - Accent1 12" xfId="20579" hidden="1"/>
    <cellStyle name="40% - Accent1 12" xfId="20627" hidden="1"/>
    <cellStyle name="40% - Accent1 12" xfId="19724" hidden="1"/>
    <cellStyle name="40% - Accent1 12" xfId="19563" hidden="1"/>
    <cellStyle name="40% - Accent1 12" xfId="20958" hidden="1"/>
    <cellStyle name="40% - Accent1 12" xfId="21033" hidden="1"/>
    <cellStyle name="40% - Accent1 12" xfId="21111" hidden="1"/>
    <cellStyle name="40% - Accent1 12" xfId="21295" hidden="1"/>
    <cellStyle name="40% - Accent1 12" xfId="21370" hidden="1"/>
    <cellStyle name="40% - Accent1 12" xfId="21448" hidden="1"/>
    <cellStyle name="40% - Accent1 12" xfId="21632" hidden="1"/>
    <cellStyle name="40% - Accent1 12" xfId="21707" hidden="1"/>
    <cellStyle name="40% - Accent1 12" xfId="15966" hidden="1"/>
    <cellStyle name="40% - Accent1 12" xfId="15891" hidden="1"/>
    <cellStyle name="40% - Accent1 12" xfId="15811" hidden="1"/>
    <cellStyle name="40% - Accent1 12" xfId="15725" hidden="1"/>
    <cellStyle name="40% - Accent1 12" xfId="7939" hidden="1"/>
    <cellStyle name="40% - Accent1 12" xfId="7728" hidden="1"/>
    <cellStyle name="40% - Accent1 12" xfId="7456" hidden="1"/>
    <cellStyle name="40% - Accent1 12" xfId="7173" hidden="1"/>
    <cellStyle name="40% - Accent1 12" xfId="8389" hidden="1"/>
    <cellStyle name="40% - Accent1 12" xfId="8490" hidden="1"/>
    <cellStyle name="40% - Accent1 12" xfId="5272" hidden="1"/>
    <cellStyle name="40% - Accent1 12" xfId="5073" hidden="1"/>
    <cellStyle name="40% - Accent1 12" xfId="4965" hidden="1"/>
    <cellStyle name="40% - Accent1 12" xfId="4781" hidden="1"/>
    <cellStyle name="40% - Accent1 12" xfId="8173" hidden="1"/>
    <cellStyle name="40% - Accent1 12" xfId="8729" hidden="1"/>
    <cellStyle name="40% - Accent1 12" xfId="3003" hidden="1"/>
    <cellStyle name="40% - Accent1 12" xfId="2875" hidden="1"/>
    <cellStyle name="40% - Accent1 12" xfId="2643" hidden="1"/>
    <cellStyle name="40% - Accent1 12" xfId="1497" hidden="1"/>
    <cellStyle name="40% - Accent1 12" xfId="1312" hidden="1"/>
    <cellStyle name="40% - Accent1 12" xfId="1089" hidden="1"/>
    <cellStyle name="40% - Accent1 12" xfId="21768" hidden="1"/>
    <cellStyle name="40% - Accent1 12" xfId="21847" hidden="1"/>
    <cellStyle name="40% - Accent1 12" xfId="22376" hidden="1"/>
    <cellStyle name="40% - Accent1 12" xfId="22451" hidden="1"/>
    <cellStyle name="40% - Accent1 12" xfId="22526" hidden="1"/>
    <cellStyle name="40% - Accent1 12" xfId="22604" hidden="1"/>
    <cellStyle name="40% - Accent1 12" xfId="23190" hidden="1"/>
    <cellStyle name="40% - Accent1 12" xfId="23265" hidden="1"/>
    <cellStyle name="40% - Accent1 12" xfId="23344" hidden="1"/>
    <cellStyle name="40% - Accent1 12" xfId="23405" hidden="1"/>
    <cellStyle name="40% - Accent1 12" xfId="23017" hidden="1"/>
    <cellStyle name="40% - Accent1 12" xfId="22977" hidden="1"/>
    <cellStyle name="40% - Accent1 12" xfId="23785" hidden="1"/>
    <cellStyle name="40% - Accent1 12" xfId="23860" hidden="1"/>
    <cellStyle name="40% - Accent1 12" xfId="23938" hidden="1"/>
    <cellStyle name="40% - Accent1 12" xfId="23986" hidden="1"/>
    <cellStyle name="40% - Accent1 12" xfId="23083" hidden="1"/>
    <cellStyle name="40% - Accent1 12" xfId="22922" hidden="1"/>
    <cellStyle name="40% - Accent1 12" xfId="24317" hidden="1"/>
    <cellStyle name="40% - Accent1 12" xfId="24392" hidden="1"/>
    <cellStyle name="40% - Accent1 12" xfId="24470" hidden="1"/>
    <cellStyle name="40% - Accent1 12" xfId="24654" hidden="1"/>
    <cellStyle name="40% - Accent1 12" xfId="24729" hidden="1"/>
    <cellStyle name="40% - Accent1 12" xfId="24807" hidden="1"/>
    <cellStyle name="40% - Accent1 12" xfId="24991" hidden="1"/>
    <cellStyle name="40% - Accent1 12" xfId="25066" hidden="1"/>
    <cellStyle name="40% - Accent1 12" xfId="25168" hidden="1"/>
    <cellStyle name="40% - Accent1 12" xfId="25243" hidden="1"/>
    <cellStyle name="40% - Accent1 12" xfId="25318" hidden="1"/>
    <cellStyle name="40% - Accent1 12" xfId="25396" hidden="1"/>
    <cellStyle name="40% - Accent1 12" xfId="25982" hidden="1"/>
    <cellStyle name="40% - Accent1 12" xfId="26057" hidden="1"/>
    <cellStyle name="40% - Accent1 12" xfId="26136" hidden="1"/>
    <cellStyle name="40% - Accent1 12" xfId="26197" hidden="1"/>
    <cellStyle name="40% - Accent1 12" xfId="25809" hidden="1"/>
    <cellStyle name="40% - Accent1 12" xfId="25769" hidden="1"/>
    <cellStyle name="40% - Accent1 12" xfId="26577" hidden="1"/>
    <cellStyle name="40% - Accent1 12" xfId="26652" hidden="1"/>
    <cellStyle name="40% - Accent1 12" xfId="26730" hidden="1"/>
    <cellStyle name="40% - Accent1 12" xfId="26778" hidden="1"/>
    <cellStyle name="40% - Accent1 12" xfId="25875" hidden="1"/>
    <cellStyle name="40% - Accent1 12" xfId="25714" hidden="1"/>
    <cellStyle name="40% - Accent1 12" xfId="27109" hidden="1"/>
    <cellStyle name="40% - Accent1 12" xfId="27184" hidden="1"/>
    <cellStyle name="40% - Accent1 12" xfId="27262" hidden="1"/>
    <cellStyle name="40% - Accent1 12" xfId="27446" hidden="1"/>
    <cellStyle name="40% - Accent1 12" xfId="27521" hidden="1"/>
    <cellStyle name="40% - Accent1 12" xfId="27599" hidden="1"/>
    <cellStyle name="40% - Accent1 12" xfId="27783" hidden="1"/>
    <cellStyle name="40% - Accent1 12" xfId="27858" hidden="1"/>
    <cellStyle name="40% - Accent1 12" xfId="22219" hidden="1"/>
    <cellStyle name="40% - Accent1 12" xfId="22144" hidden="1"/>
    <cellStyle name="40% - Accent1 12" xfId="22064" hidden="1"/>
    <cellStyle name="40% - Accent1 12" xfId="21981" hidden="1"/>
    <cellStyle name="40% - Accent1 12" xfId="8837" hidden="1"/>
    <cellStyle name="40% - Accent1 12" xfId="8544" hidden="1"/>
    <cellStyle name="40% - Accent1 12" xfId="8407" hidden="1"/>
    <cellStyle name="40% - Accent1 12" xfId="8104" hidden="1"/>
    <cellStyle name="40% - Accent1 12" xfId="9425" hidden="1"/>
    <cellStyle name="40% - Accent1 12" xfId="9544" hidden="1"/>
    <cellStyle name="40% - Accent1 12" xfId="5816" hidden="1"/>
    <cellStyle name="40% - Accent1 12" xfId="5578" hidden="1"/>
    <cellStyle name="40% - Accent1 12" xfId="5484" hidden="1"/>
    <cellStyle name="40% - Accent1 12" xfId="5140" hidden="1"/>
    <cellStyle name="40% - Accent1 12" xfId="9097" hidden="1"/>
    <cellStyle name="40% - Accent1 12" xfId="9796" hidden="1"/>
    <cellStyle name="40% - Accent1 12" xfId="3339" hidden="1"/>
    <cellStyle name="40% - Accent1 12" xfId="3150" hidden="1"/>
    <cellStyle name="40% - Accent1 12" xfId="2971" hidden="1"/>
    <cellStyle name="40% - Accent1 12" xfId="1635" hidden="1"/>
    <cellStyle name="40% - Accent1 12" xfId="1468" hidden="1"/>
    <cellStyle name="40% - Accent1 12" xfId="1213" hidden="1"/>
    <cellStyle name="40% - Accent1 12" xfId="27918" hidden="1"/>
    <cellStyle name="40% - Accent1 12" xfId="27993" hidden="1"/>
    <cellStyle name="40% - Accent1 12" xfId="28095" hidden="1"/>
    <cellStyle name="40% - Accent1 12" xfId="28170" hidden="1"/>
    <cellStyle name="40% - Accent1 12" xfId="28245" hidden="1"/>
    <cellStyle name="40% - Accent1 12" xfId="28323" hidden="1"/>
    <cellStyle name="40% - Accent1 12" xfId="28909" hidden="1"/>
    <cellStyle name="40% - Accent1 12" xfId="28984" hidden="1"/>
    <cellStyle name="40% - Accent1 12" xfId="29063" hidden="1"/>
    <cellStyle name="40% - Accent1 12" xfId="29124" hidden="1"/>
    <cellStyle name="40% - Accent1 12" xfId="28736" hidden="1"/>
    <cellStyle name="40% - Accent1 12" xfId="28696" hidden="1"/>
    <cellStyle name="40% - Accent1 12" xfId="29504" hidden="1"/>
    <cellStyle name="40% - Accent1 12" xfId="29579" hidden="1"/>
    <cellStyle name="40% - Accent1 12" xfId="29657" hidden="1"/>
    <cellStyle name="40% - Accent1 12" xfId="29705" hidden="1"/>
    <cellStyle name="40% - Accent1 12" xfId="28802" hidden="1"/>
    <cellStyle name="40% - Accent1 12" xfId="28641" hidden="1"/>
    <cellStyle name="40% - Accent1 12" xfId="30036" hidden="1"/>
    <cellStyle name="40% - Accent1 12" xfId="30111" hidden="1"/>
    <cellStyle name="40% - Accent1 12" xfId="30189" hidden="1"/>
    <cellStyle name="40% - Accent1 12" xfId="30373" hidden="1"/>
    <cellStyle name="40% - Accent1 12" xfId="30448" hidden="1"/>
    <cellStyle name="40% - Accent1 12" xfId="30526" hidden="1"/>
    <cellStyle name="40% - Accent1 12" xfId="30710" hidden="1"/>
    <cellStyle name="40% - Accent1 12" xfId="30785" hidden="1"/>
    <cellStyle name="40% - Accent1 12" xfId="30887" hidden="1"/>
    <cellStyle name="40% - Accent1 12" xfId="30962" hidden="1"/>
    <cellStyle name="40% - Accent1 12" xfId="31037" hidden="1"/>
    <cellStyle name="40% - Accent1 12" xfId="31115" hidden="1"/>
    <cellStyle name="40% - Accent1 12" xfId="31701" hidden="1"/>
    <cellStyle name="40% - Accent1 12" xfId="31776" hidden="1"/>
    <cellStyle name="40% - Accent1 12" xfId="31855" hidden="1"/>
    <cellStyle name="40% - Accent1 12" xfId="31916" hidden="1"/>
    <cellStyle name="40% - Accent1 12" xfId="31528" hidden="1"/>
    <cellStyle name="40% - Accent1 12" xfId="31488" hidden="1"/>
    <cellStyle name="40% - Accent1 12" xfId="32296" hidden="1"/>
    <cellStyle name="40% - Accent1 12" xfId="32371" hidden="1"/>
    <cellStyle name="40% - Accent1 12" xfId="32449" hidden="1"/>
    <cellStyle name="40% - Accent1 12" xfId="32497" hidden="1"/>
    <cellStyle name="40% - Accent1 12" xfId="31594" hidden="1"/>
    <cellStyle name="40% - Accent1 12" xfId="31433" hidden="1"/>
    <cellStyle name="40% - Accent1 12" xfId="32828" hidden="1"/>
    <cellStyle name="40% - Accent1 12" xfId="32903" hidden="1"/>
    <cellStyle name="40% - Accent1 12" xfId="32981" hidden="1"/>
    <cellStyle name="40% - Accent1 12" xfId="33165" hidden="1"/>
    <cellStyle name="40% - Accent1 12" xfId="33240" hidden="1"/>
    <cellStyle name="40% - Accent1 12" xfId="33318" hidden="1"/>
    <cellStyle name="40% - Accent1 12" xfId="33502" hidden="1"/>
    <cellStyle name="40% - Accent1 12" xfId="33577" hidden="1"/>
    <cellStyle name="40% - Accent1 13" xfId="743" hidden="1"/>
    <cellStyle name="40% - Accent1 13" xfId="945" hidden="1"/>
    <cellStyle name="40% - Accent1 13" xfId="3516" hidden="1"/>
    <cellStyle name="40% - Accent1 13" xfId="4031" hidden="1"/>
    <cellStyle name="40% - Accent1 13" xfId="5350" hidden="1"/>
    <cellStyle name="40% - Accent1 13" xfId="6047" hidden="1"/>
    <cellStyle name="40% - Accent1 13" xfId="7062" hidden="1"/>
    <cellStyle name="40% - Accent1 13" xfId="8265" hidden="1"/>
    <cellStyle name="40% - Accent1 13" xfId="10125" hidden="1"/>
    <cellStyle name="40% - Accent1 13" xfId="10240" hidden="1"/>
    <cellStyle name="40% - Accent1 13" xfId="10963" hidden="1"/>
    <cellStyle name="40% - Accent1 13" xfId="11136" hidden="1"/>
    <cellStyle name="40% - Accent1 13" xfId="11529" hidden="1"/>
    <cellStyle name="40% - Accent1 13" xfId="11677" hidden="1"/>
    <cellStyle name="40% - Accent1 13" xfId="12015" hidden="1"/>
    <cellStyle name="40% - Accent1 13" xfId="12352" hidden="1"/>
    <cellStyle name="40% - Accent1 13" xfId="12917" hidden="1"/>
    <cellStyle name="40% - Accent1 13" xfId="13032" hidden="1"/>
    <cellStyle name="40% - Accent1 13" xfId="13755" hidden="1"/>
    <cellStyle name="40% - Accent1 13" xfId="13928" hidden="1"/>
    <cellStyle name="40% - Accent1 13" xfId="14321" hidden="1"/>
    <cellStyle name="40% - Accent1 13" xfId="14469" hidden="1"/>
    <cellStyle name="40% - Accent1 13" xfId="14807" hidden="1"/>
    <cellStyle name="40% - Accent1 13" xfId="15144" hidden="1"/>
    <cellStyle name="40% - Accent1 13" xfId="9204" hidden="1"/>
    <cellStyle name="40% - Accent1 13" xfId="8662" hidden="1"/>
    <cellStyle name="40% - Accent1 13" xfId="6032" hidden="1"/>
    <cellStyle name="40% - Accent1 13" xfId="5240" hidden="1"/>
    <cellStyle name="40% - Accent1 13" xfId="3958" hidden="1"/>
    <cellStyle name="40% - Accent1 13" xfId="3281" hidden="1"/>
    <cellStyle name="40% - Accent1 13" xfId="1845" hidden="1"/>
    <cellStyle name="40% - Accent1 13" xfId="483" hidden="1"/>
    <cellStyle name="40% - Accent1 13" xfId="16466" hidden="1"/>
    <cellStyle name="40% - Accent1 13" xfId="16581" hidden="1"/>
    <cellStyle name="40% - Accent1 13" xfId="17304" hidden="1"/>
    <cellStyle name="40% - Accent1 13" xfId="17477" hidden="1"/>
    <cellStyle name="40% - Accent1 13" xfId="17870" hidden="1"/>
    <cellStyle name="40% - Accent1 13" xfId="18018" hidden="1"/>
    <cellStyle name="40% - Accent1 13" xfId="18356" hidden="1"/>
    <cellStyle name="40% - Accent1 13" xfId="18693" hidden="1"/>
    <cellStyle name="40% - Accent1 13" xfId="19258" hidden="1"/>
    <cellStyle name="40% - Accent1 13" xfId="19373" hidden="1"/>
    <cellStyle name="40% - Accent1 13" xfId="20096" hidden="1"/>
    <cellStyle name="40% - Accent1 13" xfId="20269" hidden="1"/>
    <cellStyle name="40% - Accent1 13" xfId="20662" hidden="1"/>
    <cellStyle name="40% - Accent1 13" xfId="20810" hidden="1"/>
    <cellStyle name="40% - Accent1 13" xfId="21148" hidden="1"/>
    <cellStyle name="40% - Accent1 13" xfId="21485" hidden="1"/>
    <cellStyle name="40% - Accent1 13" xfId="15712" hidden="1"/>
    <cellStyle name="40% - Accent1 13" xfId="9756" hidden="1"/>
    <cellStyle name="40% - Accent1 13" xfId="6618" hidden="1"/>
    <cellStyle name="40% - Accent1 13" xfId="5773" hidden="1"/>
    <cellStyle name="40% - Accent1 13" xfId="4226" hidden="1"/>
    <cellStyle name="40% - Accent1 13" xfId="3508" hidden="1"/>
    <cellStyle name="40% - Accent1 13" xfId="2020" hidden="1"/>
    <cellStyle name="40% - Accent1 13" xfId="583" hidden="1"/>
    <cellStyle name="40% - Accent1 13" xfId="22617" hidden="1"/>
    <cellStyle name="40% - Accent1 13" xfId="22732" hidden="1"/>
    <cellStyle name="40% - Accent1 13" xfId="23455" hidden="1"/>
    <cellStyle name="40% - Accent1 13" xfId="23628" hidden="1"/>
    <cellStyle name="40% - Accent1 13" xfId="24021" hidden="1"/>
    <cellStyle name="40% - Accent1 13" xfId="24169" hidden="1"/>
    <cellStyle name="40% - Accent1 13" xfId="24507" hidden="1"/>
    <cellStyle name="40% - Accent1 13" xfId="24844" hidden="1"/>
    <cellStyle name="40% - Accent1 13" xfId="25409" hidden="1"/>
    <cellStyle name="40% - Accent1 13" xfId="25524" hidden="1"/>
    <cellStyle name="40% - Accent1 13" xfId="26247" hidden="1"/>
    <cellStyle name="40% - Accent1 13" xfId="26420" hidden="1"/>
    <cellStyle name="40% - Accent1 13" xfId="26813" hidden="1"/>
    <cellStyle name="40% - Accent1 13" xfId="26961" hidden="1"/>
    <cellStyle name="40% - Accent1 13" xfId="27299" hidden="1"/>
    <cellStyle name="40% - Accent1 13" xfId="27636" hidden="1"/>
    <cellStyle name="40% - Accent1 13" xfId="21968" hidden="1"/>
    <cellStyle name="40% - Accent1 13" xfId="16136" hidden="1"/>
    <cellStyle name="40% - Accent1 13" xfId="7320" hidden="1"/>
    <cellStyle name="40% - Accent1 13" xfId="6282" hidden="1"/>
    <cellStyle name="40% - Accent1 13" xfId="4538" hidden="1"/>
    <cellStyle name="40% - Accent1 13" xfId="3763" hidden="1"/>
    <cellStyle name="40% - Accent1 13" xfId="2199" hidden="1"/>
    <cellStyle name="40% - Accent1 13" xfId="725" hidden="1"/>
    <cellStyle name="40% - Accent1 13" xfId="28336" hidden="1"/>
    <cellStyle name="40% - Accent1 13" xfId="28451" hidden="1"/>
    <cellStyle name="40% - Accent1 13" xfId="29174" hidden="1"/>
    <cellStyle name="40% - Accent1 13" xfId="29347" hidden="1"/>
    <cellStyle name="40% - Accent1 13" xfId="29740" hidden="1"/>
    <cellStyle name="40% - Accent1 13" xfId="29888" hidden="1"/>
    <cellStyle name="40% - Accent1 13" xfId="30226" hidden="1"/>
    <cellStyle name="40% - Accent1 13" xfId="30563" hidden="1"/>
    <cellStyle name="40% - Accent1 13" xfId="31128" hidden="1"/>
    <cellStyle name="40% - Accent1 13" xfId="31243" hidden="1"/>
    <cellStyle name="40% - Accent1 13" xfId="31966" hidden="1"/>
    <cellStyle name="40% - Accent1 13" xfId="32139" hidden="1"/>
    <cellStyle name="40% - Accent1 13" xfId="32532" hidden="1"/>
    <cellStyle name="40% - Accent1 13" xfId="32680" hidden="1"/>
    <cellStyle name="40% - Accent1 13" xfId="33018" hidden="1"/>
    <cellStyle name="40% - Accent1 13" xfId="33355" hidden="1"/>
    <cellStyle name="40% - Accent1 3 2 3 2" xfId="830" hidden="1"/>
    <cellStyle name="40% - Accent1 3 2 3 2" xfId="1038" hidden="1"/>
    <cellStyle name="40% - Accent1 3 2 3 2" xfId="3602" hidden="1"/>
    <cellStyle name="40% - Accent1 3 2 3 2" xfId="4117" hidden="1"/>
    <cellStyle name="40% - Accent1 3 2 3 2" xfId="5436" hidden="1"/>
    <cellStyle name="40% - Accent1 3 2 3 2" xfId="6133" hidden="1"/>
    <cellStyle name="40% - Accent1 3 2 3 2" xfId="7150" hidden="1"/>
    <cellStyle name="40% - Accent1 3 2 3 2" xfId="8354" hidden="1"/>
    <cellStyle name="40% - Accent1 3 2 3 2" xfId="10211" hidden="1"/>
    <cellStyle name="40% - Accent1 3 2 3 2" xfId="10326" hidden="1"/>
    <cellStyle name="40% - Accent1 3 2 3 2" xfId="11049" hidden="1"/>
    <cellStyle name="40% - Accent1 3 2 3 2" xfId="11222" hidden="1"/>
    <cellStyle name="40% - Accent1 3 2 3 2" xfId="11615" hidden="1"/>
    <cellStyle name="40% - Accent1 3 2 3 2" xfId="11763" hidden="1"/>
    <cellStyle name="40% - Accent1 3 2 3 2" xfId="12101" hidden="1"/>
    <cellStyle name="40% - Accent1 3 2 3 2" xfId="12438" hidden="1"/>
    <cellStyle name="40% - Accent1 3 2 3 2" xfId="13003" hidden="1"/>
    <cellStyle name="40% - Accent1 3 2 3 2" xfId="13118" hidden="1"/>
    <cellStyle name="40% - Accent1 3 2 3 2" xfId="13841" hidden="1"/>
    <cellStyle name="40% - Accent1 3 2 3 2" xfId="14014" hidden="1"/>
    <cellStyle name="40% - Accent1 3 2 3 2" xfId="14407" hidden="1"/>
    <cellStyle name="40% - Accent1 3 2 3 2" xfId="14555" hidden="1"/>
    <cellStyle name="40% - Accent1 3 2 3 2" xfId="14893" hidden="1"/>
    <cellStyle name="40% - Accent1 3 2 3 2" xfId="15230" hidden="1"/>
    <cellStyle name="40% - Accent1 3 2 3 2" xfId="9116" hidden="1"/>
    <cellStyle name="40% - Accent1 3 2 3 2" xfId="8572" hidden="1"/>
    <cellStyle name="40% - Accent1 3 2 3 2" xfId="5944" hidden="1"/>
    <cellStyle name="40% - Accent1 3 2 3 2" xfId="5153" hidden="1"/>
    <cellStyle name="40% - Accent1 3 2 3 2" xfId="3867" hidden="1"/>
    <cellStyle name="40% - Accent1 3 2 3 2" xfId="3189" hidden="1"/>
    <cellStyle name="40% - Accent1 3 2 3 2" xfId="1745" hidden="1"/>
    <cellStyle name="40% - Accent1 3 2 3 2" xfId="337" hidden="1"/>
    <cellStyle name="40% - Accent1 3 2 3 2" xfId="16552" hidden="1"/>
    <cellStyle name="40% - Accent1 3 2 3 2" xfId="16667" hidden="1"/>
    <cellStyle name="40% - Accent1 3 2 3 2" xfId="17390" hidden="1"/>
    <cellStyle name="40% - Accent1 3 2 3 2" xfId="17563" hidden="1"/>
    <cellStyle name="40% - Accent1 3 2 3 2" xfId="17956" hidden="1"/>
    <cellStyle name="40% - Accent1 3 2 3 2" xfId="18104" hidden="1"/>
    <cellStyle name="40% - Accent1 3 2 3 2" xfId="18442" hidden="1"/>
    <cellStyle name="40% - Accent1 3 2 3 2" xfId="18779" hidden="1"/>
    <cellStyle name="40% - Accent1 3 2 3 2" xfId="19344" hidden="1"/>
    <cellStyle name="40% - Accent1 3 2 3 2" xfId="19459" hidden="1"/>
    <cellStyle name="40% - Accent1 3 2 3 2" xfId="20182" hidden="1"/>
    <cellStyle name="40% - Accent1 3 2 3 2" xfId="20355" hidden="1"/>
    <cellStyle name="40% - Accent1 3 2 3 2" xfId="20748" hidden="1"/>
    <cellStyle name="40% - Accent1 3 2 3 2" xfId="20896" hidden="1"/>
    <cellStyle name="40% - Accent1 3 2 3 2" xfId="21234" hidden="1"/>
    <cellStyle name="40% - Accent1 3 2 3 2" xfId="21571" hidden="1"/>
    <cellStyle name="40% - Accent1 3 2 3 2" xfId="15624" hidden="1"/>
    <cellStyle name="40% - Accent1 3 2 3 2" xfId="9669" hidden="1"/>
    <cellStyle name="40% - Accent1 3 2 3 2" xfId="6515" hidden="1"/>
    <cellStyle name="40% - Accent1 3 2 3 2" xfId="5666" hidden="1"/>
    <cellStyle name="40% - Accent1 3 2 3 2" xfId="4138" hidden="1"/>
    <cellStyle name="40% - Accent1 3 2 3 2" xfId="3417" hidden="1"/>
    <cellStyle name="40% - Accent1 3 2 3 2" xfId="1918" hidden="1"/>
    <cellStyle name="40% - Accent1 3 2 3 2" xfId="474" hidden="1"/>
    <cellStyle name="40% - Accent1 3 2 3 2" xfId="22703" hidden="1"/>
    <cellStyle name="40% - Accent1 3 2 3 2" xfId="22818" hidden="1"/>
    <cellStyle name="40% - Accent1 3 2 3 2" xfId="23541" hidden="1"/>
    <cellStyle name="40% - Accent1 3 2 3 2" xfId="23714" hidden="1"/>
    <cellStyle name="40% - Accent1 3 2 3 2" xfId="24107" hidden="1"/>
    <cellStyle name="40% - Accent1 3 2 3 2" xfId="24255" hidden="1"/>
    <cellStyle name="40% - Accent1 3 2 3 2" xfId="24593" hidden="1"/>
    <cellStyle name="40% - Accent1 3 2 3 2" xfId="24930" hidden="1"/>
    <cellStyle name="40% - Accent1 3 2 3 2" xfId="25495" hidden="1"/>
    <cellStyle name="40% - Accent1 3 2 3 2" xfId="25610" hidden="1"/>
    <cellStyle name="40% - Accent1 3 2 3 2" xfId="26333" hidden="1"/>
    <cellStyle name="40% - Accent1 3 2 3 2" xfId="26506" hidden="1"/>
    <cellStyle name="40% - Accent1 3 2 3 2" xfId="26899" hidden="1"/>
    <cellStyle name="40% - Accent1 3 2 3 2" xfId="27047" hidden="1"/>
    <cellStyle name="40% - Accent1 3 2 3 2" xfId="27385" hidden="1"/>
    <cellStyle name="40% - Accent1 3 2 3 2" xfId="27722" hidden="1"/>
    <cellStyle name="40% - Accent1 3 2 3 2" xfId="21880" hidden="1"/>
    <cellStyle name="40% - Accent1 3 2 3 2" xfId="16050" hidden="1"/>
    <cellStyle name="40% - Accent1 3 2 3 2" xfId="7218" hidden="1"/>
    <cellStyle name="40% - Accent1 3 2 3 2" xfId="6173" hidden="1"/>
    <cellStyle name="40% - Accent1 3 2 3 2" xfId="4351" hidden="1"/>
    <cellStyle name="40% - Accent1 3 2 3 2" xfId="3673" hidden="1"/>
    <cellStyle name="40% - Accent1 3 2 3 2" xfId="2106" hidden="1"/>
    <cellStyle name="40% - Accent1 3 2 3 2" xfId="593" hidden="1"/>
    <cellStyle name="40% - Accent1 3 2 3 2" xfId="28422" hidden="1"/>
    <cellStyle name="40% - Accent1 3 2 3 2" xfId="28537" hidden="1"/>
    <cellStyle name="40% - Accent1 3 2 3 2" xfId="29260" hidden="1"/>
    <cellStyle name="40% - Accent1 3 2 3 2" xfId="29433" hidden="1"/>
    <cellStyle name="40% - Accent1 3 2 3 2" xfId="29826" hidden="1"/>
    <cellStyle name="40% - Accent1 3 2 3 2" xfId="29974" hidden="1"/>
    <cellStyle name="40% - Accent1 3 2 3 2" xfId="30312" hidden="1"/>
    <cellStyle name="40% - Accent1 3 2 3 2" xfId="30649" hidden="1"/>
    <cellStyle name="40% - Accent1 3 2 3 2" xfId="31214" hidden="1"/>
    <cellStyle name="40% - Accent1 3 2 3 2" xfId="31329" hidden="1"/>
    <cellStyle name="40% - Accent1 3 2 3 2" xfId="32052" hidden="1"/>
    <cellStyle name="40% - Accent1 3 2 3 2" xfId="32225" hidden="1"/>
    <cellStyle name="40% - Accent1 3 2 3 2" xfId="32618" hidden="1"/>
    <cellStyle name="40% - Accent1 3 2 3 2" xfId="32766" hidden="1"/>
    <cellStyle name="40% - Accent1 3 2 3 2" xfId="33104" hidden="1"/>
    <cellStyle name="40% - Accent1 3 2 3 2" xfId="33441" hidden="1"/>
    <cellStyle name="40% - Accent1 3 2 4 2" xfId="793" hidden="1"/>
    <cellStyle name="40% - Accent1 3 2 4 2" xfId="1001" hidden="1"/>
    <cellStyle name="40% - Accent1 3 2 4 2" xfId="3565" hidden="1"/>
    <cellStyle name="40% - Accent1 3 2 4 2" xfId="4080" hidden="1"/>
    <cellStyle name="40% - Accent1 3 2 4 2" xfId="5399" hidden="1"/>
    <cellStyle name="40% - Accent1 3 2 4 2" xfId="6096" hidden="1"/>
    <cellStyle name="40% - Accent1 3 2 4 2" xfId="7113" hidden="1"/>
    <cellStyle name="40% - Accent1 3 2 4 2" xfId="8317" hidden="1"/>
    <cellStyle name="40% - Accent1 3 2 4 2" xfId="10174" hidden="1"/>
    <cellStyle name="40% - Accent1 3 2 4 2" xfId="10289" hidden="1"/>
    <cellStyle name="40% - Accent1 3 2 4 2" xfId="11012" hidden="1"/>
    <cellStyle name="40% - Accent1 3 2 4 2" xfId="11185" hidden="1"/>
    <cellStyle name="40% - Accent1 3 2 4 2" xfId="11578" hidden="1"/>
    <cellStyle name="40% - Accent1 3 2 4 2" xfId="11726" hidden="1"/>
    <cellStyle name="40% - Accent1 3 2 4 2" xfId="12064" hidden="1"/>
    <cellStyle name="40% - Accent1 3 2 4 2" xfId="12401" hidden="1"/>
    <cellStyle name="40% - Accent1 3 2 4 2" xfId="12966" hidden="1"/>
    <cellStyle name="40% - Accent1 3 2 4 2" xfId="13081" hidden="1"/>
    <cellStyle name="40% - Accent1 3 2 4 2" xfId="13804" hidden="1"/>
    <cellStyle name="40% - Accent1 3 2 4 2" xfId="13977" hidden="1"/>
    <cellStyle name="40% - Accent1 3 2 4 2" xfId="14370" hidden="1"/>
    <cellStyle name="40% - Accent1 3 2 4 2" xfId="14518" hidden="1"/>
    <cellStyle name="40% - Accent1 3 2 4 2" xfId="14856" hidden="1"/>
    <cellStyle name="40% - Accent1 3 2 4 2" xfId="15193" hidden="1"/>
    <cellStyle name="40% - Accent1 3 2 4 2" xfId="9154" hidden="1"/>
    <cellStyle name="40% - Accent1 3 2 4 2" xfId="8609" hidden="1"/>
    <cellStyle name="40% - Accent1 3 2 4 2" xfId="5981" hidden="1"/>
    <cellStyle name="40% - Accent1 3 2 4 2" xfId="5190" hidden="1"/>
    <cellStyle name="40% - Accent1 3 2 4 2" xfId="3907" hidden="1"/>
    <cellStyle name="40% - Accent1 3 2 4 2" xfId="3227" hidden="1"/>
    <cellStyle name="40% - Accent1 3 2 4 2" xfId="1787" hidden="1"/>
    <cellStyle name="40% - Accent1 3 2 4 2" xfId="400" hidden="1"/>
    <cellStyle name="40% - Accent1 3 2 4 2" xfId="16515" hidden="1"/>
    <cellStyle name="40% - Accent1 3 2 4 2" xfId="16630" hidden="1"/>
    <cellStyle name="40% - Accent1 3 2 4 2" xfId="17353" hidden="1"/>
    <cellStyle name="40% - Accent1 3 2 4 2" xfId="17526" hidden="1"/>
    <cellStyle name="40% - Accent1 3 2 4 2" xfId="17919" hidden="1"/>
    <cellStyle name="40% - Accent1 3 2 4 2" xfId="18067" hidden="1"/>
    <cellStyle name="40% - Accent1 3 2 4 2" xfId="18405" hidden="1"/>
    <cellStyle name="40% - Accent1 3 2 4 2" xfId="18742" hidden="1"/>
    <cellStyle name="40% - Accent1 3 2 4 2" xfId="19307" hidden="1"/>
    <cellStyle name="40% - Accent1 3 2 4 2" xfId="19422" hidden="1"/>
    <cellStyle name="40% - Accent1 3 2 4 2" xfId="20145" hidden="1"/>
    <cellStyle name="40% - Accent1 3 2 4 2" xfId="20318" hidden="1"/>
    <cellStyle name="40% - Accent1 3 2 4 2" xfId="20711" hidden="1"/>
    <cellStyle name="40% - Accent1 3 2 4 2" xfId="20859" hidden="1"/>
    <cellStyle name="40% - Accent1 3 2 4 2" xfId="21197" hidden="1"/>
    <cellStyle name="40% - Accent1 3 2 4 2" xfId="21534" hidden="1"/>
    <cellStyle name="40% - Accent1 3 2 4 2" xfId="15662" hidden="1"/>
    <cellStyle name="40% - Accent1 3 2 4 2" xfId="9706" hidden="1"/>
    <cellStyle name="40% - Accent1 3 2 4 2" xfId="6560" hidden="1"/>
    <cellStyle name="40% - Accent1 3 2 4 2" xfId="5710" hidden="1"/>
    <cellStyle name="40% - Accent1 3 2 4 2" xfId="4176" hidden="1"/>
    <cellStyle name="40% - Accent1 3 2 4 2" xfId="3456" hidden="1"/>
    <cellStyle name="40% - Accent1 3 2 4 2" xfId="1966" hidden="1"/>
    <cellStyle name="40% - Accent1 3 2 4 2" xfId="524" hidden="1"/>
    <cellStyle name="40% - Accent1 3 2 4 2" xfId="22666" hidden="1"/>
    <cellStyle name="40% - Accent1 3 2 4 2" xfId="22781" hidden="1"/>
    <cellStyle name="40% - Accent1 3 2 4 2" xfId="23504" hidden="1"/>
    <cellStyle name="40% - Accent1 3 2 4 2" xfId="23677" hidden="1"/>
    <cellStyle name="40% - Accent1 3 2 4 2" xfId="24070" hidden="1"/>
    <cellStyle name="40% - Accent1 3 2 4 2" xfId="24218" hidden="1"/>
    <cellStyle name="40% - Accent1 3 2 4 2" xfId="24556" hidden="1"/>
    <cellStyle name="40% - Accent1 3 2 4 2" xfId="24893" hidden="1"/>
    <cellStyle name="40% - Accent1 3 2 4 2" xfId="25458" hidden="1"/>
    <cellStyle name="40% - Accent1 3 2 4 2" xfId="25573" hidden="1"/>
    <cellStyle name="40% - Accent1 3 2 4 2" xfId="26296" hidden="1"/>
    <cellStyle name="40% - Accent1 3 2 4 2" xfId="26469" hidden="1"/>
    <cellStyle name="40% - Accent1 3 2 4 2" xfId="26862" hidden="1"/>
    <cellStyle name="40% - Accent1 3 2 4 2" xfId="27010" hidden="1"/>
    <cellStyle name="40% - Accent1 3 2 4 2" xfId="27348" hidden="1"/>
    <cellStyle name="40% - Accent1 3 2 4 2" xfId="27685" hidden="1"/>
    <cellStyle name="40% - Accent1 3 2 4 2" xfId="21918" hidden="1"/>
    <cellStyle name="40% - Accent1 3 2 4 2" xfId="16087" hidden="1"/>
    <cellStyle name="40% - Accent1 3 2 4 2" xfId="7265" hidden="1"/>
    <cellStyle name="40% - Accent1 3 2 4 2" xfId="6222" hidden="1"/>
    <cellStyle name="40% - Accent1 3 2 4 2" xfId="4446" hidden="1"/>
    <cellStyle name="40% - Accent1 3 2 4 2" xfId="3713" hidden="1"/>
    <cellStyle name="40% - Accent1 3 2 4 2" xfId="2146" hidden="1"/>
    <cellStyle name="40% - Accent1 3 2 4 2" xfId="635" hidden="1"/>
    <cellStyle name="40% - Accent1 3 2 4 2" xfId="28385" hidden="1"/>
    <cellStyle name="40% - Accent1 3 2 4 2" xfId="28500" hidden="1"/>
    <cellStyle name="40% - Accent1 3 2 4 2" xfId="29223" hidden="1"/>
    <cellStyle name="40% - Accent1 3 2 4 2" xfId="29396" hidden="1"/>
    <cellStyle name="40% - Accent1 3 2 4 2" xfId="29789" hidden="1"/>
    <cellStyle name="40% - Accent1 3 2 4 2" xfId="29937" hidden="1"/>
    <cellStyle name="40% - Accent1 3 2 4 2" xfId="30275" hidden="1"/>
    <cellStyle name="40% - Accent1 3 2 4 2" xfId="30612" hidden="1"/>
    <cellStyle name="40% - Accent1 3 2 4 2" xfId="31177" hidden="1"/>
    <cellStyle name="40% - Accent1 3 2 4 2" xfId="31292" hidden="1"/>
    <cellStyle name="40% - Accent1 3 2 4 2" xfId="32015" hidden="1"/>
    <cellStyle name="40% - Accent1 3 2 4 2" xfId="32188" hidden="1"/>
    <cellStyle name="40% - Accent1 3 2 4 2" xfId="32581" hidden="1"/>
    <cellStyle name="40% - Accent1 3 2 4 2" xfId="32729" hidden="1"/>
    <cellStyle name="40% - Accent1 3 2 4 2" xfId="33067" hidden="1"/>
    <cellStyle name="40% - Accent1 3 2 4 2" xfId="33404" hidden="1"/>
    <cellStyle name="40% - Accent1 3 3 3 2" xfId="792" hidden="1"/>
    <cellStyle name="40% - Accent1 3 3 3 2" xfId="1000" hidden="1"/>
    <cellStyle name="40% - Accent1 3 3 3 2" xfId="3564" hidden="1"/>
    <cellStyle name="40% - Accent1 3 3 3 2" xfId="4079" hidden="1"/>
    <cellStyle name="40% - Accent1 3 3 3 2" xfId="5398" hidden="1"/>
    <cellStyle name="40% - Accent1 3 3 3 2" xfId="6095" hidden="1"/>
    <cellStyle name="40% - Accent1 3 3 3 2" xfId="7112" hidden="1"/>
    <cellStyle name="40% - Accent1 3 3 3 2" xfId="8316" hidden="1"/>
    <cellStyle name="40% - Accent1 3 3 3 2" xfId="10173" hidden="1"/>
    <cellStyle name="40% - Accent1 3 3 3 2" xfId="10288" hidden="1"/>
    <cellStyle name="40% - Accent1 3 3 3 2" xfId="11011" hidden="1"/>
    <cellStyle name="40% - Accent1 3 3 3 2" xfId="11184" hidden="1"/>
    <cellStyle name="40% - Accent1 3 3 3 2" xfId="11577" hidden="1"/>
    <cellStyle name="40% - Accent1 3 3 3 2" xfId="11725" hidden="1"/>
    <cellStyle name="40% - Accent1 3 3 3 2" xfId="12063" hidden="1"/>
    <cellStyle name="40% - Accent1 3 3 3 2" xfId="12400" hidden="1"/>
    <cellStyle name="40% - Accent1 3 3 3 2" xfId="12965" hidden="1"/>
    <cellStyle name="40% - Accent1 3 3 3 2" xfId="13080" hidden="1"/>
    <cellStyle name="40% - Accent1 3 3 3 2" xfId="13803" hidden="1"/>
    <cellStyle name="40% - Accent1 3 3 3 2" xfId="13976" hidden="1"/>
    <cellStyle name="40% - Accent1 3 3 3 2" xfId="14369" hidden="1"/>
    <cellStyle name="40% - Accent1 3 3 3 2" xfId="14517" hidden="1"/>
    <cellStyle name="40% - Accent1 3 3 3 2" xfId="14855" hidden="1"/>
    <cellStyle name="40% - Accent1 3 3 3 2" xfId="15192" hidden="1"/>
    <cellStyle name="40% - Accent1 3 3 3 2" xfId="9155" hidden="1"/>
    <cellStyle name="40% - Accent1 3 3 3 2" xfId="8610" hidden="1"/>
    <cellStyle name="40% - Accent1 3 3 3 2" xfId="5982" hidden="1"/>
    <cellStyle name="40% - Accent1 3 3 3 2" xfId="5191" hidden="1"/>
    <cellStyle name="40% - Accent1 3 3 3 2" xfId="3908" hidden="1"/>
    <cellStyle name="40% - Accent1 3 3 3 2" xfId="3228" hidden="1"/>
    <cellStyle name="40% - Accent1 3 3 3 2" xfId="1788" hidden="1"/>
    <cellStyle name="40% - Accent1 3 3 3 2" xfId="401" hidden="1"/>
    <cellStyle name="40% - Accent1 3 3 3 2" xfId="16514" hidden="1"/>
    <cellStyle name="40% - Accent1 3 3 3 2" xfId="16629" hidden="1"/>
    <cellStyle name="40% - Accent1 3 3 3 2" xfId="17352" hidden="1"/>
    <cellStyle name="40% - Accent1 3 3 3 2" xfId="17525" hidden="1"/>
    <cellStyle name="40% - Accent1 3 3 3 2" xfId="17918" hidden="1"/>
    <cellStyle name="40% - Accent1 3 3 3 2" xfId="18066" hidden="1"/>
    <cellStyle name="40% - Accent1 3 3 3 2" xfId="18404" hidden="1"/>
    <cellStyle name="40% - Accent1 3 3 3 2" xfId="18741" hidden="1"/>
    <cellStyle name="40% - Accent1 3 3 3 2" xfId="19306" hidden="1"/>
    <cellStyle name="40% - Accent1 3 3 3 2" xfId="19421" hidden="1"/>
    <cellStyle name="40% - Accent1 3 3 3 2" xfId="20144" hidden="1"/>
    <cellStyle name="40% - Accent1 3 3 3 2" xfId="20317" hidden="1"/>
    <cellStyle name="40% - Accent1 3 3 3 2" xfId="20710" hidden="1"/>
    <cellStyle name="40% - Accent1 3 3 3 2" xfId="20858" hidden="1"/>
    <cellStyle name="40% - Accent1 3 3 3 2" xfId="21196" hidden="1"/>
    <cellStyle name="40% - Accent1 3 3 3 2" xfId="21533" hidden="1"/>
    <cellStyle name="40% - Accent1 3 3 3 2" xfId="15663" hidden="1"/>
    <cellStyle name="40% - Accent1 3 3 3 2" xfId="9707" hidden="1"/>
    <cellStyle name="40% - Accent1 3 3 3 2" xfId="6561" hidden="1"/>
    <cellStyle name="40% - Accent1 3 3 3 2" xfId="5712" hidden="1"/>
    <cellStyle name="40% - Accent1 3 3 3 2" xfId="4177" hidden="1"/>
    <cellStyle name="40% - Accent1 3 3 3 2" xfId="3457" hidden="1"/>
    <cellStyle name="40% - Accent1 3 3 3 2" xfId="1967" hidden="1"/>
    <cellStyle name="40% - Accent1 3 3 3 2" xfId="525" hidden="1"/>
    <cellStyle name="40% - Accent1 3 3 3 2" xfId="22665" hidden="1"/>
    <cellStyle name="40% - Accent1 3 3 3 2" xfId="22780" hidden="1"/>
    <cellStyle name="40% - Accent1 3 3 3 2" xfId="23503" hidden="1"/>
    <cellStyle name="40% - Accent1 3 3 3 2" xfId="23676" hidden="1"/>
    <cellStyle name="40% - Accent1 3 3 3 2" xfId="24069" hidden="1"/>
    <cellStyle name="40% - Accent1 3 3 3 2" xfId="24217" hidden="1"/>
    <cellStyle name="40% - Accent1 3 3 3 2" xfId="24555" hidden="1"/>
    <cellStyle name="40% - Accent1 3 3 3 2" xfId="24892" hidden="1"/>
    <cellStyle name="40% - Accent1 3 3 3 2" xfId="25457" hidden="1"/>
    <cellStyle name="40% - Accent1 3 3 3 2" xfId="25572" hidden="1"/>
    <cellStyle name="40% - Accent1 3 3 3 2" xfId="26295" hidden="1"/>
    <cellStyle name="40% - Accent1 3 3 3 2" xfId="26468" hidden="1"/>
    <cellStyle name="40% - Accent1 3 3 3 2" xfId="26861" hidden="1"/>
    <cellStyle name="40% - Accent1 3 3 3 2" xfId="27009" hidden="1"/>
    <cellStyle name="40% - Accent1 3 3 3 2" xfId="27347" hidden="1"/>
    <cellStyle name="40% - Accent1 3 3 3 2" xfId="27684" hidden="1"/>
    <cellStyle name="40% - Accent1 3 3 3 2" xfId="21919" hidden="1"/>
    <cellStyle name="40% - Accent1 3 3 3 2" xfId="16088" hidden="1"/>
    <cellStyle name="40% - Accent1 3 3 3 2" xfId="7266" hidden="1"/>
    <cellStyle name="40% - Accent1 3 3 3 2" xfId="6223" hidden="1"/>
    <cellStyle name="40% - Accent1 3 3 3 2" xfId="4447" hidden="1"/>
    <cellStyle name="40% - Accent1 3 3 3 2" xfId="3714" hidden="1"/>
    <cellStyle name="40% - Accent1 3 3 3 2" xfId="2147" hidden="1"/>
    <cellStyle name="40% - Accent1 3 3 3 2" xfId="636" hidden="1"/>
    <cellStyle name="40% - Accent1 3 3 3 2" xfId="28384" hidden="1"/>
    <cellStyle name="40% - Accent1 3 3 3 2" xfId="28499" hidden="1"/>
    <cellStyle name="40% - Accent1 3 3 3 2" xfId="29222" hidden="1"/>
    <cellStyle name="40% - Accent1 3 3 3 2" xfId="29395" hidden="1"/>
    <cellStyle name="40% - Accent1 3 3 3 2" xfId="29788" hidden="1"/>
    <cellStyle name="40% - Accent1 3 3 3 2" xfId="29936" hidden="1"/>
    <cellStyle name="40% - Accent1 3 3 3 2" xfId="30274" hidden="1"/>
    <cellStyle name="40% - Accent1 3 3 3 2" xfId="30611" hidden="1"/>
    <cellStyle name="40% - Accent1 3 3 3 2" xfId="31176" hidden="1"/>
    <cellStyle name="40% - Accent1 3 3 3 2" xfId="31291" hidden="1"/>
    <cellStyle name="40% - Accent1 3 3 3 2" xfId="32014" hidden="1"/>
    <cellStyle name="40% - Accent1 3 3 3 2" xfId="32187" hidden="1"/>
    <cellStyle name="40% - Accent1 3 3 3 2" xfId="32580" hidden="1"/>
    <cellStyle name="40% - Accent1 3 3 3 2" xfId="32728" hidden="1"/>
    <cellStyle name="40% - Accent1 3 3 3 2" xfId="33066" hidden="1"/>
    <cellStyle name="40% - Accent1 3 3 3 2" xfId="33403" hidden="1"/>
    <cellStyle name="40% - Accent1 4 2 3 2" xfId="831" hidden="1"/>
    <cellStyle name="40% - Accent1 4 2 3 2" xfId="1039" hidden="1"/>
    <cellStyle name="40% - Accent1 4 2 3 2" xfId="3603" hidden="1"/>
    <cellStyle name="40% - Accent1 4 2 3 2" xfId="4118" hidden="1"/>
    <cellStyle name="40% - Accent1 4 2 3 2" xfId="5437" hidden="1"/>
    <cellStyle name="40% - Accent1 4 2 3 2" xfId="6134" hidden="1"/>
    <cellStyle name="40% - Accent1 4 2 3 2" xfId="7151" hidden="1"/>
    <cellStyle name="40% - Accent1 4 2 3 2" xfId="8355" hidden="1"/>
    <cellStyle name="40% - Accent1 4 2 3 2" xfId="10212" hidden="1"/>
    <cellStyle name="40% - Accent1 4 2 3 2" xfId="10327" hidden="1"/>
    <cellStyle name="40% - Accent1 4 2 3 2" xfId="11050" hidden="1"/>
    <cellStyle name="40% - Accent1 4 2 3 2" xfId="11223" hidden="1"/>
    <cellStyle name="40% - Accent1 4 2 3 2" xfId="11616" hidden="1"/>
    <cellStyle name="40% - Accent1 4 2 3 2" xfId="11764" hidden="1"/>
    <cellStyle name="40% - Accent1 4 2 3 2" xfId="12102" hidden="1"/>
    <cellStyle name="40% - Accent1 4 2 3 2" xfId="12439" hidden="1"/>
    <cellStyle name="40% - Accent1 4 2 3 2" xfId="13004" hidden="1"/>
    <cellStyle name="40% - Accent1 4 2 3 2" xfId="13119" hidden="1"/>
    <cellStyle name="40% - Accent1 4 2 3 2" xfId="13842" hidden="1"/>
    <cellStyle name="40% - Accent1 4 2 3 2" xfId="14015" hidden="1"/>
    <cellStyle name="40% - Accent1 4 2 3 2" xfId="14408" hidden="1"/>
    <cellStyle name="40% - Accent1 4 2 3 2" xfId="14556" hidden="1"/>
    <cellStyle name="40% - Accent1 4 2 3 2" xfId="14894" hidden="1"/>
    <cellStyle name="40% - Accent1 4 2 3 2" xfId="15231" hidden="1"/>
    <cellStyle name="40% - Accent1 4 2 3 2" xfId="9115" hidden="1"/>
    <cellStyle name="40% - Accent1 4 2 3 2" xfId="8571" hidden="1"/>
    <cellStyle name="40% - Accent1 4 2 3 2" xfId="5943" hidden="1"/>
    <cellStyle name="40% - Accent1 4 2 3 2" xfId="5152" hidden="1"/>
    <cellStyle name="40% - Accent1 4 2 3 2" xfId="3866" hidden="1"/>
    <cellStyle name="40% - Accent1 4 2 3 2" xfId="3188" hidden="1"/>
    <cellStyle name="40% - Accent1 4 2 3 2" xfId="1744" hidden="1"/>
    <cellStyle name="40% - Accent1 4 2 3 2" xfId="336" hidden="1"/>
    <cellStyle name="40% - Accent1 4 2 3 2" xfId="16553" hidden="1"/>
    <cellStyle name="40% - Accent1 4 2 3 2" xfId="16668" hidden="1"/>
    <cellStyle name="40% - Accent1 4 2 3 2" xfId="17391" hidden="1"/>
    <cellStyle name="40% - Accent1 4 2 3 2" xfId="17564" hidden="1"/>
    <cellStyle name="40% - Accent1 4 2 3 2" xfId="17957" hidden="1"/>
    <cellStyle name="40% - Accent1 4 2 3 2" xfId="18105" hidden="1"/>
    <cellStyle name="40% - Accent1 4 2 3 2" xfId="18443" hidden="1"/>
    <cellStyle name="40% - Accent1 4 2 3 2" xfId="18780" hidden="1"/>
    <cellStyle name="40% - Accent1 4 2 3 2" xfId="19345" hidden="1"/>
    <cellStyle name="40% - Accent1 4 2 3 2" xfId="19460" hidden="1"/>
    <cellStyle name="40% - Accent1 4 2 3 2" xfId="20183" hidden="1"/>
    <cellStyle name="40% - Accent1 4 2 3 2" xfId="20356" hidden="1"/>
    <cellStyle name="40% - Accent1 4 2 3 2" xfId="20749" hidden="1"/>
    <cellStyle name="40% - Accent1 4 2 3 2" xfId="20897" hidden="1"/>
    <cellStyle name="40% - Accent1 4 2 3 2" xfId="21235" hidden="1"/>
    <cellStyle name="40% - Accent1 4 2 3 2" xfId="21572" hidden="1"/>
    <cellStyle name="40% - Accent1 4 2 3 2" xfId="15623" hidden="1"/>
    <cellStyle name="40% - Accent1 4 2 3 2" xfId="9668" hidden="1"/>
    <cellStyle name="40% - Accent1 4 2 3 2" xfId="6514" hidden="1"/>
    <cellStyle name="40% - Accent1 4 2 3 2" xfId="5664" hidden="1"/>
    <cellStyle name="40% - Accent1 4 2 3 2" xfId="4137" hidden="1"/>
    <cellStyle name="40% - Accent1 4 2 3 2" xfId="3415" hidden="1"/>
    <cellStyle name="40% - Accent1 4 2 3 2" xfId="1917" hidden="1"/>
    <cellStyle name="40% - Accent1 4 2 3 2" xfId="470" hidden="1"/>
    <cellStyle name="40% - Accent1 4 2 3 2" xfId="22704" hidden="1"/>
    <cellStyle name="40% - Accent1 4 2 3 2" xfId="22819" hidden="1"/>
    <cellStyle name="40% - Accent1 4 2 3 2" xfId="23542" hidden="1"/>
    <cellStyle name="40% - Accent1 4 2 3 2" xfId="23715" hidden="1"/>
    <cellStyle name="40% - Accent1 4 2 3 2" xfId="24108" hidden="1"/>
    <cellStyle name="40% - Accent1 4 2 3 2" xfId="24256" hidden="1"/>
    <cellStyle name="40% - Accent1 4 2 3 2" xfId="24594" hidden="1"/>
    <cellStyle name="40% - Accent1 4 2 3 2" xfId="24931" hidden="1"/>
    <cellStyle name="40% - Accent1 4 2 3 2" xfId="25496" hidden="1"/>
    <cellStyle name="40% - Accent1 4 2 3 2" xfId="25611" hidden="1"/>
    <cellStyle name="40% - Accent1 4 2 3 2" xfId="26334" hidden="1"/>
    <cellStyle name="40% - Accent1 4 2 3 2" xfId="26507" hidden="1"/>
    <cellStyle name="40% - Accent1 4 2 3 2" xfId="26900" hidden="1"/>
    <cellStyle name="40% - Accent1 4 2 3 2" xfId="27048" hidden="1"/>
    <cellStyle name="40% - Accent1 4 2 3 2" xfId="27386" hidden="1"/>
    <cellStyle name="40% - Accent1 4 2 3 2" xfId="27723" hidden="1"/>
    <cellStyle name="40% - Accent1 4 2 3 2" xfId="21879" hidden="1"/>
    <cellStyle name="40% - Accent1 4 2 3 2" xfId="16049" hidden="1"/>
    <cellStyle name="40% - Accent1 4 2 3 2" xfId="7217" hidden="1"/>
    <cellStyle name="40% - Accent1 4 2 3 2" xfId="6172" hidden="1"/>
    <cellStyle name="40% - Accent1 4 2 3 2" xfId="4346" hidden="1"/>
    <cellStyle name="40% - Accent1 4 2 3 2" xfId="3672" hidden="1"/>
    <cellStyle name="40% - Accent1 4 2 3 2" xfId="2104" hidden="1"/>
    <cellStyle name="40% - Accent1 4 2 3 2" xfId="592" hidden="1"/>
    <cellStyle name="40% - Accent1 4 2 3 2" xfId="28423" hidden="1"/>
    <cellStyle name="40% - Accent1 4 2 3 2" xfId="28538" hidden="1"/>
    <cellStyle name="40% - Accent1 4 2 3 2" xfId="29261" hidden="1"/>
    <cellStyle name="40% - Accent1 4 2 3 2" xfId="29434" hidden="1"/>
    <cellStyle name="40% - Accent1 4 2 3 2" xfId="29827" hidden="1"/>
    <cellStyle name="40% - Accent1 4 2 3 2" xfId="29975" hidden="1"/>
    <cellStyle name="40% - Accent1 4 2 3 2" xfId="30313" hidden="1"/>
    <cellStyle name="40% - Accent1 4 2 3 2" xfId="30650" hidden="1"/>
    <cellStyle name="40% - Accent1 4 2 3 2" xfId="31215" hidden="1"/>
    <cellStyle name="40% - Accent1 4 2 3 2" xfId="31330" hidden="1"/>
    <cellStyle name="40% - Accent1 4 2 3 2" xfId="32053" hidden="1"/>
    <cellStyle name="40% - Accent1 4 2 3 2" xfId="32226" hidden="1"/>
    <cellStyle name="40% - Accent1 4 2 3 2" xfId="32619" hidden="1"/>
    <cellStyle name="40% - Accent1 4 2 3 2" xfId="32767" hidden="1"/>
    <cellStyle name="40% - Accent1 4 2 3 2" xfId="33105" hidden="1"/>
    <cellStyle name="40% - Accent1 4 2 3 2" xfId="33442" hidden="1"/>
    <cellStyle name="40% - Accent1 4 2 4 2" xfId="795" hidden="1"/>
    <cellStyle name="40% - Accent1 4 2 4 2" xfId="1003" hidden="1"/>
    <cellStyle name="40% - Accent1 4 2 4 2" xfId="3567" hidden="1"/>
    <cellStyle name="40% - Accent1 4 2 4 2" xfId="4082" hidden="1"/>
    <cellStyle name="40% - Accent1 4 2 4 2" xfId="5401" hidden="1"/>
    <cellStyle name="40% - Accent1 4 2 4 2" xfId="6098" hidden="1"/>
    <cellStyle name="40% - Accent1 4 2 4 2" xfId="7115" hidden="1"/>
    <cellStyle name="40% - Accent1 4 2 4 2" xfId="8319" hidden="1"/>
    <cellStyle name="40% - Accent1 4 2 4 2" xfId="10176" hidden="1"/>
    <cellStyle name="40% - Accent1 4 2 4 2" xfId="10291" hidden="1"/>
    <cellStyle name="40% - Accent1 4 2 4 2" xfId="11014" hidden="1"/>
    <cellStyle name="40% - Accent1 4 2 4 2" xfId="11187" hidden="1"/>
    <cellStyle name="40% - Accent1 4 2 4 2" xfId="11580" hidden="1"/>
    <cellStyle name="40% - Accent1 4 2 4 2" xfId="11728" hidden="1"/>
    <cellStyle name="40% - Accent1 4 2 4 2" xfId="12066" hidden="1"/>
    <cellStyle name="40% - Accent1 4 2 4 2" xfId="12403" hidden="1"/>
    <cellStyle name="40% - Accent1 4 2 4 2" xfId="12968" hidden="1"/>
    <cellStyle name="40% - Accent1 4 2 4 2" xfId="13083" hidden="1"/>
    <cellStyle name="40% - Accent1 4 2 4 2" xfId="13806" hidden="1"/>
    <cellStyle name="40% - Accent1 4 2 4 2" xfId="13979" hidden="1"/>
    <cellStyle name="40% - Accent1 4 2 4 2" xfId="14372" hidden="1"/>
    <cellStyle name="40% - Accent1 4 2 4 2" xfId="14520" hidden="1"/>
    <cellStyle name="40% - Accent1 4 2 4 2" xfId="14858" hidden="1"/>
    <cellStyle name="40% - Accent1 4 2 4 2" xfId="15195" hidden="1"/>
    <cellStyle name="40% - Accent1 4 2 4 2" xfId="9152" hidden="1"/>
    <cellStyle name="40% - Accent1 4 2 4 2" xfId="8607" hidden="1"/>
    <cellStyle name="40% - Accent1 4 2 4 2" xfId="5979" hidden="1"/>
    <cellStyle name="40% - Accent1 4 2 4 2" xfId="5188" hidden="1"/>
    <cellStyle name="40% - Accent1 4 2 4 2" xfId="3905" hidden="1"/>
    <cellStyle name="40% - Accent1 4 2 4 2" xfId="3225" hidden="1"/>
    <cellStyle name="40% - Accent1 4 2 4 2" xfId="1784" hidden="1"/>
    <cellStyle name="40% - Accent1 4 2 4 2" xfId="396" hidden="1"/>
    <cellStyle name="40% - Accent1 4 2 4 2" xfId="16517" hidden="1"/>
    <cellStyle name="40% - Accent1 4 2 4 2" xfId="16632" hidden="1"/>
    <cellStyle name="40% - Accent1 4 2 4 2" xfId="17355" hidden="1"/>
    <cellStyle name="40% - Accent1 4 2 4 2" xfId="17528" hidden="1"/>
    <cellStyle name="40% - Accent1 4 2 4 2" xfId="17921" hidden="1"/>
    <cellStyle name="40% - Accent1 4 2 4 2" xfId="18069" hidden="1"/>
    <cellStyle name="40% - Accent1 4 2 4 2" xfId="18407" hidden="1"/>
    <cellStyle name="40% - Accent1 4 2 4 2" xfId="18744" hidden="1"/>
    <cellStyle name="40% - Accent1 4 2 4 2" xfId="19309" hidden="1"/>
    <cellStyle name="40% - Accent1 4 2 4 2" xfId="19424" hidden="1"/>
    <cellStyle name="40% - Accent1 4 2 4 2" xfId="20147" hidden="1"/>
    <cellStyle name="40% - Accent1 4 2 4 2" xfId="20320" hidden="1"/>
    <cellStyle name="40% - Accent1 4 2 4 2" xfId="20713" hidden="1"/>
    <cellStyle name="40% - Accent1 4 2 4 2" xfId="20861" hidden="1"/>
    <cellStyle name="40% - Accent1 4 2 4 2" xfId="21199" hidden="1"/>
    <cellStyle name="40% - Accent1 4 2 4 2" xfId="21536" hidden="1"/>
    <cellStyle name="40% - Accent1 4 2 4 2" xfId="15660" hidden="1"/>
    <cellStyle name="40% - Accent1 4 2 4 2" xfId="9704" hidden="1"/>
    <cellStyle name="40% - Accent1 4 2 4 2" xfId="6558" hidden="1"/>
    <cellStyle name="40% - Accent1 4 2 4 2" xfId="5708" hidden="1"/>
    <cellStyle name="40% - Accent1 4 2 4 2" xfId="4174" hidden="1"/>
    <cellStyle name="40% - Accent1 4 2 4 2" xfId="3453" hidden="1"/>
    <cellStyle name="40% - Accent1 4 2 4 2" xfId="1962" hidden="1"/>
    <cellStyle name="40% - Accent1 4 2 4 2" xfId="522" hidden="1"/>
    <cellStyle name="40% - Accent1 4 2 4 2" xfId="22668" hidden="1"/>
    <cellStyle name="40% - Accent1 4 2 4 2" xfId="22783" hidden="1"/>
    <cellStyle name="40% - Accent1 4 2 4 2" xfId="23506" hidden="1"/>
    <cellStyle name="40% - Accent1 4 2 4 2" xfId="23679" hidden="1"/>
    <cellStyle name="40% - Accent1 4 2 4 2" xfId="24072" hidden="1"/>
    <cellStyle name="40% - Accent1 4 2 4 2" xfId="24220" hidden="1"/>
    <cellStyle name="40% - Accent1 4 2 4 2" xfId="24558" hidden="1"/>
    <cellStyle name="40% - Accent1 4 2 4 2" xfId="24895" hidden="1"/>
    <cellStyle name="40% - Accent1 4 2 4 2" xfId="25460" hidden="1"/>
    <cellStyle name="40% - Accent1 4 2 4 2" xfId="25575" hidden="1"/>
    <cellStyle name="40% - Accent1 4 2 4 2" xfId="26298" hidden="1"/>
    <cellStyle name="40% - Accent1 4 2 4 2" xfId="26471" hidden="1"/>
    <cellStyle name="40% - Accent1 4 2 4 2" xfId="26864" hidden="1"/>
    <cellStyle name="40% - Accent1 4 2 4 2" xfId="27012" hidden="1"/>
    <cellStyle name="40% - Accent1 4 2 4 2" xfId="27350" hidden="1"/>
    <cellStyle name="40% - Accent1 4 2 4 2" xfId="27687" hidden="1"/>
    <cellStyle name="40% - Accent1 4 2 4 2" xfId="21916" hidden="1"/>
    <cellStyle name="40% - Accent1 4 2 4 2" xfId="16085" hidden="1"/>
    <cellStyle name="40% - Accent1 4 2 4 2" xfId="7263" hidden="1"/>
    <cellStyle name="40% - Accent1 4 2 4 2" xfId="6219" hidden="1"/>
    <cellStyle name="40% - Accent1 4 2 4 2" xfId="4444" hidden="1"/>
    <cellStyle name="40% - Accent1 4 2 4 2" xfId="3711" hidden="1"/>
    <cellStyle name="40% - Accent1 4 2 4 2" xfId="2144" hidden="1"/>
    <cellStyle name="40% - Accent1 4 2 4 2" xfId="632" hidden="1"/>
    <cellStyle name="40% - Accent1 4 2 4 2" xfId="28387" hidden="1"/>
    <cellStyle name="40% - Accent1 4 2 4 2" xfId="28502" hidden="1"/>
    <cellStyle name="40% - Accent1 4 2 4 2" xfId="29225" hidden="1"/>
    <cellStyle name="40% - Accent1 4 2 4 2" xfId="29398" hidden="1"/>
    <cellStyle name="40% - Accent1 4 2 4 2" xfId="29791" hidden="1"/>
    <cellStyle name="40% - Accent1 4 2 4 2" xfId="29939" hidden="1"/>
    <cellStyle name="40% - Accent1 4 2 4 2" xfId="30277" hidden="1"/>
    <cellStyle name="40% - Accent1 4 2 4 2" xfId="30614" hidden="1"/>
    <cellStyle name="40% - Accent1 4 2 4 2" xfId="31179" hidden="1"/>
    <cellStyle name="40% - Accent1 4 2 4 2" xfId="31294" hidden="1"/>
    <cellStyle name="40% - Accent1 4 2 4 2" xfId="32017" hidden="1"/>
    <cellStyle name="40% - Accent1 4 2 4 2" xfId="32190" hidden="1"/>
    <cellStyle name="40% - Accent1 4 2 4 2" xfId="32583" hidden="1"/>
    <cellStyle name="40% - Accent1 4 2 4 2" xfId="32731" hidden="1"/>
    <cellStyle name="40% - Accent1 4 2 4 2" xfId="33069" hidden="1"/>
    <cellStyle name="40% - Accent1 4 2 4 2" xfId="33406" hidden="1"/>
    <cellStyle name="40% - Accent1 4 3 3 2" xfId="794" hidden="1"/>
    <cellStyle name="40% - Accent1 4 3 3 2" xfId="1002" hidden="1"/>
    <cellStyle name="40% - Accent1 4 3 3 2" xfId="3566" hidden="1"/>
    <cellStyle name="40% - Accent1 4 3 3 2" xfId="4081" hidden="1"/>
    <cellStyle name="40% - Accent1 4 3 3 2" xfId="5400" hidden="1"/>
    <cellStyle name="40% - Accent1 4 3 3 2" xfId="6097" hidden="1"/>
    <cellStyle name="40% - Accent1 4 3 3 2" xfId="7114" hidden="1"/>
    <cellStyle name="40% - Accent1 4 3 3 2" xfId="8318" hidden="1"/>
    <cellStyle name="40% - Accent1 4 3 3 2" xfId="10175" hidden="1"/>
    <cellStyle name="40% - Accent1 4 3 3 2" xfId="10290" hidden="1"/>
    <cellStyle name="40% - Accent1 4 3 3 2" xfId="11013" hidden="1"/>
    <cellStyle name="40% - Accent1 4 3 3 2" xfId="11186" hidden="1"/>
    <cellStyle name="40% - Accent1 4 3 3 2" xfId="11579" hidden="1"/>
    <cellStyle name="40% - Accent1 4 3 3 2" xfId="11727" hidden="1"/>
    <cellStyle name="40% - Accent1 4 3 3 2" xfId="12065" hidden="1"/>
    <cellStyle name="40% - Accent1 4 3 3 2" xfId="12402" hidden="1"/>
    <cellStyle name="40% - Accent1 4 3 3 2" xfId="12967" hidden="1"/>
    <cellStyle name="40% - Accent1 4 3 3 2" xfId="13082" hidden="1"/>
    <cellStyle name="40% - Accent1 4 3 3 2" xfId="13805" hidden="1"/>
    <cellStyle name="40% - Accent1 4 3 3 2" xfId="13978" hidden="1"/>
    <cellStyle name="40% - Accent1 4 3 3 2" xfId="14371" hidden="1"/>
    <cellStyle name="40% - Accent1 4 3 3 2" xfId="14519" hidden="1"/>
    <cellStyle name="40% - Accent1 4 3 3 2" xfId="14857" hidden="1"/>
    <cellStyle name="40% - Accent1 4 3 3 2" xfId="15194" hidden="1"/>
    <cellStyle name="40% - Accent1 4 3 3 2" xfId="9153" hidden="1"/>
    <cellStyle name="40% - Accent1 4 3 3 2" xfId="8608" hidden="1"/>
    <cellStyle name="40% - Accent1 4 3 3 2" xfId="5980" hidden="1"/>
    <cellStyle name="40% - Accent1 4 3 3 2" xfId="5189" hidden="1"/>
    <cellStyle name="40% - Accent1 4 3 3 2" xfId="3906" hidden="1"/>
    <cellStyle name="40% - Accent1 4 3 3 2" xfId="3226" hidden="1"/>
    <cellStyle name="40% - Accent1 4 3 3 2" xfId="1785" hidden="1"/>
    <cellStyle name="40% - Accent1 4 3 3 2" xfId="397" hidden="1"/>
    <cellStyle name="40% - Accent1 4 3 3 2" xfId="16516" hidden="1"/>
    <cellStyle name="40% - Accent1 4 3 3 2" xfId="16631" hidden="1"/>
    <cellStyle name="40% - Accent1 4 3 3 2" xfId="17354" hidden="1"/>
    <cellStyle name="40% - Accent1 4 3 3 2" xfId="17527" hidden="1"/>
    <cellStyle name="40% - Accent1 4 3 3 2" xfId="17920" hidden="1"/>
    <cellStyle name="40% - Accent1 4 3 3 2" xfId="18068" hidden="1"/>
    <cellStyle name="40% - Accent1 4 3 3 2" xfId="18406" hidden="1"/>
    <cellStyle name="40% - Accent1 4 3 3 2" xfId="18743" hidden="1"/>
    <cellStyle name="40% - Accent1 4 3 3 2" xfId="19308" hidden="1"/>
    <cellStyle name="40% - Accent1 4 3 3 2" xfId="19423" hidden="1"/>
    <cellStyle name="40% - Accent1 4 3 3 2" xfId="20146" hidden="1"/>
    <cellStyle name="40% - Accent1 4 3 3 2" xfId="20319" hidden="1"/>
    <cellStyle name="40% - Accent1 4 3 3 2" xfId="20712" hidden="1"/>
    <cellStyle name="40% - Accent1 4 3 3 2" xfId="20860" hidden="1"/>
    <cellStyle name="40% - Accent1 4 3 3 2" xfId="21198" hidden="1"/>
    <cellStyle name="40% - Accent1 4 3 3 2" xfId="21535" hidden="1"/>
    <cellStyle name="40% - Accent1 4 3 3 2" xfId="15661" hidden="1"/>
    <cellStyle name="40% - Accent1 4 3 3 2" xfId="9705" hidden="1"/>
    <cellStyle name="40% - Accent1 4 3 3 2" xfId="6559" hidden="1"/>
    <cellStyle name="40% - Accent1 4 3 3 2" xfId="5709" hidden="1"/>
    <cellStyle name="40% - Accent1 4 3 3 2" xfId="4175" hidden="1"/>
    <cellStyle name="40% - Accent1 4 3 3 2" xfId="3455" hidden="1"/>
    <cellStyle name="40% - Accent1 4 3 3 2" xfId="1965" hidden="1"/>
    <cellStyle name="40% - Accent1 4 3 3 2" xfId="523" hidden="1"/>
    <cellStyle name="40% - Accent1 4 3 3 2" xfId="22667" hidden="1"/>
    <cellStyle name="40% - Accent1 4 3 3 2" xfId="22782" hidden="1"/>
    <cellStyle name="40% - Accent1 4 3 3 2" xfId="23505" hidden="1"/>
    <cellStyle name="40% - Accent1 4 3 3 2" xfId="23678" hidden="1"/>
    <cellStyle name="40% - Accent1 4 3 3 2" xfId="24071" hidden="1"/>
    <cellStyle name="40% - Accent1 4 3 3 2" xfId="24219" hidden="1"/>
    <cellStyle name="40% - Accent1 4 3 3 2" xfId="24557" hidden="1"/>
    <cellStyle name="40% - Accent1 4 3 3 2" xfId="24894" hidden="1"/>
    <cellStyle name="40% - Accent1 4 3 3 2" xfId="25459" hidden="1"/>
    <cellStyle name="40% - Accent1 4 3 3 2" xfId="25574" hidden="1"/>
    <cellStyle name="40% - Accent1 4 3 3 2" xfId="26297" hidden="1"/>
    <cellStyle name="40% - Accent1 4 3 3 2" xfId="26470" hidden="1"/>
    <cellStyle name="40% - Accent1 4 3 3 2" xfId="26863" hidden="1"/>
    <cellStyle name="40% - Accent1 4 3 3 2" xfId="27011" hidden="1"/>
    <cellStyle name="40% - Accent1 4 3 3 2" xfId="27349" hidden="1"/>
    <cellStyle name="40% - Accent1 4 3 3 2" xfId="27686" hidden="1"/>
    <cellStyle name="40% - Accent1 4 3 3 2" xfId="21917" hidden="1"/>
    <cellStyle name="40% - Accent1 4 3 3 2" xfId="16086" hidden="1"/>
    <cellStyle name="40% - Accent1 4 3 3 2" xfId="7264" hidden="1"/>
    <cellStyle name="40% - Accent1 4 3 3 2" xfId="6221" hidden="1"/>
    <cellStyle name="40% - Accent1 4 3 3 2" xfId="4445" hidden="1"/>
    <cellStyle name="40% - Accent1 4 3 3 2" xfId="3712" hidden="1"/>
    <cellStyle name="40% - Accent1 4 3 3 2" xfId="2145" hidden="1"/>
    <cellStyle name="40% - Accent1 4 3 3 2" xfId="634" hidden="1"/>
    <cellStyle name="40% - Accent1 4 3 3 2" xfId="28386" hidden="1"/>
    <cellStyle name="40% - Accent1 4 3 3 2" xfId="28501" hidden="1"/>
    <cellStyle name="40% - Accent1 4 3 3 2" xfId="29224" hidden="1"/>
    <cellStyle name="40% - Accent1 4 3 3 2" xfId="29397" hidden="1"/>
    <cellStyle name="40% - Accent1 4 3 3 2" xfId="29790" hidden="1"/>
    <cellStyle name="40% - Accent1 4 3 3 2" xfId="29938" hidden="1"/>
    <cellStyle name="40% - Accent1 4 3 3 2" xfId="30276" hidden="1"/>
    <cellStyle name="40% - Accent1 4 3 3 2" xfId="30613" hidden="1"/>
    <cellStyle name="40% - Accent1 4 3 3 2" xfId="31178" hidden="1"/>
    <cellStyle name="40% - Accent1 4 3 3 2" xfId="31293" hidden="1"/>
    <cellStyle name="40% - Accent1 4 3 3 2" xfId="32016" hidden="1"/>
    <cellStyle name="40% - Accent1 4 3 3 2" xfId="32189" hidden="1"/>
    <cellStyle name="40% - Accent1 4 3 3 2" xfId="32582" hidden="1"/>
    <cellStyle name="40% - Accent1 4 3 3 2" xfId="32730" hidden="1"/>
    <cellStyle name="40% - Accent1 4 3 3 2" xfId="33068" hidden="1"/>
    <cellStyle name="40% - Accent1 4 3 3 2" xfId="33405" hidden="1"/>
    <cellStyle name="40% - Accent1 5 2" xfId="758" hidden="1"/>
    <cellStyle name="40% - Accent1 5 2" xfId="966" hidden="1"/>
    <cellStyle name="40% - Accent1 5 2" xfId="3530" hidden="1"/>
    <cellStyle name="40% - Accent1 5 2" xfId="4045" hidden="1"/>
    <cellStyle name="40% - Accent1 5 2" xfId="5364" hidden="1"/>
    <cellStyle name="40% - Accent1 5 2" xfId="6061" hidden="1"/>
    <cellStyle name="40% - Accent1 5 2" xfId="7078" hidden="1"/>
    <cellStyle name="40% - Accent1 5 2" xfId="8282" hidden="1"/>
    <cellStyle name="40% - Accent1 5 2" xfId="10139" hidden="1"/>
    <cellStyle name="40% - Accent1 5 2" xfId="10254" hidden="1"/>
    <cellStyle name="40% - Accent1 5 2" xfId="10977" hidden="1"/>
    <cellStyle name="40% - Accent1 5 2" xfId="11150" hidden="1"/>
    <cellStyle name="40% - Accent1 5 2" xfId="11543" hidden="1"/>
    <cellStyle name="40% - Accent1 5 2" xfId="11691" hidden="1"/>
    <cellStyle name="40% - Accent1 5 2" xfId="12029" hidden="1"/>
    <cellStyle name="40% - Accent1 5 2" xfId="12366" hidden="1"/>
    <cellStyle name="40% - Accent1 5 2" xfId="12931" hidden="1"/>
    <cellStyle name="40% - Accent1 5 2" xfId="13046" hidden="1"/>
    <cellStyle name="40% - Accent1 5 2" xfId="13769" hidden="1"/>
    <cellStyle name="40% - Accent1 5 2" xfId="13942" hidden="1"/>
    <cellStyle name="40% - Accent1 5 2" xfId="14335" hidden="1"/>
    <cellStyle name="40% - Accent1 5 2" xfId="14483" hidden="1"/>
    <cellStyle name="40% - Accent1 5 2" xfId="14821" hidden="1"/>
    <cellStyle name="40% - Accent1 5 2" xfId="15158" hidden="1"/>
    <cellStyle name="40% - Accent1 5 2" xfId="9189" hidden="1"/>
    <cellStyle name="40% - Accent1 5 2" xfId="8644" hidden="1"/>
    <cellStyle name="40% - Accent1 5 2" xfId="6017" hidden="1"/>
    <cellStyle name="40% - Accent1 5 2" xfId="5225" hidden="1"/>
    <cellStyle name="40% - Accent1 5 2" xfId="3944" hidden="1"/>
    <cellStyle name="40% - Accent1 5 2" xfId="3262" hidden="1"/>
    <cellStyle name="40% - Accent1 5 2" xfId="1830" hidden="1"/>
    <cellStyle name="40% - Accent1 5 2" xfId="451" hidden="1"/>
    <cellStyle name="40% - Accent1 5 2" xfId="16480" hidden="1"/>
    <cellStyle name="40% - Accent1 5 2" xfId="16595" hidden="1"/>
    <cellStyle name="40% - Accent1 5 2" xfId="17318" hidden="1"/>
    <cellStyle name="40% - Accent1 5 2" xfId="17491" hidden="1"/>
    <cellStyle name="40% - Accent1 5 2" xfId="17884" hidden="1"/>
    <cellStyle name="40% - Accent1 5 2" xfId="18032" hidden="1"/>
    <cellStyle name="40% - Accent1 5 2" xfId="18370" hidden="1"/>
    <cellStyle name="40% - Accent1 5 2" xfId="18707" hidden="1"/>
    <cellStyle name="40% - Accent1 5 2" xfId="19272" hidden="1"/>
    <cellStyle name="40% - Accent1 5 2" xfId="19387" hidden="1"/>
    <cellStyle name="40% - Accent1 5 2" xfId="20110" hidden="1"/>
    <cellStyle name="40% - Accent1 5 2" xfId="20283" hidden="1"/>
    <cellStyle name="40% - Accent1 5 2" xfId="20676" hidden="1"/>
    <cellStyle name="40% - Accent1 5 2" xfId="20824" hidden="1"/>
    <cellStyle name="40% - Accent1 5 2" xfId="21162" hidden="1"/>
    <cellStyle name="40% - Accent1 5 2" xfId="21499" hidden="1"/>
    <cellStyle name="40% - Accent1 5 2" xfId="15697" hidden="1"/>
    <cellStyle name="40% - Accent1 5 2" xfId="9741" hidden="1"/>
    <cellStyle name="40% - Accent1 5 2" xfId="6600" hidden="1"/>
    <cellStyle name="40% - Accent1 5 2" xfId="5755" hidden="1"/>
    <cellStyle name="40% - Accent1 5 2" xfId="4211" hidden="1"/>
    <cellStyle name="40% - Accent1 5 2" xfId="3492" hidden="1"/>
    <cellStyle name="40% - Accent1 5 2" xfId="2003" hidden="1"/>
    <cellStyle name="40% - Accent1 5 2" xfId="563" hidden="1"/>
    <cellStyle name="40% - Accent1 5 2" xfId="22631" hidden="1"/>
    <cellStyle name="40% - Accent1 5 2" xfId="22746" hidden="1"/>
    <cellStyle name="40% - Accent1 5 2" xfId="23469" hidden="1"/>
    <cellStyle name="40% - Accent1 5 2" xfId="23642" hidden="1"/>
    <cellStyle name="40% - Accent1 5 2" xfId="24035" hidden="1"/>
    <cellStyle name="40% - Accent1 5 2" xfId="24183" hidden="1"/>
    <cellStyle name="40% - Accent1 5 2" xfId="24521" hidden="1"/>
    <cellStyle name="40% - Accent1 5 2" xfId="24858" hidden="1"/>
    <cellStyle name="40% - Accent1 5 2" xfId="25423" hidden="1"/>
    <cellStyle name="40% - Accent1 5 2" xfId="25538" hidden="1"/>
    <cellStyle name="40% - Accent1 5 2" xfId="26261" hidden="1"/>
    <cellStyle name="40% - Accent1 5 2" xfId="26434" hidden="1"/>
    <cellStyle name="40% - Accent1 5 2" xfId="26827" hidden="1"/>
    <cellStyle name="40% - Accent1 5 2" xfId="26975" hidden="1"/>
    <cellStyle name="40% - Accent1 5 2" xfId="27313" hidden="1"/>
    <cellStyle name="40% - Accent1 5 2" xfId="27650" hidden="1"/>
    <cellStyle name="40% - Accent1 5 2" xfId="21953" hidden="1"/>
    <cellStyle name="40% - Accent1 5 2" xfId="16122" hidden="1"/>
    <cellStyle name="40% - Accent1 5 2" xfId="7303" hidden="1"/>
    <cellStyle name="40% - Accent1 5 2" xfId="6264" hidden="1"/>
    <cellStyle name="40% - Accent1 5 2" xfId="4516" hidden="1"/>
    <cellStyle name="40% - Accent1 5 2" xfId="3748" hidden="1"/>
    <cellStyle name="40% - Accent1 5 2" xfId="2183" hidden="1"/>
    <cellStyle name="40% - Accent1 5 2" xfId="698" hidden="1"/>
    <cellStyle name="40% - Accent1 5 2" xfId="28350" hidden="1"/>
    <cellStyle name="40% - Accent1 5 2" xfId="28465" hidden="1"/>
    <cellStyle name="40% - Accent1 5 2" xfId="29188" hidden="1"/>
    <cellStyle name="40% - Accent1 5 2" xfId="29361" hidden="1"/>
    <cellStyle name="40% - Accent1 5 2" xfId="29754" hidden="1"/>
    <cellStyle name="40% - Accent1 5 2" xfId="29902" hidden="1"/>
    <cellStyle name="40% - Accent1 5 2" xfId="30240" hidden="1"/>
    <cellStyle name="40% - Accent1 5 2" xfId="30577" hidden="1"/>
    <cellStyle name="40% - Accent1 5 2" xfId="31142" hidden="1"/>
    <cellStyle name="40% - Accent1 5 2" xfId="31257" hidden="1"/>
    <cellStyle name="40% - Accent1 5 2" xfId="31980" hidden="1"/>
    <cellStyle name="40% - Accent1 5 2" xfId="32153" hidden="1"/>
    <cellStyle name="40% - Accent1 5 2" xfId="32546" hidden="1"/>
    <cellStyle name="40% - Accent1 5 2" xfId="32694" hidden="1"/>
    <cellStyle name="40% - Accent1 5 2" xfId="33032" hidden="1"/>
    <cellStyle name="40% - Accent1 5 2" xfId="33369" hidden="1"/>
    <cellStyle name="40% - Accent1 7" xfId="125" hidden="1"/>
    <cellStyle name="40% - Accent1 7" xfId="137" hidden="1"/>
    <cellStyle name="40% - Accent1 7" xfId="271" hidden="1"/>
    <cellStyle name="40% - Accent1 7" xfId="439" hidden="1"/>
    <cellStyle name="40% - Accent1 7" xfId="2296" hidden="1"/>
    <cellStyle name="40% - Accent1 7" xfId="2439" hidden="1"/>
    <cellStyle name="40% - Accent1 7" xfId="2610" hidden="1"/>
    <cellStyle name="40% - Accent1 7" xfId="2075" hidden="1"/>
    <cellStyle name="40% - Accent1 7" xfId="1748" hidden="1"/>
    <cellStyle name="40% - Accent1 7" xfId="1871" hidden="1"/>
    <cellStyle name="40% - Accent1 7" xfId="2892" hidden="1"/>
    <cellStyle name="40% - Accent1 7" xfId="4403" hidden="1"/>
    <cellStyle name="40% - Accent1 7" xfId="4629" hidden="1"/>
    <cellStyle name="40% - Accent1 7" xfId="2868" hidden="1"/>
    <cellStyle name="40% - Accent1 7" xfId="3372" hidden="1"/>
    <cellStyle name="40% - Accent1 7" xfId="1694" hidden="1"/>
    <cellStyle name="40% - Accent1 7" xfId="4868" hidden="1"/>
    <cellStyle name="40% - Accent1 7" xfId="6382" hidden="1"/>
    <cellStyle name="40% - Accent1 7" xfId="6509" hidden="1"/>
    <cellStyle name="40% - Accent1 7" xfId="2202" hidden="1"/>
    <cellStyle name="40% - Accent1 7" xfId="7559" hidden="1"/>
    <cellStyle name="40% - Accent1 7" xfId="7726" hidden="1"/>
    <cellStyle name="40% - Accent1 7" xfId="3961" hidden="1"/>
    <cellStyle name="40% - Accent1 7" xfId="8797" hidden="1"/>
    <cellStyle name="40% - Accent1 7" xfId="9816" hidden="1"/>
    <cellStyle name="40% - Accent1 7" xfId="9828" hidden="1"/>
    <cellStyle name="40% - Accent1 7" xfId="9956" hidden="1"/>
    <cellStyle name="40% - Accent1 7" xfId="10047" hidden="1"/>
    <cellStyle name="40% - Accent1 7" xfId="10631" hidden="1"/>
    <cellStyle name="40% - Accent1 7" xfId="10695" hidden="1"/>
    <cellStyle name="40% - Accent1 7" xfId="10786" hidden="1"/>
    <cellStyle name="40% - Accent1 7" xfId="10537" hidden="1"/>
    <cellStyle name="40% - Accent1 7" xfId="10411" hidden="1"/>
    <cellStyle name="40% - Accent1 7" xfId="10446" hidden="1"/>
    <cellStyle name="40% - Accent1 7" xfId="10888" hidden="1"/>
    <cellStyle name="40% - Accent1 7" xfId="11290" hidden="1"/>
    <cellStyle name="40% - Accent1 7" xfId="11381" hidden="1"/>
    <cellStyle name="40% - Accent1 7" xfId="10883" hidden="1"/>
    <cellStyle name="40% - Accent1 7" xfId="10951" hidden="1"/>
    <cellStyle name="40% - Accent1 7" xfId="10375" hidden="1"/>
    <cellStyle name="40% - Accent1 7" xfId="11476" hidden="1"/>
    <cellStyle name="40% - Accent1 7" xfId="11822" hidden="1"/>
    <cellStyle name="40% - Accent1 7" xfId="11913" hidden="1"/>
    <cellStyle name="40% - Accent1 7" xfId="10556" hidden="1"/>
    <cellStyle name="40% - Accent1 7" xfId="12159" hidden="1"/>
    <cellStyle name="40% - Accent1 7" xfId="12250" hidden="1"/>
    <cellStyle name="40% - Accent1 7" xfId="11114" hidden="1"/>
    <cellStyle name="40% - Accent1 7" xfId="12496" hidden="1"/>
    <cellStyle name="40% - Accent1 7" xfId="12608" hidden="1"/>
    <cellStyle name="40% - Accent1 7" xfId="12620" hidden="1"/>
    <cellStyle name="40% - Accent1 7" xfId="12748" hidden="1"/>
    <cellStyle name="40% - Accent1 7" xfId="12839" hidden="1"/>
    <cellStyle name="40% - Accent1 7" xfId="13423" hidden="1"/>
    <cellStyle name="40% - Accent1 7" xfId="13487" hidden="1"/>
    <cellStyle name="40% - Accent1 7" xfId="13578" hidden="1"/>
    <cellStyle name="40% - Accent1 7" xfId="13329" hidden="1"/>
    <cellStyle name="40% - Accent1 7" xfId="13203" hidden="1"/>
    <cellStyle name="40% - Accent1 7" xfId="13238" hidden="1"/>
    <cellStyle name="40% - Accent1 7" xfId="13680" hidden="1"/>
    <cellStyle name="40% - Accent1 7" xfId="14082" hidden="1"/>
    <cellStyle name="40% - Accent1 7" xfId="14173" hidden="1"/>
    <cellStyle name="40% - Accent1 7" xfId="13675" hidden="1"/>
    <cellStyle name="40% - Accent1 7" xfId="13743" hidden="1"/>
    <cellStyle name="40% - Accent1 7" xfId="13167" hidden="1"/>
    <cellStyle name="40% - Accent1 7" xfId="14268" hidden="1"/>
    <cellStyle name="40% - Accent1 7" xfId="14614" hidden="1"/>
    <cellStyle name="40% - Accent1 7" xfId="14705" hidden="1"/>
    <cellStyle name="40% - Accent1 7" xfId="13348" hidden="1"/>
    <cellStyle name="40% - Accent1 7" xfId="14951" hidden="1"/>
    <cellStyle name="40% - Accent1 7" xfId="15042" hidden="1"/>
    <cellStyle name="40% - Accent1 7" xfId="13906" hidden="1"/>
    <cellStyle name="40% - Accent1 7" xfId="15288" hidden="1"/>
    <cellStyle name="40% - Accent1 7" xfId="9645" hidden="1"/>
    <cellStyle name="40% - Accent1 7" xfId="9633" hidden="1"/>
    <cellStyle name="40% - Accent1 7" xfId="9455" hidden="1"/>
    <cellStyle name="40% - Accent1 7" xfId="9324" hidden="1"/>
    <cellStyle name="40% - Accent1 7" xfId="7170" hidden="1"/>
    <cellStyle name="40% - Accent1 7" xfId="6974" hidden="1"/>
    <cellStyle name="40% - Accent1 7" xfId="6870" hidden="1"/>
    <cellStyle name="40% - Accent1 7" xfId="7423" hidden="1"/>
    <cellStyle name="40% - Accent1 7" xfId="7949" hidden="1"/>
    <cellStyle name="40% - Accent1 7" xfId="7812" hidden="1"/>
    <cellStyle name="40% - Accent1 7" xfId="6707" hidden="1"/>
    <cellStyle name="40% - Accent1 7" xfId="4825" hidden="1"/>
    <cellStyle name="40% - Accent1 7" xfId="4638" hidden="1"/>
    <cellStyle name="40% - Accent1 7" xfId="6723" hidden="1"/>
    <cellStyle name="40% - Accent1 7" xfId="6293" hidden="1"/>
    <cellStyle name="40% - Accent1 7" xfId="8060" hidden="1"/>
    <cellStyle name="40% - Accent1 7" xfId="4290" hidden="1"/>
    <cellStyle name="40% - Accent1 7" xfId="2689" hidden="1"/>
    <cellStyle name="40% - Accent1 7" xfId="2473" hidden="1"/>
    <cellStyle name="40% - Accent1 7" xfId="7374" hidden="1"/>
    <cellStyle name="40% - Accent1 7" xfId="1351" hidden="1"/>
    <cellStyle name="40% - Accent1 7" xfId="1152" hidden="1"/>
    <cellStyle name="40% - Accent1 7" xfId="5531" hidden="1"/>
    <cellStyle name="40% - Accent1 7" xfId="15431" hidden="1"/>
    <cellStyle name="40% - Accent1 7" xfId="16157" hidden="1"/>
    <cellStyle name="40% - Accent1 7" xfId="16169" hidden="1"/>
    <cellStyle name="40% - Accent1 7" xfId="16297" hidden="1"/>
    <cellStyle name="40% - Accent1 7" xfId="16388" hidden="1"/>
    <cellStyle name="40% - Accent1 7" xfId="16972" hidden="1"/>
    <cellStyle name="40% - Accent1 7" xfId="17036" hidden="1"/>
    <cellStyle name="40% - Accent1 7" xfId="17127" hidden="1"/>
    <cellStyle name="40% - Accent1 7" xfId="16878" hidden="1"/>
    <cellStyle name="40% - Accent1 7" xfId="16752" hidden="1"/>
    <cellStyle name="40% - Accent1 7" xfId="16787" hidden="1"/>
    <cellStyle name="40% - Accent1 7" xfId="17229" hidden="1"/>
    <cellStyle name="40% - Accent1 7" xfId="17631" hidden="1"/>
    <cellStyle name="40% - Accent1 7" xfId="17722" hidden="1"/>
    <cellStyle name="40% - Accent1 7" xfId="17224" hidden="1"/>
    <cellStyle name="40% - Accent1 7" xfId="17292" hidden="1"/>
    <cellStyle name="40% - Accent1 7" xfId="16716" hidden="1"/>
    <cellStyle name="40% - Accent1 7" xfId="17817" hidden="1"/>
    <cellStyle name="40% - Accent1 7" xfId="18163" hidden="1"/>
    <cellStyle name="40% - Accent1 7" xfId="18254" hidden="1"/>
    <cellStyle name="40% - Accent1 7" xfId="16897" hidden="1"/>
    <cellStyle name="40% - Accent1 7" xfId="18500" hidden="1"/>
    <cellStyle name="40% - Accent1 7" xfId="18591" hidden="1"/>
    <cellStyle name="40% - Accent1 7" xfId="17455" hidden="1"/>
    <cellStyle name="40% - Accent1 7" xfId="18837" hidden="1"/>
    <cellStyle name="40% - Accent1 7" xfId="18949" hidden="1"/>
    <cellStyle name="40% - Accent1 7" xfId="18961" hidden="1"/>
    <cellStyle name="40% - Accent1 7" xfId="19089" hidden="1"/>
    <cellStyle name="40% - Accent1 7" xfId="19180" hidden="1"/>
    <cellStyle name="40% - Accent1 7" xfId="19764" hidden="1"/>
    <cellStyle name="40% - Accent1 7" xfId="19828" hidden="1"/>
    <cellStyle name="40% - Accent1 7" xfId="19919" hidden="1"/>
    <cellStyle name="40% - Accent1 7" xfId="19670" hidden="1"/>
    <cellStyle name="40% - Accent1 7" xfId="19544" hidden="1"/>
    <cellStyle name="40% - Accent1 7" xfId="19579" hidden="1"/>
    <cellStyle name="40% - Accent1 7" xfId="20021" hidden="1"/>
    <cellStyle name="40% - Accent1 7" xfId="20423" hidden="1"/>
    <cellStyle name="40% - Accent1 7" xfId="20514" hidden="1"/>
    <cellStyle name="40% - Accent1 7" xfId="20016" hidden="1"/>
    <cellStyle name="40% - Accent1 7" xfId="20084" hidden="1"/>
    <cellStyle name="40% - Accent1 7" xfId="19508" hidden="1"/>
    <cellStyle name="40% - Accent1 7" xfId="20609" hidden="1"/>
    <cellStyle name="40% - Accent1 7" xfId="20955" hidden="1"/>
    <cellStyle name="40% - Accent1 7" xfId="21046" hidden="1"/>
    <cellStyle name="40% - Accent1 7" xfId="19689" hidden="1"/>
    <cellStyle name="40% - Accent1 7" xfId="21292" hidden="1"/>
    <cellStyle name="40% - Accent1 7" xfId="21383" hidden="1"/>
    <cellStyle name="40% - Accent1 7" xfId="20247" hidden="1"/>
    <cellStyle name="40% - Accent1 7" xfId="21629" hidden="1"/>
    <cellStyle name="40% - Accent1 7" xfId="16034" hidden="1"/>
    <cellStyle name="40% - Accent1 7" xfId="16022" hidden="1"/>
    <cellStyle name="40% - Accent1 7" xfId="15894" hidden="1"/>
    <cellStyle name="40% - Accent1 7" xfId="15798" hidden="1"/>
    <cellStyle name="40% - Accent1 7" xfId="8095" hidden="1"/>
    <cellStyle name="40% - Accent1 7" xfId="7943" hidden="1"/>
    <cellStyle name="40% - Accent1 7" xfId="7698" hidden="1"/>
    <cellStyle name="40% - Accent1 7" xfId="8373" hidden="1"/>
    <cellStyle name="40% - Accent1 7" xfId="8842" hidden="1"/>
    <cellStyle name="40% - Accent1 7" xfId="8703" hidden="1"/>
    <cellStyle name="40% - Accent1 7" xfId="7378" hidden="1"/>
    <cellStyle name="40% - Accent1 7" xfId="5276" hidden="1"/>
    <cellStyle name="40% - Accent1 7" xfId="5059" hidden="1"/>
    <cellStyle name="40% - Accent1 7" xfId="7385" hidden="1"/>
    <cellStyle name="40% - Accent1 7" xfId="6840" hidden="1"/>
    <cellStyle name="40% - Accent1 7" xfId="9008" hidden="1"/>
    <cellStyle name="40% - Accent1 7" xfId="4913" hidden="1"/>
    <cellStyle name="40% - Accent1 7" xfId="3011" hidden="1"/>
    <cellStyle name="40% - Accent1 7" xfId="2856" hidden="1"/>
    <cellStyle name="40% - Accent1 7" xfId="8228" hidden="1"/>
    <cellStyle name="40% - Accent1 7" xfId="1506" hidden="1"/>
    <cellStyle name="40% - Accent1 7" xfId="1292" hidden="1"/>
    <cellStyle name="40% - Accent1 7" xfId="5915" hidden="1"/>
    <cellStyle name="40% - Accent1 7" xfId="21765" hidden="1"/>
    <cellStyle name="40% - Accent1 7" xfId="22308" hidden="1"/>
    <cellStyle name="40% - Accent1 7" xfId="22320" hidden="1"/>
    <cellStyle name="40% - Accent1 7" xfId="22448" hidden="1"/>
    <cellStyle name="40% - Accent1 7" xfId="22539" hidden="1"/>
    <cellStyle name="40% - Accent1 7" xfId="23123" hidden="1"/>
    <cellStyle name="40% - Accent1 7" xfId="23187" hidden="1"/>
    <cellStyle name="40% - Accent1 7" xfId="23278" hidden="1"/>
    <cellStyle name="40% - Accent1 7" xfId="23029" hidden="1"/>
    <cellStyle name="40% - Accent1 7" xfId="22903" hidden="1"/>
    <cellStyle name="40% - Accent1 7" xfId="22938" hidden="1"/>
    <cellStyle name="40% - Accent1 7" xfId="23380" hidden="1"/>
    <cellStyle name="40% - Accent1 7" xfId="23782" hidden="1"/>
    <cellStyle name="40% - Accent1 7" xfId="23873" hidden="1"/>
    <cellStyle name="40% - Accent1 7" xfId="23375" hidden="1"/>
    <cellStyle name="40% - Accent1 7" xfId="23443" hidden="1"/>
    <cellStyle name="40% - Accent1 7" xfId="22867" hidden="1"/>
    <cellStyle name="40% - Accent1 7" xfId="23968" hidden="1"/>
    <cellStyle name="40% - Accent1 7" xfId="24314" hidden="1"/>
    <cellStyle name="40% - Accent1 7" xfId="24405" hidden="1"/>
    <cellStyle name="40% - Accent1 7" xfId="23048" hidden="1"/>
    <cellStyle name="40% - Accent1 7" xfId="24651" hidden="1"/>
    <cellStyle name="40% - Accent1 7" xfId="24742" hidden="1"/>
    <cellStyle name="40% - Accent1 7" xfId="23606" hidden="1"/>
    <cellStyle name="40% - Accent1 7" xfId="24988" hidden="1"/>
    <cellStyle name="40% - Accent1 7" xfId="25100" hidden="1"/>
    <cellStyle name="40% - Accent1 7" xfId="25112" hidden="1"/>
    <cellStyle name="40% - Accent1 7" xfId="25240" hidden="1"/>
    <cellStyle name="40% - Accent1 7" xfId="25331" hidden="1"/>
    <cellStyle name="40% - Accent1 7" xfId="25915" hidden="1"/>
    <cellStyle name="40% - Accent1 7" xfId="25979" hidden="1"/>
    <cellStyle name="40% - Accent1 7" xfId="26070" hidden="1"/>
    <cellStyle name="40% - Accent1 7" xfId="25821" hidden="1"/>
    <cellStyle name="40% - Accent1 7" xfId="25695" hidden="1"/>
    <cellStyle name="40% - Accent1 7" xfId="25730" hidden="1"/>
    <cellStyle name="40% - Accent1 7" xfId="26172" hidden="1"/>
    <cellStyle name="40% - Accent1 7" xfId="26574" hidden="1"/>
    <cellStyle name="40% - Accent1 7" xfId="26665" hidden="1"/>
    <cellStyle name="40% - Accent1 7" xfId="26167" hidden="1"/>
    <cellStyle name="40% - Accent1 7" xfId="26235" hidden="1"/>
    <cellStyle name="40% - Accent1 7" xfId="25659" hidden="1"/>
    <cellStyle name="40% - Accent1 7" xfId="26760" hidden="1"/>
    <cellStyle name="40% - Accent1 7" xfId="27106" hidden="1"/>
    <cellStyle name="40% - Accent1 7" xfId="27197" hidden="1"/>
    <cellStyle name="40% - Accent1 7" xfId="25840" hidden="1"/>
    <cellStyle name="40% - Accent1 7" xfId="27443" hidden="1"/>
    <cellStyle name="40% - Accent1 7" xfId="27534" hidden="1"/>
    <cellStyle name="40% - Accent1 7" xfId="26398" hidden="1"/>
    <cellStyle name="40% - Accent1 7" xfId="27780" hidden="1"/>
    <cellStyle name="40% - Accent1 7" xfId="22287" hidden="1"/>
    <cellStyle name="40% - Accent1 7" xfId="22275" hidden="1"/>
    <cellStyle name="40% - Accent1 7" xfId="22147" hidden="1"/>
    <cellStyle name="40% - Accent1 7" xfId="22051" hidden="1"/>
    <cellStyle name="40% - Accent1 7" xfId="9029" hidden="1"/>
    <cellStyle name="40% - Accent1 7" xfId="8844" hidden="1"/>
    <cellStyle name="40% - Accent1 7" xfId="8526" hidden="1"/>
    <cellStyle name="40% - Accent1 7" xfId="9401" hidden="1"/>
    <cellStyle name="40% - Accent1 7" xfId="15460" hidden="1"/>
    <cellStyle name="40% - Accent1 7" xfId="9773" hidden="1"/>
    <cellStyle name="40% - Accent1 7" xfId="8231" hidden="1"/>
    <cellStyle name="40% - Accent1 7" xfId="5821" hidden="1"/>
    <cellStyle name="40% - Accent1 7" xfId="5565" hidden="1"/>
    <cellStyle name="40% - Accent1 7" xfId="8238" hidden="1"/>
    <cellStyle name="40% - Accent1 7" xfId="7591" hidden="1"/>
    <cellStyle name="40% - Accent1 7" xfId="15567" hidden="1"/>
    <cellStyle name="40% - Accent1 7" xfId="5344" hidden="1"/>
    <cellStyle name="40% - Accent1 7" xfId="3343" hidden="1"/>
    <cellStyle name="40% - Accent1 7" xfId="3137" hidden="1"/>
    <cellStyle name="40% - Accent1 7" xfId="9302" hidden="1"/>
    <cellStyle name="40% - Accent1 7" xfId="1638" hidden="1"/>
    <cellStyle name="40% - Accent1 7" xfId="1451" hidden="1"/>
    <cellStyle name="40% - Accent1 7" xfId="6383" hidden="1"/>
    <cellStyle name="40% - Accent1 7" xfId="27915" hidden="1"/>
    <cellStyle name="40% - Accent1 7" xfId="28027" hidden="1"/>
    <cellStyle name="40% - Accent1 7" xfId="28039" hidden="1"/>
    <cellStyle name="40% - Accent1 7" xfId="28167" hidden="1"/>
    <cellStyle name="40% - Accent1 7" xfId="28258" hidden="1"/>
    <cellStyle name="40% - Accent1 7" xfId="28842" hidden="1"/>
    <cellStyle name="40% - Accent1 7" xfId="28906" hidden="1"/>
    <cellStyle name="40% - Accent1 7" xfId="28997" hidden="1"/>
    <cellStyle name="40% - Accent1 7" xfId="28748" hidden="1"/>
    <cellStyle name="40% - Accent1 7" xfId="28622" hidden="1"/>
    <cellStyle name="40% - Accent1 7" xfId="28657" hidden="1"/>
    <cellStyle name="40% - Accent1 7" xfId="29099" hidden="1"/>
    <cellStyle name="40% - Accent1 7" xfId="29501" hidden="1"/>
    <cellStyle name="40% - Accent1 7" xfId="29592" hidden="1"/>
    <cellStyle name="40% - Accent1 7" xfId="29094" hidden="1"/>
    <cellStyle name="40% - Accent1 7" xfId="29162" hidden="1"/>
    <cellStyle name="40% - Accent1 7" xfId="28586" hidden="1"/>
    <cellStyle name="40% - Accent1 7" xfId="29687" hidden="1"/>
    <cellStyle name="40% - Accent1 7" xfId="30033" hidden="1"/>
    <cellStyle name="40% - Accent1 7" xfId="30124" hidden="1"/>
    <cellStyle name="40% - Accent1 7" xfId="28767" hidden="1"/>
    <cellStyle name="40% - Accent1 7" xfId="30370" hidden="1"/>
    <cellStyle name="40% - Accent1 7" xfId="30461" hidden="1"/>
    <cellStyle name="40% - Accent1 7" xfId="29325" hidden="1"/>
    <cellStyle name="40% - Accent1 7" xfId="30707" hidden="1"/>
    <cellStyle name="40% - Accent1 7" xfId="30819" hidden="1"/>
    <cellStyle name="40% - Accent1 7" xfId="30831" hidden="1"/>
    <cellStyle name="40% - Accent1 7" xfId="30959" hidden="1"/>
    <cellStyle name="40% - Accent1 7" xfId="31050" hidden="1"/>
    <cellStyle name="40% - Accent1 7" xfId="31634" hidden="1"/>
    <cellStyle name="40% - Accent1 7" xfId="31698" hidden="1"/>
    <cellStyle name="40% - Accent1 7" xfId="31789" hidden="1"/>
    <cellStyle name="40% - Accent1 7" xfId="31540" hidden="1"/>
    <cellStyle name="40% - Accent1 7" xfId="31414" hidden="1"/>
    <cellStyle name="40% - Accent1 7" xfId="31449" hidden="1"/>
    <cellStyle name="40% - Accent1 7" xfId="31891" hidden="1"/>
    <cellStyle name="40% - Accent1 7" xfId="32293" hidden="1"/>
    <cellStyle name="40% - Accent1 7" xfId="32384" hidden="1"/>
    <cellStyle name="40% - Accent1 7" xfId="31886" hidden="1"/>
    <cellStyle name="40% - Accent1 7" xfId="31954" hidden="1"/>
    <cellStyle name="40% - Accent1 7" xfId="31378" hidden="1"/>
    <cellStyle name="40% - Accent1 7" xfId="32479" hidden="1"/>
    <cellStyle name="40% - Accent1 7" xfId="32825" hidden="1"/>
    <cellStyle name="40% - Accent1 7" xfId="32916" hidden="1"/>
    <cellStyle name="40% - Accent1 7" xfId="31559" hidden="1"/>
    <cellStyle name="40% - Accent1 7" xfId="33162" hidden="1"/>
    <cellStyle name="40% - Accent1 7" xfId="33253" hidden="1"/>
    <cellStyle name="40% - Accent1 7" xfId="32117" hidden="1"/>
    <cellStyle name="40% - Accent1 7" xfId="33499" hidden="1"/>
    <cellStyle name="40% - Accent1 8" xfId="141" hidden="1"/>
    <cellStyle name="40% - Accent1 8" xfId="221" hidden="1"/>
    <cellStyle name="40% - Accent1 8" xfId="302" hidden="1"/>
    <cellStyle name="40% - Accent1 8" xfId="548" hidden="1"/>
    <cellStyle name="40% - Accent1 8" xfId="2364" hidden="1"/>
    <cellStyle name="40% - Accent1 8" xfId="2497" hidden="1"/>
    <cellStyle name="40% - Accent1 8" xfId="2654" hidden="1"/>
    <cellStyle name="40% - Accent1 8" xfId="1957" hidden="1"/>
    <cellStyle name="40% - Accent1 8" xfId="3121" hidden="1"/>
    <cellStyle name="40% - Accent1 8" xfId="1879" hidden="1"/>
    <cellStyle name="40% - Accent1 8" xfId="1900" hidden="1"/>
    <cellStyle name="40% - Accent1 8" xfId="4526" hidden="1"/>
    <cellStyle name="40% - Accent1 8" xfId="4679" hidden="1"/>
    <cellStyle name="40% - Accent1 8" xfId="2089" hidden="1"/>
    <cellStyle name="40% - Accent1 8" xfId="4983" hidden="1"/>
    <cellStyle name="40% - Accent1 8" xfId="2207" hidden="1"/>
    <cellStyle name="40% - Accent1 8" xfId="2274" hidden="1"/>
    <cellStyle name="40% - Accent1 8" xfId="6419" hidden="1"/>
    <cellStyle name="40% - Accent1 8" xfId="6612" hidden="1"/>
    <cellStyle name="40% - Accent1 8" xfId="1946" hidden="1"/>
    <cellStyle name="40% - Accent1 8" xfId="7614" hidden="1"/>
    <cellStyle name="40% - Accent1 8" xfId="7786" hidden="1"/>
    <cellStyle name="40% - Accent1 8" xfId="6307" hidden="1"/>
    <cellStyle name="40% - Accent1 8" xfId="8870" hidden="1"/>
    <cellStyle name="40% - Accent1 8" xfId="9832" hidden="1"/>
    <cellStyle name="40% - Accent1 8" xfId="9906" hidden="1"/>
    <cellStyle name="40% - Accent1 8" xfId="9984" hidden="1"/>
    <cellStyle name="40% - Accent1 8" xfId="10062" hidden="1"/>
    <cellStyle name="40% - Accent1 8" xfId="10644" hidden="1"/>
    <cellStyle name="40% - Accent1 8" xfId="10723" hidden="1"/>
    <cellStyle name="40% - Accent1 8" xfId="10802" hidden="1"/>
    <cellStyle name="40% - Accent1 8" xfId="10484" hidden="1"/>
    <cellStyle name="40% - Accent1 8" xfId="10932" hidden="1"/>
    <cellStyle name="40% - Accent1 8" xfId="10453" hidden="1"/>
    <cellStyle name="40% - Accent1 8" xfId="10469" hidden="1"/>
    <cellStyle name="40% - Accent1 8" xfId="11318" hidden="1"/>
    <cellStyle name="40% - Accent1 8" xfId="11396" hidden="1"/>
    <cellStyle name="40% - Accent1 8" xfId="10547" hidden="1"/>
    <cellStyle name="40% - Accent1 8" xfId="11505" hidden="1"/>
    <cellStyle name="40% - Accent1 8" xfId="10561" hidden="1"/>
    <cellStyle name="40% - Accent1 8" xfId="10613" hidden="1"/>
    <cellStyle name="40% - Accent1 8" xfId="11850" hidden="1"/>
    <cellStyle name="40% - Accent1 8" xfId="11928" hidden="1"/>
    <cellStyle name="40% - Accent1 8" xfId="10481" hidden="1"/>
    <cellStyle name="40% - Accent1 8" xfId="12187" hidden="1"/>
    <cellStyle name="40% - Accent1 8" xfId="12265" hidden="1"/>
    <cellStyle name="40% - Accent1 8" xfId="11777" hidden="1"/>
    <cellStyle name="40% - Accent1 8" xfId="12524" hidden="1"/>
    <cellStyle name="40% - Accent1 8" xfId="12624" hidden="1"/>
    <cellStyle name="40% - Accent1 8" xfId="12698" hidden="1"/>
    <cellStyle name="40% - Accent1 8" xfId="12776" hidden="1"/>
    <cellStyle name="40% - Accent1 8" xfId="12854" hidden="1"/>
    <cellStyle name="40% - Accent1 8" xfId="13436" hidden="1"/>
    <cellStyle name="40% - Accent1 8" xfId="13515" hidden="1"/>
    <cellStyle name="40% - Accent1 8" xfId="13594" hidden="1"/>
    <cellStyle name="40% - Accent1 8" xfId="13276" hidden="1"/>
    <cellStyle name="40% - Accent1 8" xfId="13724" hidden="1"/>
    <cellStyle name="40% - Accent1 8" xfId="13245" hidden="1"/>
    <cellStyle name="40% - Accent1 8" xfId="13261" hidden="1"/>
    <cellStyle name="40% - Accent1 8" xfId="14110" hidden="1"/>
    <cellStyle name="40% - Accent1 8" xfId="14188" hidden="1"/>
    <cellStyle name="40% - Accent1 8" xfId="13339" hidden="1"/>
    <cellStyle name="40% - Accent1 8" xfId="14297" hidden="1"/>
    <cellStyle name="40% - Accent1 8" xfId="13353" hidden="1"/>
    <cellStyle name="40% - Accent1 8" xfId="13405" hidden="1"/>
    <cellStyle name="40% - Accent1 8" xfId="14642" hidden="1"/>
    <cellStyle name="40% - Accent1 8" xfId="14720" hidden="1"/>
    <cellStyle name="40% - Accent1 8" xfId="13273" hidden="1"/>
    <cellStyle name="40% - Accent1 8" xfId="14979" hidden="1"/>
    <cellStyle name="40% - Accent1 8" xfId="15057" hidden="1"/>
    <cellStyle name="40% - Accent1 8" xfId="14569" hidden="1"/>
    <cellStyle name="40% - Accent1 8" xfId="15316" hidden="1"/>
    <cellStyle name="40% - Accent1 8" xfId="9628" hidden="1"/>
    <cellStyle name="40% - Accent1 8" xfId="9532" hidden="1"/>
    <cellStyle name="40% - Accent1 8" xfId="9412" hidden="1"/>
    <cellStyle name="40% - Accent1 8" xfId="9304" hidden="1"/>
    <cellStyle name="40% - Accent1 8" xfId="7038" hidden="1"/>
    <cellStyle name="40% - Accent1 8" xfId="6942" hidden="1"/>
    <cellStyle name="40% - Accent1 8" xfId="6852" hidden="1"/>
    <cellStyle name="40% - Accent1 8" xfId="7622" hidden="1"/>
    <cellStyle name="40% - Accent1 8" xfId="6350" hidden="1"/>
    <cellStyle name="40% - Accent1 8" xfId="7782" hidden="1"/>
    <cellStyle name="40% - Accent1 8" xfId="7675" hidden="1"/>
    <cellStyle name="40% - Accent1 8" xfId="4784" hidden="1"/>
    <cellStyle name="40% - Accent1 8" xfId="4558" hidden="1"/>
    <cellStyle name="40% - Accent1 8" xfId="7404" hidden="1"/>
    <cellStyle name="40% - Accent1 8" xfId="4241" hidden="1"/>
    <cellStyle name="40% - Accent1 8" xfId="7367" hidden="1"/>
    <cellStyle name="40% - Accent1 8" xfId="7195" hidden="1"/>
    <cellStyle name="40% - Accent1 8" xfId="2615" hidden="1"/>
    <cellStyle name="40% - Accent1 8" xfId="2402" hidden="1"/>
    <cellStyle name="40% - Accent1 8" xfId="7626" hidden="1"/>
    <cellStyle name="40% - Accent1 8" xfId="1276" hidden="1"/>
    <cellStyle name="40% - Accent1 8" xfId="1100" hidden="1"/>
    <cellStyle name="40% - Accent1 8" xfId="2938" hidden="1"/>
    <cellStyle name="40% - Accent1 8" xfId="15474" hidden="1"/>
    <cellStyle name="40% - Accent1 8" xfId="16173" hidden="1"/>
    <cellStyle name="40% - Accent1 8" xfId="16247" hidden="1"/>
    <cellStyle name="40% - Accent1 8" xfId="16325" hidden="1"/>
    <cellStyle name="40% - Accent1 8" xfId="16403" hidden="1"/>
    <cellStyle name="40% - Accent1 8" xfId="16985" hidden="1"/>
    <cellStyle name="40% - Accent1 8" xfId="17064" hidden="1"/>
    <cellStyle name="40% - Accent1 8" xfId="17143" hidden="1"/>
    <cellStyle name="40% - Accent1 8" xfId="16825" hidden="1"/>
    <cellStyle name="40% - Accent1 8" xfId="17273" hidden="1"/>
    <cellStyle name="40% - Accent1 8" xfId="16794" hidden="1"/>
    <cellStyle name="40% - Accent1 8" xfId="16810" hidden="1"/>
    <cellStyle name="40% - Accent1 8" xfId="17659" hidden="1"/>
    <cellStyle name="40% - Accent1 8" xfId="17737" hidden="1"/>
    <cellStyle name="40% - Accent1 8" xfId="16888" hidden="1"/>
    <cellStyle name="40% - Accent1 8" xfId="17846" hidden="1"/>
    <cellStyle name="40% - Accent1 8" xfId="16902" hidden="1"/>
    <cellStyle name="40% - Accent1 8" xfId="16954" hidden="1"/>
    <cellStyle name="40% - Accent1 8" xfId="18191" hidden="1"/>
    <cellStyle name="40% - Accent1 8" xfId="18269" hidden="1"/>
    <cellStyle name="40% - Accent1 8" xfId="16822" hidden="1"/>
    <cellStyle name="40% - Accent1 8" xfId="18528" hidden="1"/>
    <cellStyle name="40% - Accent1 8" xfId="18606" hidden="1"/>
    <cellStyle name="40% - Accent1 8" xfId="18118" hidden="1"/>
    <cellStyle name="40% - Accent1 8" xfId="18865" hidden="1"/>
    <cellStyle name="40% - Accent1 8" xfId="18965" hidden="1"/>
    <cellStyle name="40% - Accent1 8" xfId="19039" hidden="1"/>
    <cellStyle name="40% - Accent1 8" xfId="19117" hidden="1"/>
    <cellStyle name="40% - Accent1 8" xfId="19195" hidden="1"/>
    <cellStyle name="40% - Accent1 8" xfId="19777" hidden="1"/>
    <cellStyle name="40% - Accent1 8" xfId="19856" hidden="1"/>
    <cellStyle name="40% - Accent1 8" xfId="19935" hidden="1"/>
    <cellStyle name="40% - Accent1 8" xfId="19617" hidden="1"/>
    <cellStyle name="40% - Accent1 8" xfId="20065" hidden="1"/>
    <cellStyle name="40% - Accent1 8" xfId="19586" hidden="1"/>
    <cellStyle name="40% - Accent1 8" xfId="19602" hidden="1"/>
    <cellStyle name="40% - Accent1 8" xfId="20451" hidden="1"/>
    <cellStyle name="40% - Accent1 8" xfId="20529" hidden="1"/>
    <cellStyle name="40% - Accent1 8" xfId="19680" hidden="1"/>
    <cellStyle name="40% - Accent1 8" xfId="20638" hidden="1"/>
    <cellStyle name="40% - Accent1 8" xfId="19694" hidden="1"/>
    <cellStyle name="40% - Accent1 8" xfId="19746" hidden="1"/>
    <cellStyle name="40% - Accent1 8" xfId="20983" hidden="1"/>
    <cellStyle name="40% - Accent1 8" xfId="21061" hidden="1"/>
    <cellStyle name="40% - Accent1 8" xfId="19614" hidden="1"/>
    <cellStyle name="40% - Accent1 8" xfId="21320" hidden="1"/>
    <cellStyle name="40% - Accent1 8" xfId="21398" hidden="1"/>
    <cellStyle name="40% - Accent1 8" xfId="20910" hidden="1"/>
    <cellStyle name="40% - Accent1 8" xfId="21657" hidden="1"/>
    <cellStyle name="40% - Accent1 8" xfId="16018" hidden="1"/>
    <cellStyle name="40% - Accent1 8" xfId="15944" hidden="1"/>
    <cellStyle name="40% - Accent1 8" xfId="15865" hidden="1"/>
    <cellStyle name="40% - Accent1 8" xfId="15782" hidden="1"/>
    <cellStyle name="40% - Accent1 8" xfId="8036" hidden="1"/>
    <cellStyle name="40% - Accent1 8" xfId="7878" hidden="1"/>
    <cellStyle name="40% - Accent1 8" xfId="7615" hidden="1"/>
    <cellStyle name="40% - Accent1 8" xfId="8492" hidden="1"/>
    <cellStyle name="40% - Accent1 8" xfId="7040" hidden="1"/>
    <cellStyle name="40% - Accent1 8" xfId="8674" hidden="1"/>
    <cellStyle name="40% - Accent1 8" xfId="8517" hidden="1"/>
    <cellStyle name="40% - Accent1 8" xfId="5137" hidden="1"/>
    <cellStyle name="40% - Accent1 8" xfId="5035" hidden="1"/>
    <cellStyle name="40% - Accent1 8" xfId="8257" hidden="1"/>
    <cellStyle name="40% - Accent1 8" xfId="4632" hidden="1"/>
    <cellStyle name="40% - Accent1 8" xfId="8220" hidden="1"/>
    <cellStyle name="40% - Accent1 8" xfId="8128" hidden="1"/>
    <cellStyle name="40% - Accent1 8" xfId="2952" hidden="1"/>
    <cellStyle name="40% - Accent1 8" xfId="2826" hidden="1"/>
    <cellStyle name="40% - Accent1 8" xfId="8497" hidden="1"/>
    <cellStyle name="40% - Accent1 8" xfId="1440" hidden="1"/>
    <cellStyle name="40% - Accent1 8" xfId="1230" hidden="1"/>
    <cellStyle name="40% - Accent1 8" xfId="3302" hidden="1"/>
    <cellStyle name="40% - Accent1 8" xfId="21794" hidden="1"/>
    <cellStyle name="40% - Accent1 8" xfId="22324" hidden="1"/>
    <cellStyle name="40% - Accent1 8" xfId="22398" hidden="1"/>
    <cellStyle name="40% - Accent1 8" xfId="22476" hidden="1"/>
    <cellStyle name="40% - Accent1 8" xfId="22554" hidden="1"/>
    <cellStyle name="40% - Accent1 8" xfId="23136" hidden="1"/>
    <cellStyle name="40% - Accent1 8" xfId="23215" hidden="1"/>
    <cellStyle name="40% - Accent1 8" xfId="23294" hidden="1"/>
    <cellStyle name="40% - Accent1 8" xfId="22976" hidden="1"/>
    <cellStyle name="40% - Accent1 8" xfId="23424" hidden="1"/>
    <cellStyle name="40% - Accent1 8" xfId="22945" hidden="1"/>
    <cellStyle name="40% - Accent1 8" xfId="22961" hidden="1"/>
    <cellStyle name="40% - Accent1 8" xfId="23810" hidden="1"/>
    <cellStyle name="40% - Accent1 8" xfId="23888" hidden="1"/>
    <cellStyle name="40% - Accent1 8" xfId="23039" hidden="1"/>
    <cellStyle name="40% - Accent1 8" xfId="23997" hidden="1"/>
    <cellStyle name="40% - Accent1 8" xfId="23053" hidden="1"/>
    <cellStyle name="40% - Accent1 8" xfId="23105" hidden="1"/>
    <cellStyle name="40% - Accent1 8" xfId="24342" hidden="1"/>
    <cellStyle name="40% - Accent1 8" xfId="24420" hidden="1"/>
    <cellStyle name="40% - Accent1 8" xfId="22973" hidden="1"/>
    <cellStyle name="40% - Accent1 8" xfId="24679" hidden="1"/>
    <cellStyle name="40% - Accent1 8" xfId="24757" hidden="1"/>
    <cellStyle name="40% - Accent1 8" xfId="24269" hidden="1"/>
    <cellStyle name="40% - Accent1 8" xfId="25016" hidden="1"/>
    <cellStyle name="40% - Accent1 8" xfId="25116" hidden="1"/>
    <cellStyle name="40% - Accent1 8" xfId="25190" hidden="1"/>
    <cellStyle name="40% - Accent1 8" xfId="25268" hidden="1"/>
    <cellStyle name="40% - Accent1 8" xfId="25346" hidden="1"/>
    <cellStyle name="40% - Accent1 8" xfId="25928" hidden="1"/>
    <cellStyle name="40% - Accent1 8" xfId="26007" hidden="1"/>
    <cellStyle name="40% - Accent1 8" xfId="26086" hidden="1"/>
    <cellStyle name="40% - Accent1 8" xfId="25768" hidden="1"/>
    <cellStyle name="40% - Accent1 8" xfId="26216" hidden="1"/>
    <cellStyle name="40% - Accent1 8" xfId="25737" hidden="1"/>
    <cellStyle name="40% - Accent1 8" xfId="25753" hidden="1"/>
    <cellStyle name="40% - Accent1 8" xfId="26602" hidden="1"/>
    <cellStyle name="40% - Accent1 8" xfId="26680" hidden="1"/>
    <cellStyle name="40% - Accent1 8" xfId="25831" hidden="1"/>
    <cellStyle name="40% - Accent1 8" xfId="26789" hidden="1"/>
    <cellStyle name="40% - Accent1 8" xfId="25845" hidden="1"/>
    <cellStyle name="40% - Accent1 8" xfId="25897" hidden="1"/>
    <cellStyle name="40% - Accent1 8" xfId="27134" hidden="1"/>
    <cellStyle name="40% - Accent1 8" xfId="27212" hidden="1"/>
    <cellStyle name="40% - Accent1 8" xfId="25765" hidden="1"/>
    <cellStyle name="40% - Accent1 8" xfId="27471" hidden="1"/>
    <cellStyle name="40% - Accent1 8" xfId="27549" hidden="1"/>
    <cellStyle name="40% - Accent1 8" xfId="27061" hidden="1"/>
    <cellStyle name="40% - Accent1 8" xfId="27808" hidden="1"/>
    <cellStyle name="40% - Accent1 8" xfId="22271" hidden="1"/>
    <cellStyle name="40% - Accent1 8" xfId="22197" hidden="1"/>
    <cellStyle name="40% - Accent1 8" xfId="22118" hidden="1"/>
    <cellStyle name="40% - Accent1 8" xfId="22035" hidden="1"/>
    <cellStyle name="40% - Accent1 8" xfId="8994" hidden="1"/>
    <cellStyle name="40% - Accent1 8" xfId="8730" hidden="1"/>
    <cellStyle name="40% - Accent1 8" xfId="8491" hidden="1"/>
    <cellStyle name="40% - Accent1 8" xfId="9545" hidden="1"/>
    <cellStyle name="40% - Accent1 8" xfId="8044" hidden="1"/>
    <cellStyle name="40% - Accent1 8" xfId="9763" hidden="1"/>
    <cellStyle name="40% - Accent1 8" xfId="9616" hidden="1"/>
    <cellStyle name="40% - Accent1 8" xfId="5647" hidden="1"/>
    <cellStyle name="40% - Accent1 8" xfId="5545" hidden="1"/>
    <cellStyle name="40% - Accent1 8" xfId="9350" hidden="1"/>
    <cellStyle name="40% - Accent1 8" xfId="5057" hidden="1"/>
    <cellStyle name="40% - Accent1 8" xfId="9292" hidden="1"/>
    <cellStyle name="40% - Accent1 8" xfId="9059" hidden="1"/>
    <cellStyle name="40% - Accent1 8" xfId="3310" hidden="1"/>
    <cellStyle name="40% - Accent1 8" xfId="3109" hidden="1"/>
    <cellStyle name="40% - Accent1 8" xfId="9556" hidden="1"/>
    <cellStyle name="40% - Accent1 8" xfId="1595" hidden="1"/>
    <cellStyle name="40% - Accent1 8" xfId="1424" hidden="1"/>
    <cellStyle name="40% - Accent1 8" xfId="3616" hidden="1"/>
    <cellStyle name="40% - Accent1 8" xfId="27943" hidden="1"/>
    <cellStyle name="40% - Accent1 8" xfId="28043" hidden="1"/>
    <cellStyle name="40% - Accent1 8" xfId="28117" hidden="1"/>
    <cellStyle name="40% - Accent1 8" xfId="28195" hidden="1"/>
    <cellStyle name="40% - Accent1 8" xfId="28273" hidden="1"/>
    <cellStyle name="40% - Accent1 8" xfId="28855" hidden="1"/>
    <cellStyle name="40% - Accent1 8" xfId="28934" hidden="1"/>
    <cellStyle name="40% - Accent1 8" xfId="29013" hidden="1"/>
    <cellStyle name="40% - Accent1 8" xfId="28695" hidden="1"/>
    <cellStyle name="40% - Accent1 8" xfId="29143" hidden="1"/>
    <cellStyle name="40% - Accent1 8" xfId="28664" hidden="1"/>
    <cellStyle name="40% - Accent1 8" xfId="28680" hidden="1"/>
    <cellStyle name="40% - Accent1 8" xfId="29529" hidden="1"/>
    <cellStyle name="40% - Accent1 8" xfId="29607" hidden="1"/>
    <cellStyle name="40% - Accent1 8" xfId="28758" hidden="1"/>
    <cellStyle name="40% - Accent1 8" xfId="29716" hidden="1"/>
    <cellStyle name="40% - Accent1 8" xfId="28772" hidden="1"/>
    <cellStyle name="40% - Accent1 8" xfId="28824" hidden="1"/>
    <cellStyle name="40% - Accent1 8" xfId="30061" hidden="1"/>
    <cellStyle name="40% - Accent1 8" xfId="30139" hidden="1"/>
    <cellStyle name="40% - Accent1 8" xfId="28692" hidden="1"/>
    <cellStyle name="40% - Accent1 8" xfId="30398" hidden="1"/>
    <cellStyle name="40% - Accent1 8" xfId="30476" hidden="1"/>
    <cellStyle name="40% - Accent1 8" xfId="29988" hidden="1"/>
    <cellStyle name="40% - Accent1 8" xfId="30735" hidden="1"/>
    <cellStyle name="40% - Accent1 8" xfId="30835" hidden="1"/>
    <cellStyle name="40% - Accent1 8" xfId="30909" hidden="1"/>
    <cellStyle name="40% - Accent1 8" xfId="30987" hidden="1"/>
    <cellStyle name="40% - Accent1 8" xfId="31065" hidden="1"/>
    <cellStyle name="40% - Accent1 8" xfId="31647" hidden="1"/>
    <cellStyle name="40% - Accent1 8" xfId="31726" hidden="1"/>
    <cellStyle name="40% - Accent1 8" xfId="31805" hidden="1"/>
    <cellStyle name="40% - Accent1 8" xfId="31487" hidden="1"/>
    <cellStyle name="40% - Accent1 8" xfId="31935" hidden="1"/>
    <cellStyle name="40% - Accent1 8" xfId="31456" hidden="1"/>
    <cellStyle name="40% - Accent1 8" xfId="31472" hidden="1"/>
    <cellStyle name="40% - Accent1 8" xfId="32321" hidden="1"/>
    <cellStyle name="40% - Accent1 8" xfId="32399" hidden="1"/>
    <cellStyle name="40% - Accent1 8" xfId="31550" hidden="1"/>
    <cellStyle name="40% - Accent1 8" xfId="32508" hidden="1"/>
    <cellStyle name="40% - Accent1 8" xfId="31564" hidden="1"/>
    <cellStyle name="40% - Accent1 8" xfId="31616" hidden="1"/>
    <cellStyle name="40% - Accent1 8" xfId="32853" hidden="1"/>
    <cellStyle name="40% - Accent1 8" xfId="32931" hidden="1"/>
    <cellStyle name="40% - Accent1 8" xfId="31484" hidden="1"/>
    <cellStyle name="40% - Accent1 8" xfId="33190" hidden="1"/>
    <cellStyle name="40% - Accent1 8" xfId="33268" hidden="1"/>
    <cellStyle name="40% - Accent1 8" xfId="32780" hidden="1"/>
    <cellStyle name="40% - Accent1 8" xfId="33527" hidden="1"/>
    <cellStyle name="40% - Accent1 9" xfId="154" hidden="1"/>
    <cellStyle name="40% - Accent1 9" xfId="234" hidden="1"/>
    <cellStyle name="40% - Accent1 9" xfId="313" hidden="1"/>
    <cellStyle name="40% - Accent1 9" xfId="642" hidden="1"/>
    <cellStyle name="40% - Accent1 9" xfId="2395" hidden="1"/>
    <cellStyle name="40% - Accent1 9" xfId="2544" hidden="1"/>
    <cellStyle name="40% - Accent1 9" xfId="2724" hidden="1"/>
    <cellStyle name="40% - Accent1 9" xfId="3802" hidden="1"/>
    <cellStyle name="40% - Accent1 9" xfId="1922" hidden="1"/>
    <cellStyle name="40% - Accent1 9" xfId="2026" hidden="1"/>
    <cellStyle name="40% - Accent1 9" xfId="4319" hidden="1"/>
    <cellStyle name="40% - Accent1 9" xfId="4562" hidden="1"/>
    <cellStyle name="40% - Accent1 9" xfId="4722" hidden="1"/>
    <cellStyle name="40% - Accent1 9" xfId="5823" hidden="1"/>
    <cellStyle name="40% - Accent1 9" xfId="1819" hidden="1"/>
    <cellStyle name="40% - Accent1 9" xfId="1726" hidden="1"/>
    <cellStyle name="40% - Accent1 9" xfId="6337" hidden="1"/>
    <cellStyle name="40% - Accent1 9" xfId="6444" hidden="1"/>
    <cellStyle name="40% - Accent1 9" xfId="6642" hidden="1"/>
    <cellStyle name="40% - Accent1 9" xfId="7493" hidden="1"/>
    <cellStyle name="40% - Accent1 9" xfId="7648" hidden="1"/>
    <cellStyle name="40% - Accent1 9" xfId="7831" hidden="1"/>
    <cellStyle name="40% - Accent1 9" xfId="8742" hidden="1"/>
    <cellStyle name="40% - Accent1 9" xfId="8921" hidden="1"/>
    <cellStyle name="40% - Accent1 9" xfId="9845" hidden="1"/>
    <cellStyle name="40% - Accent1 9" xfId="9919" hidden="1"/>
    <cellStyle name="40% - Accent1 9" xfId="9995" hidden="1"/>
    <cellStyle name="40% - Accent1 9" xfId="10073" hidden="1"/>
    <cellStyle name="40% - Accent1 9" xfId="10658" hidden="1"/>
    <cellStyle name="40% - Accent1 9" xfId="10734" hidden="1"/>
    <cellStyle name="40% - Accent1 9" xfId="10813" hidden="1"/>
    <cellStyle name="40% - Accent1 9" xfId="11085" hidden="1"/>
    <cellStyle name="40% - Accent1 9" xfId="10477" hidden="1"/>
    <cellStyle name="40% - Accent1 9" xfId="10494" hidden="1"/>
    <cellStyle name="40% - Accent1 9" xfId="11253" hidden="1"/>
    <cellStyle name="40% - Accent1 9" xfId="11329" hidden="1"/>
    <cellStyle name="40% - Accent1 9" xfId="11407" hidden="1"/>
    <cellStyle name="40% - Accent1 9" xfId="11643" hidden="1"/>
    <cellStyle name="40% - Accent1 9" xfId="10420" hidden="1"/>
    <cellStyle name="40% - Accent1 9" xfId="10402" hidden="1"/>
    <cellStyle name="40% - Accent1 9" xfId="11785" hidden="1"/>
    <cellStyle name="40% - Accent1 9" xfId="11861" hidden="1"/>
    <cellStyle name="40% - Accent1 9" xfId="11939" hidden="1"/>
    <cellStyle name="40% - Accent1 9" xfId="12122" hidden="1"/>
    <cellStyle name="40% - Accent1 9" xfId="12198" hidden="1"/>
    <cellStyle name="40% - Accent1 9" xfId="12276" hidden="1"/>
    <cellStyle name="40% - Accent1 9" xfId="12459" hidden="1"/>
    <cellStyle name="40% - Accent1 9" xfId="12535" hidden="1"/>
    <cellStyle name="40% - Accent1 9" xfId="12637" hidden="1"/>
    <cellStyle name="40% - Accent1 9" xfId="12711" hidden="1"/>
    <cellStyle name="40% - Accent1 9" xfId="12787" hidden="1"/>
    <cellStyle name="40% - Accent1 9" xfId="12865" hidden="1"/>
    <cellStyle name="40% - Accent1 9" xfId="13450" hidden="1"/>
    <cellStyle name="40% - Accent1 9" xfId="13526" hidden="1"/>
    <cellStyle name="40% - Accent1 9" xfId="13605" hidden="1"/>
    <cellStyle name="40% - Accent1 9" xfId="13877" hidden="1"/>
    <cellStyle name="40% - Accent1 9" xfId="13269" hidden="1"/>
    <cellStyle name="40% - Accent1 9" xfId="13286" hidden="1"/>
    <cellStyle name="40% - Accent1 9" xfId="14045" hidden="1"/>
    <cellStyle name="40% - Accent1 9" xfId="14121" hidden="1"/>
    <cellStyle name="40% - Accent1 9" xfId="14199" hidden="1"/>
    <cellStyle name="40% - Accent1 9" xfId="14435" hidden="1"/>
    <cellStyle name="40% - Accent1 9" xfId="13212" hidden="1"/>
    <cellStyle name="40% - Accent1 9" xfId="13194" hidden="1"/>
    <cellStyle name="40% - Accent1 9" xfId="14577" hidden="1"/>
    <cellStyle name="40% - Accent1 9" xfId="14653" hidden="1"/>
    <cellStyle name="40% - Accent1 9" xfId="14731" hidden="1"/>
    <cellStyle name="40% - Accent1 9" xfId="14914" hidden="1"/>
    <cellStyle name="40% - Accent1 9" xfId="14990" hidden="1"/>
    <cellStyle name="40% - Accent1 9" xfId="15068" hidden="1"/>
    <cellStyle name="40% - Accent1 9" xfId="15251" hidden="1"/>
    <cellStyle name="40% - Accent1 9" xfId="15327" hidden="1"/>
    <cellStyle name="40% - Accent1 9" xfId="9613" hidden="1"/>
    <cellStyle name="40% - Accent1 9" xfId="9503" hidden="1"/>
    <cellStyle name="40% - Accent1 9" xfId="9386" hidden="1"/>
    <cellStyle name="40% - Accent1 9" xfId="9277" hidden="1"/>
    <cellStyle name="40% - Accent1 9" xfId="7016" hidden="1"/>
    <cellStyle name="40% - Accent1 9" xfId="6928" hidden="1"/>
    <cellStyle name="40% - Accent1 9" xfId="6834" hidden="1"/>
    <cellStyle name="40% - Accent1 9" xfId="5682" hidden="1"/>
    <cellStyle name="40% - Accent1 9" xfId="7636" hidden="1"/>
    <cellStyle name="40% - Accent1 9" xfId="7589" hidden="1"/>
    <cellStyle name="40% - Accent1 9" xfId="4881" hidden="1"/>
    <cellStyle name="40% - Accent1 9" xfId="4710" hidden="1"/>
    <cellStyle name="40% - Accent1 9" xfId="4513" hidden="1"/>
    <cellStyle name="40% - Accent1 9" xfId="3640" hidden="1"/>
    <cellStyle name="40% - Accent1 9" xfId="7915" hidden="1"/>
    <cellStyle name="40% - Accent1 9" xfId="7983" hidden="1"/>
    <cellStyle name="40% - Accent1 9" xfId="2795" hidden="1"/>
    <cellStyle name="40% - Accent1 9" xfId="2540" hidden="1"/>
    <cellStyle name="40% - Accent1 9" xfId="2367" hidden="1"/>
    <cellStyle name="40% - Accent1 9" xfId="1416" hidden="1"/>
    <cellStyle name="40% - Accent1 9" xfId="1224" hidden="1"/>
    <cellStyle name="40% - Accent1 9" xfId="1067" hidden="1"/>
    <cellStyle name="40% - Accent1 9" xfId="111" hidden="1"/>
    <cellStyle name="40% - Accent1 9" xfId="15496" hidden="1"/>
    <cellStyle name="40% - Accent1 9" xfId="16186" hidden="1"/>
    <cellStyle name="40% - Accent1 9" xfId="16260" hidden="1"/>
    <cellStyle name="40% - Accent1 9" xfId="16336" hidden="1"/>
    <cellStyle name="40% - Accent1 9" xfId="16414" hidden="1"/>
    <cellStyle name="40% - Accent1 9" xfId="16999" hidden="1"/>
    <cellStyle name="40% - Accent1 9" xfId="17075" hidden="1"/>
    <cellStyle name="40% - Accent1 9" xfId="17154" hidden="1"/>
    <cellStyle name="40% - Accent1 9" xfId="17426" hidden="1"/>
    <cellStyle name="40% - Accent1 9" xfId="16818" hidden="1"/>
    <cellStyle name="40% - Accent1 9" xfId="16835" hidden="1"/>
    <cellStyle name="40% - Accent1 9" xfId="17594" hidden="1"/>
    <cellStyle name="40% - Accent1 9" xfId="17670" hidden="1"/>
    <cellStyle name="40% - Accent1 9" xfId="17748" hidden="1"/>
    <cellStyle name="40% - Accent1 9" xfId="17984" hidden="1"/>
    <cellStyle name="40% - Accent1 9" xfId="16761" hidden="1"/>
    <cellStyle name="40% - Accent1 9" xfId="16743" hidden="1"/>
    <cellStyle name="40% - Accent1 9" xfId="18126" hidden="1"/>
    <cellStyle name="40% - Accent1 9" xfId="18202" hidden="1"/>
    <cellStyle name="40% - Accent1 9" xfId="18280" hidden="1"/>
    <cellStyle name="40% - Accent1 9" xfId="18463" hidden="1"/>
    <cellStyle name="40% - Accent1 9" xfId="18539" hidden="1"/>
    <cellStyle name="40% - Accent1 9" xfId="18617" hidden="1"/>
    <cellStyle name="40% - Accent1 9" xfId="18800" hidden="1"/>
    <cellStyle name="40% - Accent1 9" xfId="18876" hidden="1"/>
    <cellStyle name="40% - Accent1 9" xfId="18978" hidden="1"/>
    <cellStyle name="40% - Accent1 9" xfId="19052" hidden="1"/>
    <cellStyle name="40% - Accent1 9" xfId="19128" hidden="1"/>
    <cellStyle name="40% - Accent1 9" xfId="19206" hidden="1"/>
    <cellStyle name="40% - Accent1 9" xfId="19791" hidden="1"/>
    <cellStyle name="40% - Accent1 9" xfId="19867" hidden="1"/>
    <cellStyle name="40% - Accent1 9" xfId="19946" hidden="1"/>
    <cellStyle name="40% - Accent1 9" xfId="20218" hidden="1"/>
    <cellStyle name="40% - Accent1 9" xfId="19610" hidden="1"/>
    <cellStyle name="40% - Accent1 9" xfId="19627" hidden="1"/>
    <cellStyle name="40% - Accent1 9" xfId="20386" hidden="1"/>
    <cellStyle name="40% - Accent1 9" xfId="20462" hidden="1"/>
    <cellStyle name="40% - Accent1 9" xfId="20540" hidden="1"/>
    <cellStyle name="40% - Accent1 9" xfId="20776" hidden="1"/>
    <cellStyle name="40% - Accent1 9" xfId="19553" hidden="1"/>
    <cellStyle name="40% - Accent1 9" xfId="19535" hidden="1"/>
    <cellStyle name="40% - Accent1 9" xfId="20918" hidden="1"/>
    <cellStyle name="40% - Accent1 9" xfId="20994" hidden="1"/>
    <cellStyle name="40% - Accent1 9" xfId="21072" hidden="1"/>
    <cellStyle name="40% - Accent1 9" xfId="21255" hidden="1"/>
    <cellStyle name="40% - Accent1 9" xfId="21331" hidden="1"/>
    <cellStyle name="40% - Accent1 9" xfId="21409" hidden="1"/>
    <cellStyle name="40% - Accent1 9" xfId="21592" hidden="1"/>
    <cellStyle name="40% - Accent1 9" xfId="21668" hidden="1"/>
    <cellStyle name="40% - Accent1 9" xfId="16005" hidden="1"/>
    <cellStyle name="40% - Accent1 9" xfId="15931" hidden="1"/>
    <cellStyle name="40% - Accent1 9" xfId="15852" hidden="1"/>
    <cellStyle name="40% - Accent1 9" xfId="15768" hidden="1"/>
    <cellStyle name="40% - Accent1 9" xfId="8000" hidden="1"/>
    <cellStyle name="40% - Accent1 9" xfId="7800" hidden="1"/>
    <cellStyle name="40% - Accent1 9" xfId="7555" hidden="1"/>
    <cellStyle name="40% - Accent1 9" xfId="6176" hidden="1"/>
    <cellStyle name="40% - Accent1 9" xfId="8502" hidden="1"/>
    <cellStyle name="40% - Accent1 9" xfId="8474" hidden="1"/>
    <cellStyle name="40% - Accent1 9" xfId="5317" hidden="1"/>
    <cellStyle name="40% - Accent1 9" xfId="5117" hidden="1"/>
    <cellStyle name="40% - Accent1 9" xfId="5011" hidden="1"/>
    <cellStyle name="40% - Accent1 9" xfId="3826" hidden="1"/>
    <cellStyle name="40% - Accent1 9" xfId="8777" hidden="1"/>
    <cellStyle name="40% - Accent1 9" xfId="8881" hidden="1"/>
    <cellStyle name="40% - Accent1 9" xfId="3078" hidden="1"/>
    <cellStyle name="40% - Accent1 9" xfId="2926" hidden="1"/>
    <cellStyle name="40% - Accent1 9" xfId="2773" hidden="1"/>
    <cellStyle name="40% - Accent1 9" xfId="1563" hidden="1"/>
    <cellStyle name="40% - Accent1 9" xfId="1412" hidden="1"/>
    <cellStyle name="40% - Accent1 9" xfId="1145" hidden="1"/>
    <cellStyle name="40% - Accent1 9" xfId="9780" hidden="1"/>
    <cellStyle name="40% - Accent1 9" xfId="21806" hidden="1"/>
    <cellStyle name="40% - Accent1 9" xfId="22337" hidden="1"/>
    <cellStyle name="40% - Accent1 9" xfId="22411" hidden="1"/>
    <cellStyle name="40% - Accent1 9" xfId="22487" hidden="1"/>
    <cellStyle name="40% - Accent1 9" xfId="22565" hidden="1"/>
    <cellStyle name="40% - Accent1 9" xfId="23150" hidden="1"/>
    <cellStyle name="40% - Accent1 9" xfId="23226" hidden="1"/>
    <cellStyle name="40% - Accent1 9" xfId="23305" hidden="1"/>
    <cellStyle name="40% - Accent1 9" xfId="23577" hidden="1"/>
    <cellStyle name="40% - Accent1 9" xfId="22969" hidden="1"/>
    <cellStyle name="40% - Accent1 9" xfId="22986" hidden="1"/>
    <cellStyle name="40% - Accent1 9" xfId="23745" hidden="1"/>
    <cellStyle name="40% - Accent1 9" xfId="23821" hidden="1"/>
    <cellStyle name="40% - Accent1 9" xfId="23899" hidden="1"/>
    <cellStyle name="40% - Accent1 9" xfId="24135" hidden="1"/>
    <cellStyle name="40% - Accent1 9" xfId="22912" hidden="1"/>
    <cellStyle name="40% - Accent1 9" xfId="22894" hidden="1"/>
    <cellStyle name="40% - Accent1 9" xfId="24277" hidden="1"/>
    <cellStyle name="40% - Accent1 9" xfId="24353" hidden="1"/>
    <cellStyle name="40% - Accent1 9" xfId="24431" hidden="1"/>
    <cellStyle name="40% - Accent1 9" xfId="24614" hidden="1"/>
    <cellStyle name="40% - Accent1 9" xfId="24690" hidden="1"/>
    <cellStyle name="40% - Accent1 9" xfId="24768" hidden="1"/>
    <cellStyle name="40% - Accent1 9" xfId="24951" hidden="1"/>
    <cellStyle name="40% - Accent1 9" xfId="25027" hidden="1"/>
    <cellStyle name="40% - Accent1 9" xfId="25129" hidden="1"/>
    <cellStyle name="40% - Accent1 9" xfId="25203" hidden="1"/>
    <cellStyle name="40% - Accent1 9" xfId="25279" hidden="1"/>
    <cellStyle name="40% - Accent1 9" xfId="25357" hidden="1"/>
    <cellStyle name="40% - Accent1 9" xfId="25942" hidden="1"/>
    <cellStyle name="40% - Accent1 9" xfId="26018" hidden="1"/>
    <cellStyle name="40% - Accent1 9" xfId="26097" hidden="1"/>
    <cellStyle name="40% - Accent1 9" xfId="26369" hidden="1"/>
    <cellStyle name="40% - Accent1 9" xfId="25761" hidden="1"/>
    <cellStyle name="40% - Accent1 9" xfId="25778" hidden="1"/>
    <cellStyle name="40% - Accent1 9" xfId="26537" hidden="1"/>
    <cellStyle name="40% - Accent1 9" xfId="26613" hidden="1"/>
    <cellStyle name="40% - Accent1 9" xfId="26691" hidden="1"/>
    <cellStyle name="40% - Accent1 9" xfId="26927" hidden="1"/>
    <cellStyle name="40% - Accent1 9" xfId="25704" hidden="1"/>
    <cellStyle name="40% - Accent1 9" xfId="25686" hidden="1"/>
    <cellStyle name="40% - Accent1 9" xfId="27069" hidden="1"/>
    <cellStyle name="40% - Accent1 9" xfId="27145" hidden="1"/>
    <cellStyle name="40% - Accent1 9" xfId="27223" hidden="1"/>
    <cellStyle name="40% - Accent1 9" xfId="27406" hidden="1"/>
    <cellStyle name="40% - Accent1 9" xfId="27482" hidden="1"/>
    <cellStyle name="40% - Accent1 9" xfId="27560" hidden="1"/>
    <cellStyle name="40% - Accent1 9" xfId="27743" hidden="1"/>
    <cellStyle name="40% - Accent1 9" xfId="27819" hidden="1"/>
    <cellStyle name="40% - Accent1 9" xfId="22258" hidden="1"/>
    <cellStyle name="40% - Accent1 9" xfId="22184" hidden="1"/>
    <cellStyle name="40% - Accent1 9" xfId="22105" hidden="1"/>
    <cellStyle name="40% - Accent1 9" xfId="22021" hidden="1"/>
    <cellStyle name="40% - Accent1 9" xfId="8908" hidden="1"/>
    <cellStyle name="40% - Accent1 9" xfId="8699" hidden="1"/>
    <cellStyle name="40% - Accent1 9" xfId="8463" hidden="1"/>
    <cellStyle name="40% - Accent1 9" xfId="6741" hidden="1"/>
    <cellStyle name="40% - Accent1 9" xfId="9575" hidden="1"/>
    <cellStyle name="40% - Accent1 9" xfId="9526" hidden="1"/>
    <cellStyle name="40% - Accent1 9" xfId="5871" hidden="1"/>
    <cellStyle name="40% - Accent1 9" xfId="5625" hidden="1"/>
    <cellStyle name="40% - Accent1 9" xfId="5528" hidden="1"/>
    <cellStyle name="40% - Accent1 9" xfId="4007" hidden="1"/>
    <cellStyle name="40% - Accent1 9" xfId="15415" hidden="1"/>
    <cellStyle name="40% - Accent1 9" xfId="15477" hidden="1"/>
    <cellStyle name="40% - Accent1 9" xfId="3389" hidden="1"/>
    <cellStyle name="40% - Accent1 9" xfId="3295" hidden="1"/>
    <cellStyle name="40% - Accent1 9" xfId="3083" hidden="1"/>
    <cellStyle name="40% - Accent1 9" xfId="1688" hidden="1"/>
    <cellStyle name="40% - Accent1 9" xfId="1571" hidden="1"/>
    <cellStyle name="40% - Accent1 9" xfId="1289" hidden="1"/>
    <cellStyle name="40% - Accent1 9" xfId="16144" hidden="1"/>
    <cellStyle name="40% - Accent1 9" xfId="27954" hidden="1"/>
    <cellStyle name="40% - Accent1 9" xfId="28056" hidden="1"/>
    <cellStyle name="40% - Accent1 9" xfId="28130" hidden="1"/>
    <cellStyle name="40% - Accent1 9" xfId="28206" hidden="1"/>
    <cellStyle name="40% - Accent1 9" xfId="28284" hidden="1"/>
    <cellStyle name="40% - Accent1 9" xfId="28869" hidden="1"/>
    <cellStyle name="40% - Accent1 9" xfId="28945" hidden="1"/>
    <cellStyle name="40% - Accent1 9" xfId="29024" hidden="1"/>
    <cellStyle name="40% - Accent1 9" xfId="29296" hidden="1"/>
    <cellStyle name="40% - Accent1 9" xfId="28688" hidden="1"/>
    <cellStyle name="40% - Accent1 9" xfId="28705" hidden="1"/>
    <cellStyle name="40% - Accent1 9" xfId="29464" hidden="1"/>
    <cellStyle name="40% - Accent1 9" xfId="29540" hidden="1"/>
    <cellStyle name="40% - Accent1 9" xfId="29618" hidden="1"/>
    <cellStyle name="40% - Accent1 9" xfId="29854" hidden="1"/>
    <cellStyle name="40% - Accent1 9" xfId="28631" hidden="1"/>
    <cellStyle name="40% - Accent1 9" xfId="28613" hidden="1"/>
    <cellStyle name="40% - Accent1 9" xfId="29996" hidden="1"/>
    <cellStyle name="40% - Accent1 9" xfId="30072" hidden="1"/>
    <cellStyle name="40% - Accent1 9" xfId="30150" hidden="1"/>
    <cellStyle name="40% - Accent1 9" xfId="30333" hidden="1"/>
    <cellStyle name="40% - Accent1 9" xfId="30409" hidden="1"/>
    <cellStyle name="40% - Accent1 9" xfId="30487" hidden="1"/>
    <cellStyle name="40% - Accent1 9" xfId="30670" hidden="1"/>
    <cellStyle name="40% - Accent1 9" xfId="30746" hidden="1"/>
    <cellStyle name="40% - Accent1 9" xfId="30848" hidden="1"/>
    <cellStyle name="40% - Accent1 9" xfId="30922" hidden="1"/>
    <cellStyle name="40% - Accent1 9" xfId="30998" hidden="1"/>
    <cellStyle name="40% - Accent1 9" xfId="31076" hidden="1"/>
    <cellStyle name="40% - Accent1 9" xfId="31661" hidden="1"/>
    <cellStyle name="40% - Accent1 9" xfId="31737" hidden="1"/>
    <cellStyle name="40% - Accent1 9" xfId="31816" hidden="1"/>
    <cellStyle name="40% - Accent1 9" xfId="32088" hidden="1"/>
    <cellStyle name="40% - Accent1 9" xfId="31480" hidden="1"/>
    <cellStyle name="40% - Accent1 9" xfId="31497" hidden="1"/>
    <cellStyle name="40% - Accent1 9" xfId="32256" hidden="1"/>
    <cellStyle name="40% - Accent1 9" xfId="32332" hidden="1"/>
    <cellStyle name="40% - Accent1 9" xfId="32410" hidden="1"/>
    <cellStyle name="40% - Accent1 9" xfId="32646" hidden="1"/>
    <cellStyle name="40% - Accent1 9" xfId="31423" hidden="1"/>
    <cellStyle name="40% - Accent1 9" xfId="31405" hidden="1"/>
    <cellStyle name="40% - Accent1 9" xfId="32788" hidden="1"/>
    <cellStyle name="40% - Accent1 9" xfId="32864" hidden="1"/>
    <cellStyle name="40% - Accent1 9" xfId="32942" hidden="1"/>
    <cellStyle name="40% - Accent1 9" xfId="33125" hidden="1"/>
    <cellStyle name="40% - Accent1 9" xfId="33201" hidden="1"/>
    <cellStyle name="40% - Accent1 9" xfId="33279" hidden="1"/>
    <cellStyle name="40% - Accent1 9" xfId="33462" hidden="1"/>
    <cellStyle name="40% - Accent1 9" xfId="33538" hidden="1"/>
    <cellStyle name="40% - Accent2" xfId="28" builtinId="35" hidden="1"/>
    <cellStyle name="40% - Accent2" xfId="72" builtinId="35" hidden="1" customBuiltin="1"/>
    <cellStyle name="40% - Accent2 10" xfId="182" hidden="1"/>
    <cellStyle name="40% - Accent2 10" xfId="262" hidden="1"/>
    <cellStyle name="40% - Accent2 10" xfId="383" hidden="1"/>
    <cellStyle name="40% - Accent2 10" xfId="712" hidden="1"/>
    <cellStyle name="40% - Accent2 10" xfId="2429" hidden="1"/>
    <cellStyle name="40% - Accent2 10" xfId="2581" hidden="1"/>
    <cellStyle name="40% - Accent2 10" xfId="2781" hidden="1"/>
    <cellStyle name="40% - Accent2 10" xfId="1897" hidden="1"/>
    <cellStyle name="40% - Accent2 10" xfId="1851" hidden="1"/>
    <cellStyle name="40% - Accent2 10" xfId="2096" hidden="1"/>
    <cellStyle name="40% - Accent2 10" xfId="4385" hidden="1"/>
    <cellStyle name="40% - Accent2 10" xfId="4597" hidden="1"/>
    <cellStyle name="40% - Accent2 10" xfId="4760" hidden="1"/>
    <cellStyle name="40% - Accent2 10" xfId="1655" hidden="1"/>
    <cellStyle name="40% - Accent2 10" xfId="2210" hidden="1"/>
    <cellStyle name="40% - Accent2 10" xfId="3001" hidden="1"/>
    <cellStyle name="40% - Accent2 10" xfId="6371" hidden="1"/>
    <cellStyle name="40% - Accent2 10" xfId="6477" hidden="1"/>
    <cellStyle name="40% - Accent2 10" xfId="6674" hidden="1"/>
    <cellStyle name="40% - Accent2 10" xfId="7545" hidden="1"/>
    <cellStyle name="40% - Accent2 10" xfId="7689" hidden="1"/>
    <cellStyle name="40% - Accent2 10" xfId="7868" hidden="1"/>
    <cellStyle name="40% - Accent2 10" xfId="8783" hidden="1"/>
    <cellStyle name="40% - Accent2 10" xfId="8957" hidden="1"/>
    <cellStyle name="40% - Accent2 10" xfId="9873" hidden="1"/>
    <cellStyle name="40% - Accent2 10" xfId="9947" hidden="1"/>
    <cellStyle name="40% - Accent2 10" xfId="10023" hidden="1"/>
    <cellStyle name="40% - Accent2 10" xfId="10101" hidden="1"/>
    <cellStyle name="40% - Accent2 10" xfId="10686" hidden="1"/>
    <cellStyle name="40% - Accent2 10" xfId="10762" hidden="1"/>
    <cellStyle name="40% - Accent2 10" xfId="10841" hidden="1"/>
    <cellStyle name="40% - Accent2 10" xfId="10467" hidden="1"/>
    <cellStyle name="40% - Accent2 10" xfId="10428" hidden="1"/>
    <cellStyle name="40% - Accent2 10" xfId="10550" hidden="1"/>
    <cellStyle name="40% - Accent2 10" xfId="11281" hidden="1"/>
    <cellStyle name="40% - Accent2 10" xfId="11357" hidden="1"/>
    <cellStyle name="40% - Accent2 10" xfId="11435" hidden="1"/>
    <cellStyle name="40% - Accent2 10" xfId="10365" hidden="1"/>
    <cellStyle name="40% - Accent2 10" xfId="10564" hidden="1"/>
    <cellStyle name="40% - Accent2 10" xfId="10906" hidden="1"/>
    <cellStyle name="40% - Accent2 10" xfId="11813" hidden="1"/>
    <cellStyle name="40% - Accent2 10" xfId="11889" hidden="1"/>
    <cellStyle name="40% - Accent2 10" xfId="11967" hidden="1"/>
    <cellStyle name="40% - Accent2 10" xfId="12150" hidden="1"/>
    <cellStyle name="40% - Accent2 10" xfId="12226" hidden="1"/>
    <cellStyle name="40% - Accent2 10" xfId="12304" hidden="1"/>
    <cellStyle name="40% - Accent2 10" xfId="12487" hidden="1"/>
    <cellStyle name="40% - Accent2 10" xfId="12563" hidden="1"/>
    <cellStyle name="40% - Accent2 10" xfId="12665" hidden="1"/>
    <cellStyle name="40% - Accent2 10" xfId="12739" hidden="1"/>
    <cellStyle name="40% - Accent2 10" xfId="12815" hidden="1"/>
    <cellStyle name="40% - Accent2 10" xfId="12893" hidden="1"/>
    <cellStyle name="40% - Accent2 10" xfId="13478" hidden="1"/>
    <cellStyle name="40% - Accent2 10" xfId="13554" hidden="1"/>
    <cellStyle name="40% - Accent2 10" xfId="13633" hidden="1"/>
    <cellStyle name="40% - Accent2 10" xfId="13259" hidden="1"/>
    <cellStyle name="40% - Accent2 10" xfId="13220" hidden="1"/>
    <cellStyle name="40% - Accent2 10" xfId="13342" hidden="1"/>
    <cellStyle name="40% - Accent2 10" xfId="14073" hidden="1"/>
    <cellStyle name="40% - Accent2 10" xfId="14149" hidden="1"/>
    <cellStyle name="40% - Accent2 10" xfId="14227" hidden="1"/>
    <cellStyle name="40% - Accent2 10" xfId="13157" hidden="1"/>
    <cellStyle name="40% - Accent2 10" xfId="13356" hidden="1"/>
    <cellStyle name="40% - Accent2 10" xfId="13698" hidden="1"/>
    <cellStyle name="40% - Accent2 10" xfId="14605" hidden="1"/>
    <cellStyle name="40% - Accent2 10" xfId="14681" hidden="1"/>
    <cellStyle name="40% - Accent2 10" xfId="14759" hidden="1"/>
    <cellStyle name="40% - Accent2 10" xfId="14942" hidden="1"/>
    <cellStyle name="40% - Accent2 10" xfId="15018" hidden="1"/>
    <cellStyle name="40% - Accent2 10" xfId="15096" hidden="1"/>
    <cellStyle name="40% - Accent2 10" xfId="15279" hidden="1"/>
    <cellStyle name="40% - Accent2 10" xfId="15355" hidden="1"/>
    <cellStyle name="40% - Accent2 10" xfId="9579" hidden="1"/>
    <cellStyle name="40% - Accent2 10" xfId="9464" hidden="1"/>
    <cellStyle name="40% - Accent2 10" xfId="9354" hidden="1"/>
    <cellStyle name="40% - Accent2 10" xfId="9238" hidden="1"/>
    <cellStyle name="40% - Accent2 10" xfId="6984" hidden="1"/>
    <cellStyle name="40% - Accent2 10" xfId="6897" hidden="1"/>
    <cellStyle name="40% - Accent2 10" xfId="6804" hidden="1"/>
    <cellStyle name="40% - Accent2 10" xfId="7699" hidden="1"/>
    <cellStyle name="40% - Accent2 10" xfId="7896" hidden="1"/>
    <cellStyle name="40% - Accent2 10" xfId="7398" hidden="1"/>
    <cellStyle name="40% - Accent2 10" xfId="4839" hidden="1"/>
    <cellStyle name="40% - Accent2 10" xfId="4672" hidden="1"/>
    <cellStyle name="40% - Accent2 10" xfId="4414" hidden="1"/>
    <cellStyle name="40% - Accent2 10" xfId="8084" hidden="1"/>
    <cellStyle name="40% - Accent2 10" xfId="7363" hidden="1"/>
    <cellStyle name="40% - Accent2 10" xfId="6495" hidden="1"/>
    <cellStyle name="40% - Accent2 10" xfId="2706" hidden="1"/>
    <cellStyle name="40% - Accent2 10" xfId="2504" hidden="1"/>
    <cellStyle name="40% - Accent2 10" xfId="2326" hidden="1"/>
    <cellStyle name="40% - Accent2 10" xfId="1364" hidden="1"/>
    <cellStyle name="40% - Accent2 10" xfId="1180" hidden="1"/>
    <cellStyle name="40% - Accent2 10" xfId="936" hidden="1"/>
    <cellStyle name="40% - Accent2 10" xfId="15421" hidden="1"/>
    <cellStyle name="40% - Accent2 10" xfId="15529" hidden="1"/>
    <cellStyle name="40% - Accent2 10" xfId="16214" hidden="1"/>
    <cellStyle name="40% - Accent2 10" xfId="16288" hidden="1"/>
    <cellStyle name="40% - Accent2 10" xfId="16364" hidden="1"/>
    <cellStyle name="40% - Accent2 10" xfId="16442" hidden="1"/>
    <cellStyle name="40% - Accent2 10" xfId="17027" hidden="1"/>
    <cellStyle name="40% - Accent2 10" xfId="17103" hidden="1"/>
    <cellStyle name="40% - Accent2 10" xfId="17182" hidden="1"/>
    <cellStyle name="40% - Accent2 10" xfId="16808" hidden="1"/>
    <cellStyle name="40% - Accent2 10" xfId="16769" hidden="1"/>
    <cellStyle name="40% - Accent2 10" xfId="16891" hidden="1"/>
    <cellStyle name="40% - Accent2 10" xfId="17622" hidden="1"/>
    <cellStyle name="40% - Accent2 10" xfId="17698" hidden="1"/>
    <cellStyle name="40% - Accent2 10" xfId="17776" hidden="1"/>
    <cellStyle name="40% - Accent2 10" xfId="16706" hidden="1"/>
    <cellStyle name="40% - Accent2 10" xfId="16905" hidden="1"/>
    <cellStyle name="40% - Accent2 10" xfId="17247" hidden="1"/>
    <cellStyle name="40% - Accent2 10" xfId="18154" hidden="1"/>
    <cellStyle name="40% - Accent2 10" xfId="18230" hidden="1"/>
    <cellStyle name="40% - Accent2 10" xfId="18308" hidden="1"/>
    <cellStyle name="40% - Accent2 10" xfId="18491" hidden="1"/>
    <cellStyle name="40% - Accent2 10" xfId="18567" hidden="1"/>
    <cellStyle name="40% - Accent2 10" xfId="18645" hidden="1"/>
    <cellStyle name="40% - Accent2 10" xfId="18828" hidden="1"/>
    <cellStyle name="40% - Accent2 10" xfId="18904" hidden="1"/>
    <cellStyle name="40% - Accent2 10" xfId="19006" hidden="1"/>
    <cellStyle name="40% - Accent2 10" xfId="19080" hidden="1"/>
    <cellStyle name="40% - Accent2 10" xfId="19156" hidden="1"/>
    <cellStyle name="40% - Accent2 10" xfId="19234" hidden="1"/>
    <cellStyle name="40% - Accent2 10" xfId="19819" hidden="1"/>
    <cellStyle name="40% - Accent2 10" xfId="19895" hidden="1"/>
    <cellStyle name="40% - Accent2 10" xfId="19974" hidden="1"/>
    <cellStyle name="40% - Accent2 10" xfId="19600" hidden="1"/>
    <cellStyle name="40% - Accent2 10" xfId="19561" hidden="1"/>
    <cellStyle name="40% - Accent2 10" xfId="19683" hidden="1"/>
    <cellStyle name="40% - Accent2 10" xfId="20414" hidden="1"/>
    <cellStyle name="40% - Accent2 10" xfId="20490" hidden="1"/>
    <cellStyle name="40% - Accent2 10" xfId="20568" hidden="1"/>
    <cellStyle name="40% - Accent2 10" xfId="19498" hidden="1"/>
    <cellStyle name="40% - Accent2 10" xfId="19697" hidden="1"/>
    <cellStyle name="40% - Accent2 10" xfId="20039" hidden="1"/>
    <cellStyle name="40% - Accent2 10" xfId="20946" hidden="1"/>
    <cellStyle name="40% - Accent2 10" xfId="21022" hidden="1"/>
    <cellStyle name="40% - Accent2 10" xfId="21100" hidden="1"/>
    <cellStyle name="40% - Accent2 10" xfId="21283" hidden="1"/>
    <cellStyle name="40% - Accent2 10" xfId="21359" hidden="1"/>
    <cellStyle name="40% - Accent2 10" xfId="21437" hidden="1"/>
    <cellStyle name="40% - Accent2 10" xfId="21620" hidden="1"/>
    <cellStyle name="40% - Accent2 10" xfId="21696" hidden="1"/>
    <cellStyle name="40% - Accent2 10" xfId="15977" hidden="1"/>
    <cellStyle name="40% - Accent2 10" xfId="15903" hidden="1"/>
    <cellStyle name="40% - Accent2 10" xfId="15823" hidden="1"/>
    <cellStyle name="40% - Accent2 10" xfId="15737" hidden="1"/>
    <cellStyle name="40% - Accent2 10" xfId="7956" hidden="1"/>
    <cellStyle name="40% - Accent2 10" xfId="7755" hidden="1"/>
    <cellStyle name="40% - Accent2 10" xfId="7471" hidden="1"/>
    <cellStyle name="40% - Accent2 10" xfId="8525" hidden="1"/>
    <cellStyle name="40% - Accent2 10" xfId="8732" hidden="1"/>
    <cellStyle name="40% - Accent2 10" xfId="8249" hidden="1"/>
    <cellStyle name="40% - Accent2 10" xfId="5285" hidden="1"/>
    <cellStyle name="40% - Accent2 10" xfId="5084" hidden="1"/>
    <cellStyle name="40% - Accent2 10" xfId="4977" hidden="1"/>
    <cellStyle name="40% - Accent2 10" xfId="9024" hidden="1"/>
    <cellStyle name="40% - Accent2 10" xfId="8216" hidden="1"/>
    <cellStyle name="40% - Accent2 10" xfId="7200" hidden="1"/>
    <cellStyle name="40% - Accent2 10" xfId="3020" hidden="1"/>
    <cellStyle name="40% - Accent2 10" xfId="2891" hidden="1"/>
    <cellStyle name="40% - Accent2 10" xfId="2664" hidden="1"/>
    <cellStyle name="40% - Accent2 10" xfId="1516" hidden="1"/>
    <cellStyle name="40% - Accent2 10" xfId="1335" hidden="1"/>
    <cellStyle name="40% - Accent2 10" xfId="1103" hidden="1"/>
    <cellStyle name="40% - Accent2 10" xfId="21756" hidden="1"/>
    <cellStyle name="40% - Accent2 10" xfId="21836" hidden="1"/>
    <cellStyle name="40% - Accent2 10" xfId="22365" hidden="1"/>
    <cellStyle name="40% - Accent2 10" xfId="22439" hidden="1"/>
    <cellStyle name="40% - Accent2 10" xfId="22515" hidden="1"/>
    <cellStyle name="40% - Accent2 10" xfId="22593" hidden="1"/>
    <cellStyle name="40% - Accent2 10" xfId="23178" hidden="1"/>
    <cellStyle name="40% - Accent2 10" xfId="23254" hidden="1"/>
    <cellStyle name="40% - Accent2 10" xfId="23333" hidden="1"/>
    <cellStyle name="40% - Accent2 10" xfId="22959" hidden="1"/>
    <cellStyle name="40% - Accent2 10" xfId="22920" hidden="1"/>
    <cellStyle name="40% - Accent2 10" xfId="23042" hidden="1"/>
    <cellStyle name="40% - Accent2 10" xfId="23773" hidden="1"/>
    <cellStyle name="40% - Accent2 10" xfId="23849" hidden="1"/>
    <cellStyle name="40% - Accent2 10" xfId="23927" hidden="1"/>
    <cellStyle name="40% - Accent2 10" xfId="22857" hidden="1"/>
    <cellStyle name="40% - Accent2 10" xfId="23056" hidden="1"/>
    <cellStyle name="40% - Accent2 10" xfId="23398" hidden="1"/>
    <cellStyle name="40% - Accent2 10" xfId="24305" hidden="1"/>
    <cellStyle name="40% - Accent2 10" xfId="24381" hidden="1"/>
    <cellStyle name="40% - Accent2 10" xfId="24459" hidden="1"/>
    <cellStyle name="40% - Accent2 10" xfId="24642" hidden="1"/>
    <cellStyle name="40% - Accent2 10" xfId="24718" hidden="1"/>
    <cellStyle name="40% - Accent2 10" xfId="24796" hidden="1"/>
    <cellStyle name="40% - Accent2 10" xfId="24979" hidden="1"/>
    <cellStyle name="40% - Accent2 10" xfId="25055" hidden="1"/>
    <cellStyle name="40% - Accent2 10" xfId="25157" hidden="1"/>
    <cellStyle name="40% - Accent2 10" xfId="25231" hidden="1"/>
    <cellStyle name="40% - Accent2 10" xfId="25307" hidden="1"/>
    <cellStyle name="40% - Accent2 10" xfId="25385" hidden="1"/>
    <cellStyle name="40% - Accent2 10" xfId="25970" hidden="1"/>
    <cellStyle name="40% - Accent2 10" xfId="26046" hidden="1"/>
    <cellStyle name="40% - Accent2 10" xfId="26125" hidden="1"/>
    <cellStyle name="40% - Accent2 10" xfId="25751" hidden="1"/>
    <cellStyle name="40% - Accent2 10" xfId="25712" hidden="1"/>
    <cellStyle name="40% - Accent2 10" xfId="25834" hidden="1"/>
    <cellStyle name="40% - Accent2 10" xfId="26565" hidden="1"/>
    <cellStyle name="40% - Accent2 10" xfId="26641" hidden="1"/>
    <cellStyle name="40% - Accent2 10" xfId="26719" hidden="1"/>
    <cellStyle name="40% - Accent2 10" xfId="25649" hidden="1"/>
    <cellStyle name="40% - Accent2 10" xfId="25848" hidden="1"/>
    <cellStyle name="40% - Accent2 10" xfId="26190" hidden="1"/>
    <cellStyle name="40% - Accent2 10" xfId="27097" hidden="1"/>
    <cellStyle name="40% - Accent2 10" xfId="27173" hidden="1"/>
    <cellStyle name="40% - Accent2 10" xfId="27251" hidden="1"/>
    <cellStyle name="40% - Accent2 10" xfId="27434" hidden="1"/>
    <cellStyle name="40% - Accent2 10" xfId="27510" hidden="1"/>
    <cellStyle name="40% - Accent2 10" xfId="27588" hidden="1"/>
    <cellStyle name="40% - Accent2 10" xfId="27771" hidden="1"/>
    <cellStyle name="40% - Accent2 10" xfId="27847" hidden="1"/>
    <cellStyle name="40% - Accent2 10" xfId="22230" hidden="1"/>
    <cellStyle name="40% - Accent2 10" xfId="22156" hidden="1"/>
    <cellStyle name="40% - Accent2 10" xfId="22076" hidden="1"/>
    <cellStyle name="40% - Accent2 10" xfId="21992" hidden="1"/>
    <cellStyle name="40% - Accent2 10" xfId="8862" hidden="1"/>
    <cellStyle name="40% - Accent2 10" xfId="8560" hidden="1"/>
    <cellStyle name="40% - Accent2 10" xfId="8419" hidden="1"/>
    <cellStyle name="40% - Accent2 10" xfId="9631" hidden="1"/>
    <cellStyle name="40% - Accent2 10" xfId="9798" hidden="1"/>
    <cellStyle name="40% - Accent2 10" xfId="9332" hidden="1"/>
    <cellStyle name="40% - Accent2 10" xfId="5835" hidden="1"/>
    <cellStyle name="40% - Accent2 10" xfId="5591" hidden="1"/>
    <cellStyle name="40% - Accent2 10" xfId="5496" hidden="1"/>
    <cellStyle name="40% - Accent2 10" xfId="15579" hidden="1"/>
    <cellStyle name="40% - Accent2 10" xfId="9286" hidden="1"/>
    <cellStyle name="40% - Accent2 10" xfId="8146" hidden="1"/>
    <cellStyle name="40% - Accent2 10" xfId="3354" hidden="1"/>
    <cellStyle name="40% - Accent2 10" xfId="3161" hidden="1"/>
    <cellStyle name="40% - Accent2 10" xfId="3002" hidden="1"/>
    <cellStyle name="40% - Accent2 10" xfId="1650" hidden="1"/>
    <cellStyle name="40% - Accent2 10" xfId="1502" hidden="1"/>
    <cellStyle name="40% - Accent2 10" xfId="1240" hidden="1"/>
    <cellStyle name="40% - Accent2 10" xfId="27906" hidden="1"/>
    <cellStyle name="40% - Accent2 10" xfId="27982" hidden="1"/>
    <cellStyle name="40% - Accent2 10" xfId="28084" hidden="1"/>
    <cellStyle name="40% - Accent2 10" xfId="28158" hidden="1"/>
    <cellStyle name="40% - Accent2 10" xfId="28234" hidden="1"/>
    <cellStyle name="40% - Accent2 10" xfId="28312" hidden="1"/>
    <cellStyle name="40% - Accent2 10" xfId="28897" hidden="1"/>
    <cellStyle name="40% - Accent2 10" xfId="28973" hidden="1"/>
    <cellStyle name="40% - Accent2 10" xfId="29052" hidden="1"/>
    <cellStyle name="40% - Accent2 10" xfId="28678" hidden="1"/>
    <cellStyle name="40% - Accent2 10" xfId="28639" hidden="1"/>
    <cellStyle name="40% - Accent2 10" xfId="28761" hidden="1"/>
    <cellStyle name="40% - Accent2 10" xfId="29492" hidden="1"/>
    <cellStyle name="40% - Accent2 10" xfId="29568" hidden="1"/>
    <cellStyle name="40% - Accent2 10" xfId="29646" hidden="1"/>
    <cellStyle name="40% - Accent2 10" xfId="28576" hidden="1"/>
    <cellStyle name="40% - Accent2 10" xfId="28775" hidden="1"/>
    <cellStyle name="40% - Accent2 10" xfId="29117" hidden="1"/>
    <cellStyle name="40% - Accent2 10" xfId="30024" hidden="1"/>
    <cellStyle name="40% - Accent2 10" xfId="30100" hidden="1"/>
    <cellStyle name="40% - Accent2 10" xfId="30178" hidden="1"/>
    <cellStyle name="40% - Accent2 10" xfId="30361" hidden="1"/>
    <cellStyle name="40% - Accent2 10" xfId="30437" hidden="1"/>
    <cellStyle name="40% - Accent2 10" xfId="30515" hidden="1"/>
    <cellStyle name="40% - Accent2 10" xfId="30698" hidden="1"/>
    <cellStyle name="40% - Accent2 10" xfId="30774" hidden="1"/>
    <cellStyle name="40% - Accent2 10" xfId="30876" hidden="1"/>
    <cellStyle name="40% - Accent2 10" xfId="30950" hidden="1"/>
    <cellStyle name="40% - Accent2 10" xfId="31026" hidden="1"/>
    <cellStyle name="40% - Accent2 10" xfId="31104" hidden="1"/>
    <cellStyle name="40% - Accent2 10" xfId="31689" hidden="1"/>
    <cellStyle name="40% - Accent2 10" xfId="31765" hidden="1"/>
    <cellStyle name="40% - Accent2 10" xfId="31844" hidden="1"/>
    <cellStyle name="40% - Accent2 10" xfId="31470" hidden="1"/>
    <cellStyle name="40% - Accent2 10" xfId="31431" hidden="1"/>
    <cellStyle name="40% - Accent2 10" xfId="31553" hidden="1"/>
    <cellStyle name="40% - Accent2 10" xfId="32284" hidden="1"/>
    <cellStyle name="40% - Accent2 10" xfId="32360" hidden="1"/>
    <cellStyle name="40% - Accent2 10" xfId="32438" hidden="1"/>
    <cellStyle name="40% - Accent2 10" xfId="31368" hidden="1"/>
    <cellStyle name="40% - Accent2 10" xfId="31567" hidden="1"/>
    <cellStyle name="40% - Accent2 10" xfId="31909" hidden="1"/>
    <cellStyle name="40% - Accent2 10" xfId="32816" hidden="1"/>
    <cellStyle name="40% - Accent2 10" xfId="32892" hidden="1"/>
    <cellStyle name="40% - Accent2 10" xfId="32970" hidden="1"/>
    <cellStyle name="40% - Accent2 10" xfId="33153" hidden="1"/>
    <cellStyle name="40% - Accent2 10" xfId="33229" hidden="1"/>
    <cellStyle name="40% - Accent2 10" xfId="33307" hidden="1"/>
    <cellStyle name="40% - Accent2 10" xfId="33490" hidden="1"/>
    <cellStyle name="40% - Accent2 10" xfId="33566" hidden="1"/>
    <cellStyle name="40% - Accent2 11" xfId="198" hidden="1"/>
    <cellStyle name="40% - Accent2 11" xfId="276" hidden="1"/>
    <cellStyle name="40% - Accent2 11" xfId="417" hidden="1"/>
    <cellStyle name="40% - Accent2 11" xfId="732" hidden="1"/>
    <cellStyle name="40% - Accent2 11" xfId="2445" hidden="1"/>
    <cellStyle name="40% - Accent2 11" xfId="2597" hidden="1"/>
    <cellStyle name="40% - Accent2 11" xfId="2805" hidden="1"/>
    <cellStyle name="40% - Accent2 11" xfId="3796" hidden="1"/>
    <cellStyle name="40% - Accent2 11" xfId="1599" hidden="1"/>
    <cellStyle name="40% - Accent2 11" xfId="1864" hidden="1"/>
    <cellStyle name="40% - Accent2 11" xfId="4420" hidden="1"/>
    <cellStyle name="40% - Accent2 11" xfId="4614" hidden="1"/>
    <cellStyle name="40% - Accent2 11" xfId="4776" hidden="1"/>
    <cellStyle name="40% - Accent2 11" xfId="5810" hidden="1"/>
    <cellStyle name="40% - Accent2 11" xfId="2830" hidden="1"/>
    <cellStyle name="40% - Accent2 11" xfId="3801" hidden="1"/>
    <cellStyle name="40% - Accent2 11" xfId="6388" hidden="1"/>
    <cellStyle name="40% - Accent2 11" xfId="6492" hidden="1"/>
    <cellStyle name="40% - Accent2 11" xfId="6690" hidden="1"/>
    <cellStyle name="40% - Accent2 11" xfId="7566" hidden="1"/>
    <cellStyle name="40% - Accent2 11" xfId="7710" hidden="1"/>
    <cellStyle name="40% - Accent2 11" xfId="7884" hidden="1"/>
    <cellStyle name="40% - Accent2 11" xfId="8805" hidden="1"/>
    <cellStyle name="40% - Accent2 11" xfId="8974" hidden="1"/>
    <cellStyle name="40% - Accent2 11" xfId="9886" hidden="1"/>
    <cellStyle name="40% - Accent2 11" xfId="9961" hidden="1"/>
    <cellStyle name="40% - Accent2 11" xfId="10036" hidden="1"/>
    <cellStyle name="40% - Accent2 11" xfId="10114" hidden="1"/>
    <cellStyle name="40% - Accent2 11" xfId="10700" hidden="1"/>
    <cellStyle name="40% - Accent2 11" xfId="10775" hidden="1"/>
    <cellStyle name="40% - Accent2 11" xfId="10854" hidden="1"/>
    <cellStyle name="40% - Accent2 11" xfId="11080" hidden="1"/>
    <cellStyle name="40% - Accent2 11" xfId="10353" hidden="1"/>
    <cellStyle name="40% - Accent2 11" xfId="10439" hidden="1"/>
    <cellStyle name="40% - Accent2 11" xfId="11295" hidden="1"/>
    <cellStyle name="40% - Accent2 11" xfId="11370" hidden="1"/>
    <cellStyle name="40% - Accent2 11" xfId="11448" hidden="1"/>
    <cellStyle name="40% - Accent2 11" xfId="11639" hidden="1"/>
    <cellStyle name="40% - Accent2 11" xfId="10867" hidden="1"/>
    <cellStyle name="40% - Accent2 11" xfId="11084" hidden="1"/>
    <cellStyle name="40% - Accent2 11" xfId="11827" hidden="1"/>
    <cellStyle name="40% - Accent2 11" xfId="11902" hidden="1"/>
    <cellStyle name="40% - Accent2 11" xfId="11980" hidden="1"/>
    <cellStyle name="40% - Accent2 11" xfId="12164" hidden="1"/>
    <cellStyle name="40% - Accent2 11" xfId="12239" hidden="1"/>
    <cellStyle name="40% - Accent2 11" xfId="12317" hidden="1"/>
    <cellStyle name="40% - Accent2 11" xfId="12501" hidden="1"/>
    <cellStyle name="40% - Accent2 11" xfId="12576" hidden="1"/>
    <cellStyle name="40% - Accent2 11" xfId="12678" hidden="1"/>
    <cellStyle name="40% - Accent2 11" xfId="12753" hidden="1"/>
    <cellStyle name="40% - Accent2 11" xfId="12828" hidden="1"/>
    <cellStyle name="40% - Accent2 11" xfId="12906" hidden="1"/>
    <cellStyle name="40% - Accent2 11" xfId="13492" hidden="1"/>
    <cellStyle name="40% - Accent2 11" xfId="13567" hidden="1"/>
    <cellStyle name="40% - Accent2 11" xfId="13646" hidden="1"/>
    <cellStyle name="40% - Accent2 11" xfId="13872" hidden="1"/>
    <cellStyle name="40% - Accent2 11" xfId="13145" hidden="1"/>
    <cellStyle name="40% - Accent2 11" xfId="13231" hidden="1"/>
    <cellStyle name="40% - Accent2 11" xfId="14087" hidden="1"/>
    <cellStyle name="40% - Accent2 11" xfId="14162" hidden="1"/>
    <cellStyle name="40% - Accent2 11" xfId="14240" hidden="1"/>
    <cellStyle name="40% - Accent2 11" xfId="14431" hidden="1"/>
    <cellStyle name="40% - Accent2 11" xfId="13659" hidden="1"/>
    <cellStyle name="40% - Accent2 11" xfId="13876" hidden="1"/>
    <cellStyle name="40% - Accent2 11" xfId="14619" hidden="1"/>
    <cellStyle name="40% - Accent2 11" xfId="14694" hidden="1"/>
    <cellStyle name="40% - Accent2 11" xfId="14772" hidden="1"/>
    <cellStyle name="40% - Accent2 11" xfId="14956" hidden="1"/>
    <cellStyle name="40% - Accent2 11" xfId="15031" hidden="1"/>
    <cellStyle name="40% - Accent2 11" xfId="15109" hidden="1"/>
    <cellStyle name="40% - Accent2 11" xfId="15293" hidden="1"/>
    <cellStyle name="40% - Accent2 11" xfId="15368" hidden="1"/>
    <cellStyle name="40% - Accent2 11" xfId="9563" hidden="1"/>
    <cellStyle name="40% - Accent2 11" xfId="9449" hidden="1"/>
    <cellStyle name="40% - Accent2 11" xfId="9338" hidden="1"/>
    <cellStyle name="40% - Accent2 11" xfId="9220" hidden="1"/>
    <cellStyle name="40% - Accent2 11" xfId="6968" hidden="1"/>
    <cellStyle name="40% - Accent2 11" xfId="6883" hidden="1"/>
    <cellStyle name="40% - Accent2 11" xfId="6788" hidden="1"/>
    <cellStyle name="40% - Accent2 11" xfId="5711" hidden="1"/>
    <cellStyle name="40% - Accent2 11" xfId="8133" hidden="1"/>
    <cellStyle name="40% - Accent2 11" xfId="7822" hidden="1"/>
    <cellStyle name="40% - Accent2 11" xfId="4820" hidden="1"/>
    <cellStyle name="40% - Accent2 11" xfId="4656" hidden="1"/>
    <cellStyle name="40% - Accent2 11" xfId="4363" hidden="1"/>
    <cellStyle name="40% - Accent2 11" xfId="3644" hidden="1"/>
    <cellStyle name="40% - Accent2 11" xfId="6765" hidden="1"/>
    <cellStyle name="40% - Accent2 11" xfId="5689" hidden="1"/>
    <cellStyle name="40% - Accent2 11" xfId="2681" hidden="1"/>
    <cellStyle name="40% - Accent2 11" xfId="2487" hidden="1"/>
    <cellStyle name="40% - Accent2 11" xfId="2311" hidden="1"/>
    <cellStyle name="40% - Accent2 11" xfId="1342" hidden="1"/>
    <cellStyle name="40% - Accent2 11" xfId="1163" hidden="1"/>
    <cellStyle name="40% - Accent2 11" xfId="922" hidden="1"/>
    <cellStyle name="40% - Accent2 11" xfId="15438" hidden="1"/>
    <cellStyle name="40% - Accent2 11" xfId="15545" hidden="1"/>
    <cellStyle name="40% - Accent2 11" xfId="16227" hidden="1"/>
    <cellStyle name="40% - Accent2 11" xfId="16302" hidden="1"/>
    <cellStyle name="40% - Accent2 11" xfId="16377" hidden="1"/>
    <cellStyle name="40% - Accent2 11" xfId="16455" hidden="1"/>
    <cellStyle name="40% - Accent2 11" xfId="17041" hidden="1"/>
    <cellStyle name="40% - Accent2 11" xfId="17116" hidden="1"/>
    <cellStyle name="40% - Accent2 11" xfId="17195" hidden="1"/>
    <cellStyle name="40% - Accent2 11" xfId="17421" hidden="1"/>
    <cellStyle name="40% - Accent2 11" xfId="16694" hidden="1"/>
    <cellStyle name="40% - Accent2 11" xfId="16780" hidden="1"/>
    <cellStyle name="40% - Accent2 11" xfId="17636" hidden="1"/>
    <cellStyle name="40% - Accent2 11" xfId="17711" hidden="1"/>
    <cellStyle name="40% - Accent2 11" xfId="17789" hidden="1"/>
    <cellStyle name="40% - Accent2 11" xfId="17980" hidden="1"/>
    <cellStyle name="40% - Accent2 11" xfId="17208" hidden="1"/>
    <cellStyle name="40% - Accent2 11" xfId="17425" hidden="1"/>
    <cellStyle name="40% - Accent2 11" xfId="18168" hidden="1"/>
    <cellStyle name="40% - Accent2 11" xfId="18243" hidden="1"/>
    <cellStyle name="40% - Accent2 11" xfId="18321" hidden="1"/>
    <cellStyle name="40% - Accent2 11" xfId="18505" hidden="1"/>
    <cellStyle name="40% - Accent2 11" xfId="18580" hidden="1"/>
    <cellStyle name="40% - Accent2 11" xfId="18658" hidden="1"/>
    <cellStyle name="40% - Accent2 11" xfId="18842" hidden="1"/>
    <cellStyle name="40% - Accent2 11" xfId="18917" hidden="1"/>
    <cellStyle name="40% - Accent2 11" xfId="19019" hidden="1"/>
    <cellStyle name="40% - Accent2 11" xfId="19094" hidden="1"/>
    <cellStyle name="40% - Accent2 11" xfId="19169" hidden="1"/>
    <cellStyle name="40% - Accent2 11" xfId="19247" hidden="1"/>
    <cellStyle name="40% - Accent2 11" xfId="19833" hidden="1"/>
    <cellStyle name="40% - Accent2 11" xfId="19908" hidden="1"/>
    <cellStyle name="40% - Accent2 11" xfId="19987" hidden="1"/>
    <cellStyle name="40% - Accent2 11" xfId="20213" hidden="1"/>
    <cellStyle name="40% - Accent2 11" xfId="19486" hidden="1"/>
    <cellStyle name="40% - Accent2 11" xfId="19572" hidden="1"/>
    <cellStyle name="40% - Accent2 11" xfId="20428" hidden="1"/>
    <cellStyle name="40% - Accent2 11" xfId="20503" hidden="1"/>
    <cellStyle name="40% - Accent2 11" xfId="20581" hidden="1"/>
    <cellStyle name="40% - Accent2 11" xfId="20772" hidden="1"/>
    <cellStyle name="40% - Accent2 11" xfId="20000" hidden="1"/>
    <cellStyle name="40% - Accent2 11" xfId="20217" hidden="1"/>
    <cellStyle name="40% - Accent2 11" xfId="20960" hidden="1"/>
    <cellStyle name="40% - Accent2 11" xfId="21035" hidden="1"/>
    <cellStyle name="40% - Accent2 11" xfId="21113" hidden="1"/>
    <cellStyle name="40% - Accent2 11" xfId="21297" hidden="1"/>
    <cellStyle name="40% - Accent2 11" xfId="21372" hidden="1"/>
    <cellStyle name="40% - Accent2 11" xfId="21450" hidden="1"/>
    <cellStyle name="40% - Accent2 11" xfId="21634" hidden="1"/>
    <cellStyle name="40% - Accent2 11" xfId="21709" hidden="1"/>
    <cellStyle name="40% - Accent2 11" xfId="15964" hidden="1"/>
    <cellStyle name="40% - Accent2 11" xfId="15889" hidden="1"/>
    <cellStyle name="40% - Accent2 11" xfId="15809" hidden="1"/>
    <cellStyle name="40% - Accent2 11" xfId="15723" hidden="1"/>
    <cellStyle name="40% - Accent2 11" xfId="7937" hidden="1"/>
    <cellStyle name="40% - Accent2 11" xfId="7725" hidden="1"/>
    <cellStyle name="40% - Accent2 11" xfId="7454" hidden="1"/>
    <cellStyle name="40% - Accent2 11" xfId="6208" hidden="1"/>
    <cellStyle name="40% - Accent2 11" xfId="9061" hidden="1"/>
    <cellStyle name="40% - Accent2 11" xfId="8712" hidden="1"/>
    <cellStyle name="40% - Accent2 11" xfId="5270" hidden="1"/>
    <cellStyle name="40% - Accent2 11" xfId="5071" hidden="1"/>
    <cellStyle name="40% - Accent2 11" xfId="4963" hidden="1"/>
    <cellStyle name="40% - Accent2 11" xfId="3835" hidden="1"/>
    <cellStyle name="40% - Accent2 11" xfId="7418" hidden="1"/>
    <cellStyle name="40% - Accent2 11" xfId="6184" hidden="1"/>
    <cellStyle name="40% - Accent2 11" xfId="2999" hidden="1"/>
    <cellStyle name="40% - Accent2 11" xfId="2873" hidden="1"/>
    <cellStyle name="40% - Accent2 11" xfId="2640" hidden="1"/>
    <cellStyle name="40% - Accent2 11" xfId="1495" hidden="1"/>
    <cellStyle name="40% - Accent2 11" xfId="1310" hidden="1"/>
    <cellStyle name="40% - Accent2 11" xfId="1086" hidden="1"/>
    <cellStyle name="40% - Accent2 11" xfId="21770" hidden="1"/>
    <cellStyle name="40% - Accent2 11" xfId="21849" hidden="1"/>
    <cellStyle name="40% - Accent2 11" xfId="22378" hidden="1"/>
    <cellStyle name="40% - Accent2 11" xfId="22453" hidden="1"/>
    <cellStyle name="40% - Accent2 11" xfId="22528" hidden="1"/>
    <cellStyle name="40% - Accent2 11" xfId="22606" hidden="1"/>
    <cellStyle name="40% - Accent2 11" xfId="23192" hidden="1"/>
    <cellStyle name="40% - Accent2 11" xfId="23267" hidden="1"/>
    <cellStyle name="40% - Accent2 11" xfId="23346" hidden="1"/>
    <cellStyle name="40% - Accent2 11" xfId="23572" hidden="1"/>
    <cellStyle name="40% - Accent2 11" xfId="22845" hidden="1"/>
    <cellStyle name="40% - Accent2 11" xfId="22931" hidden="1"/>
    <cellStyle name="40% - Accent2 11" xfId="23787" hidden="1"/>
    <cellStyle name="40% - Accent2 11" xfId="23862" hidden="1"/>
    <cellStyle name="40% - Accent2 11" xfId="23940" hidden="1"/>
    <cellStyle name="40% - Accent2 11" xfId="24131" hidden="1"/>
    <cellStyle name="40% - Accent2 11" xfId="23359" hidden="1"/>
    <cellStyle name="40% - Accent2 11" xfId="23576" hidden="1"/>
    <cellStyle name="40% - Accent2 11" xfId="24319" hidden="1"/>
    <cellStyle name="40% - Accent2 11" xfId="24394" hidden="1"/>
    <cellStyle name="40% - Accent2 11" xfId="24472" hidden="1"/>
    <cellStyle name="40% - Accent2 11" xfId="24656" hidden="1"/>
    <cellStyle name="40% - Accent2 11" xfId="24731" hidden="1"/>
    <cellStyle name="40% - Accent2 11" xfId="24809" hidden="1"/>
    <cellStyle name="40% - Accent2 11" xfId="24993" hidden="1"/>
    <cellStyle name="40% - Accent2 11" xfId="25068" hidden="1"/>
    <cellStyle name="40% - Accent2 11" xfId="25170" hidden="1"/>
    <cellStyle name="40% - Accent2 11" xfId="25245" hidden="1"/>
    <cellStyle name="40% - Accent2 11" xfId="25320" hidden="1"/>
    <cellStyle name="40% - Accent2 11" xfId="25398" hidden="1"/>
    <cellStyle name="40% - Accent2 11" xfId="25984" hidden="1"/>
    <cellStyle name="40% - Accent2 11" xfId="26059" hidden="1"/>
    <cellStyle name="40% - Accent2 11" xfId="26138" hidden="1"/>
    <cellStyle name="40% - Accent2 11" xfId="26364" hidden="1"/>
    <cellStyle name="40% - Accent2 11" xfId="25637" hidden="1"/>
    <cellStyle name="40% - Accent2 11" xfId="25723" hidden="1"/>
    <cellStyle name="40% - Accent2 11" xfId="26579" hidden="1"/>
    <cellStyle name="40% - Accent2 11" xfId="26654" hidden="1"/>
    <cellStyle name="40% - Accent2 11" xfId="26732" hidden="1"/>
    <cellStyle name="40% - Accent2 11" xfId="26923" hidden="1"/>
    <cellStyle name="40% - Accent2 11" xfId="26151" hidden="1"/>
    <cellStyle name="40% - Accent2 11" xfId="26368" hidden="1"/>
    <cellStyle name="40% - Accent2 11" xfId="27111" hidden="1"/>
    <cellStyle name="40% - Accent2 11" xfId="27186" hidden="1"/>
    <cellStyle name="40% - Accent2 11" xfId="27264" hidden="1"/>
    <cellStyle name="40% - Accent2 11" xfId="27448" hidden="1"/>
    <cellStyle name="40% - Accent2 11" xfId="27523" hidden="1"/>
    <cellStyle name="40% - Accent2 11" xfId="27601" hidden="1"/>
    <cellStyle name="40% - Accent2 11" xfId="27785" hidden="1"/>
    <cellStyle name="40% - Accent2 11" xfId="27860" hidden="1"/>
    <cellStyle name="40% - Accent2 11" xfId="22217" hidden="1"/>
    <cellStyle name="40% - Accent2 11" xfId="22142" hidden="1"/>
    <cellStyle name="40% - Accent2 11" xfId="22062" hidden="1"/>
    <cellStyle name="40% - Accent2 11" xfId="21979" hidden="1"/>
    <cellStyle name="40% - Accent2 11" xfId="8835" hidden="1"/>
    <cellStyle name="40% - Accent2 11" xfId="8540" hidden="1"/>
    <cellStyle name="40% - Accent2 11" xfId="8405" hidden="1"/>
    <cellStyle name="40% - Accent2 11" xfId="6749" hidden="1"/>
    <cellStyle name="40% - Accent2 11" xfId="15596" hidden="1"/>
    <cellStyle name="40% - Accent2 11" xfId="9781" hidden="1"/>
    <cellStyle name="40% - Accent2 11" xfId="5814" hidden="1"/>
    <cellStyle name="40% - Accent2 11" xfId="5576" hidden="1"/>
    <cellStyle name="40% - Accent2 11" xfId="5482" hidden="1"/>
    <cellStyle name="40% - Accent2 11" xfId="4012" hidden="1"/>
    <cellStyle name="40% - Accent2 11" xfId="8371" hidden="1"/>
    <cellStyle name="40% - Accent2 11" xfId="6745" hidden="1"/>
    <cellStyle name="40% - Accent2 11" xfId="3337" hidden="1"/>
    <cellStyle name="40% - Accent2 11" xfId="3148" hidden="1"/>
    <cellStyle name="40% - Accent2 11" xfId="2969" hidden="1"/>
    <cellStyle name="40% - Accent2 11" xfId="1633" hidden="1"/>
    <cellStyle name="40% - Accent2 11" xfId="1465" hidden="1"/>
    <cellStyle name="40% - Accent2 11" xfId="1209" hidden="1"/>
    <cellStyle name="40% - Accent2 11" xfId="27920" hidden="1"/>
    <cellStyle name="40% - Accent2 11" xfId="27995" hidden="1"/>
    <cellStyle name="40% - Accent2 11" xfId="28097" hidden="1"/>
    <cellStyle name="40% - Accent2 11" xfId="28172" hidden="1"/>
    <cellStyle name="40% - Accent2 11" xfId="28247" hidden="1"/>
    <cellStyle name="40% - Accent2 11" xfId="28325" hidden="1"/>
    <cellStyle name="40% - Accent2 11" xfId="28911" hidden="1"/>
    <cellStyle name="40% - Accent2 11" xfId="28986" hidden="1"/>
    <cellStyle name="40% - Accent2 11" xfId="29065" hidden="1"/>
    <cellStyle name="40% - Accent2 11" xfId="29291" hidden="1"/>
    <cellStyle name="40% - Accent2 11" xfId="28564" hidden="1"/>
    <cellStyle name="40% - Accent2 11" xfId="28650" hidden="1"/>
    <cellStyle name="40% - Accent2 11" xfId="29506" hidden="1"/>
    <cellStyle name="40% - Accent2 11" xfId="29581" hidden="1"/>
    <cellStyle name="40% - Accent2 11" xfId="29659" hidden="1"/>
    <cellStyle name="40% - Accent2 11" xfId="29850" hidden="1"/>
    <cellStyle name="40% - Accent2 11" xfId="29078" hidden="1"/>
    <cellStyle name="40% - Accent2 11" xfId="29295" hidden="1"/>
    <cellStyle name="40% - Accent2 11" xfId="30038" hidden="1"/>
    <cellStyle name="40% - Accent2 11" xfId="30113" hidden="1"/>
    <cellStyle name="40% - Accent2 11" xfId="30191" hidden="1"/>
    <cellStyle name="40% - Accent2 11" xfId="30375" hidden="1"/>
    <cellStyle name="40% - Accent2 11" xfId="30450" hidden="1"/>
    <cellStyle name="40% - Accent2 11" xfId="30528" hidden="1"/>
    <cellStyle name="40% - Accent2 11" xfId="30712" hidden="1"/>
    <cellStyle name="40% - Accent2 11" xfId="30787" hidden="1"/>
    <cellStyle name="40% - Accent2 11" xfId="30889" hidden="1"/>
    <cellStyle name="40% - Accent2 11" xfId="30964" hidden="1"/>
    <cellStyle name="40% - Accent2 11" xfId="31039" hidden="1"/>
    <cellStyle name="40% - Accent2 11" xfId="31117" hidden="1"/>
    <cellStyle name="40% - Accent2 11" xfId="31703" hidden="1"/>
    <cellStyle name="40% - Accent2 11" xfId="31778" hidden="1"/>
    <cellStyle name="40% - Accent2 11" xfId="31857" hidden="1"/>
    <cellStyle name="40% - Accent2 11" xfId="32083" hidden="1"/>
    <cellStyle name="40% - Accent2 11" xfId="31356" hidden="1"/>
    <cellStyle name="40% - Accent2 11" xfId="31442" hidden="1"/>
    <cellStyle name="40% - Accent2 11" xfId="32298" hidden="1"/>
    <cellStyle name="40% - Accent2 11" xfId="32373" hidden="1"/>
    <cellStyle name="40% - Accent2 11" xfId="32451" hidden="1"/>
    <cellStyle name="40% - Accent2 11" xfId="32642" hidden="1"/>
    <cellStyle name="40% - Accent2 11" xfId="31870" hidden="1"/>
    <cellStyle name="40% - Accent2 11" xfId="32087" hidden="1"/>
    <cellStyle name="40% - Accent2 11" xfId="32830" hidden="1"/>
    <cellStyle name="40% - Accent2 11" xfId="32905" hidden="1"/>
    <cellStyle name="40% - Accent2 11" xfId="32983" hidden="1"/>
    <cellStyle name="40% - Accent2 11" xfId="33167" hidden="1"/>
    <cellStyle name="40% - Accent2 11" xfId="33242" hidden="1"/>
    <cellStyle name="40% - Accent2 11" xfId="33320" hidden="1"/>
    <cellStyle name="40% - Accent2 11" xfId="33504" hidden="1"/>
    <cellStyle name="40% - Accent2 11" xfId="33579" hidden="1"/>
    <cellStyle name="40% - Accent2 12" xfId="745" hidden="1"/>
    <cellStyle name="40% - Accent2 12" xfId="949" hidden="1"/>
    <cellStyle name="40% - Accent2 12" xfId="3518" hidden="1"/>
    <cellStyle name="40% - Accent2 12" xfId="4033" hidden="1"/>
    <cellStyle name="40% - Accent2 12" xfId="5352" hidden="1"/>
    <cellStyle name="40% - Accent2 12" xfId="6049" hidden="1"/>
    <cellStyle name="40% - Accent2 12" xfId="7065" hidden="1"/>
    <cellStyle name="40% - Accent2 12" xfId="8267" hidden="1"/>
    <cellStyle name="40% - Accent2 12" xfId="10127" hidden="1"/>
    <cellStyle name="40% - Accent2 12" xfId="10242" hidden="1"/>
    <cellStyle name="40% - Accent2 12" xfId="10965" hidden="1"/>
    <cellStyle name="40% - Accent2 12" xfId="11138" hidden="1"/>
    <cellStyle name="40% - Accent2 12" xfId="11531" hidden="1"/>
    <cellStyle name="40% - Accent2 12" xfId="11679" hidden="1"/>
    <cellStyle name="40% - Accent2 12" xfId="12017" hidden="1"/>
    <cellStyle name="40% - Accent2 12" xfId="12354" hidden="1"/>
    <cellStyle name="40% - Accent2 12" xfId="12919" hidden="1"/>
    <cellStyle name="40% - Accent2 12" xfId="13034" hidden="1"/>
    <cellStyle name="40% - Accent2 12" xfId="13757" hidden="1"/>
    <cellStyle name="40% - Accent2 12" xfId="13930" hidden="1"/>
    <cellStyle name="40% - Accent2 12" xfId="14323" hidden="1"/>
    <cellStyle name="40% - Accent2 12" xfId="14471" hidden="1"/>
    <cellStyle name="40% - Accent2 12" xfId="14809" hidden="1"/>
    <cellStyle name="40% - Accent2 12" xfId="15146" hidden="1"/>
    <cellStyle name="40% - Accent2 12" xfId="9202" hidden="1"/>
    <cellStyle name="40% - Accent2 12" xfId="8660" hidden="1"/>
    <cellStyle name="40% - Accent2 12" xfId="6030" hidden="1"/>
    <cellStyle name="40% - Accent2 12" xfId="5238" hidden="1"/>
    <cellStyle name="40% - Accent2 12" xfId="3956" hidden="1"/>
    <cellStyle name="40% - Accent2 12" xfId="3279" hidden="1"/>
    <cellStyle name="40% - Accent2 12" xfId="1843" hidden="1"/>
    <cellStyle name="40% - Accent2 12" xfId="479" hidden="1"/>
    <cellStyle name="40% - Accent2 12" xfId="16468" hidden="1"/>
    <cellStyle name="40% - Accent2 12" xfId="16583" hidden="1"/>
    <cellStyle name="40% - Accent2 12" xfId="17306" hidden="1"/>
    <cellStyle name="40% - Accent2 12" xfId="17479" hidden="1"/>
    <cellStyle name="40% - Accent2 12" xfId="17872" hidden="1"/>
    <cellStyle name="40% - Accent2 12" xfId="18020" hidden="1"/>
    <cellStyle name="40% - Accent2 12" xfId="18358" hidden="1"/>
    <cellStyle name="40% - Accent2 12" xfId="18695" hidden="1"/>
    <cellStyle name="40% - Accent2 12" xfId="19260" hidden="1"/>
    <cellStyle name="40% - Accent2 12" xfId="19375" hidden="1"/>
    <cellStyle name="40% - Accent2 12" xfId="20098" hidden="1"/>
    <cellStyle name="40% - Accent2 12" xfId="20271" hidden="1"/>
    <cellStyle name="40% - Accent2 12" xfId="20664" hidden="1"/>
    <cellStyle name="40% - Accent2 12" xfId="20812" hidden="1"/>
    <cellStyle name="40% - Accent2 12" xfId="21150" hidden="1"/>
    <cellStyle name="40% - Accent2 12" xfId="21487" hidden="1"/>
    <cellStyle name="40% - Accent2 12" xfId="15710" hidden="1"/>
    <cellStyle name="40% - Accent2 12" xfId="9754" hidden="1"/>
    <cellStyle name="40% - Accent2 12" xfId="6616" hidden="1"/>
    <cellStyle name="40% - Accent2 12" xfId="5771" hidden="1"/>
    <cellStyle name="40% - Accent2 12" xfId="4224" hidden="1"/>
    <cellStyle name="40% - Accent2 12" xfId="3506" hidden="1"/>
    <cellStyle name="40% - Accent2 12" xfId="2018" hidden="1"/>
    <cellStyle name="40% - Accent2 12" xfId="579" hidden="1"/>
    <cellStyle name="40% - Accent2 12" xfId="22619" hidden="1"/>
    <cellStyle name="40% - Accent2 12" xfId="22734" hidden="1"/>
    <cellStyle name="40% - Accent2 12" xfId="23457" hidden="1"/>
    <cellStyle name="40% - Accent2 12" xfId="23630" hidden="1"/>
    <cellStyle name="40% - Accent2 12" xfId="24023" hidden="1"/>
    <cellStyle name="40% - Accent2 12" xfId="24171" hidden="1"/>
    <cellStyle name="40% - Accent2 12" xfId="24509" hidden="1"/>
    <cellStyle name="40% - Accent2 12" xfId="24846" hidden="1"/>
    <cellStyle name="40% - Accent2 12" xfId="25411" hidden="1"/>
    <cellStyle name="40% - Accent2 12" xfId="25526" hidden="1"/>
    <cellStyle name="40% - Accent2 12" xfId="26249" hidden="1"/>
    <cellStyle name="40% - Accent2 12" xfId="26422" hidden="1"/>
    <cellStyle name="40% - Accent2 12" xfId="26815" hidden="1"/>
    <cellStyle name="40% - Accent2 12" xfId="26963" hidden="1"/>
    <cellStyle name="40% - Accent2 12" xfId="27301" hidden="1"/>
    <cellStyle name="40% - Accent2 12" xfId="27638" hidden="1"/>
    <cellStyle name="40% - Accent2 12" xfId="21966" hidden="1"/>
    <cellStyle name="40% - Accent2 12" xfId="16134" hidden="1"/>
    <cellStyle name="40% - Accent2 12" xfId="7317" hidden="1"/>
    <cellStyle name="40% - Accent2 12" xfId="6280" hidden="1"/>
    <cellStyle name="40% - Accent2 12" xfId="4536" hidden="1"/>
    <cellStyle name="40% - Accent2 12" xfId="3760" hidden="1"/>
    <cellStyle name="40% - Accent2 12" xfId="2197" hidden="1"/>
    <cellStyle name="40% - Accent2 12" xfId="721" hidden="1"/>
    <cellStyle name="40% - Accent2 12" xfId="28338" hidden="1"/>
    <cellStyle name="40% - Accent2 12" xfId="28453" hidden="1"/>
    <cellStyle name="40% - Accent2 12" xfId="29176" hidden="1"/>
    <cellStyle name="40% - Accent2 12" xfId="29349" hidden="1"/>
    <cellStyle name="40% - Accent2 12" xfId="29742" hidden="1"/>
    <cellStyle name="40% - Accent2 12" xfId="29890" hidden="1"/>
    <cellStyle name="40% - Accent2 12" xfId="30228" hidden="1"/>
    <cellStyle name="40% - Accent2 12" xfId="30565" hidden="1"/>
    <cellStyle name="40% - Accent2 12" xfId="31130" hidden="1"/>
    <cellStyle name="40% - Accent2 12" xfId="31245" hidden="1"/>
    <cellStyle name="40% - Accent2 12" xfId="31968" hidden="1"/>
    <cellStyle name="40% - Accent2 12" xfId="32141" hidden="1"/>
    <cellStyle name="40% - Accent2 12" xfId="32534" hidden="1"/>
    <cellStyle name="40% - Accent2 12" xfId="32682" hidden="1"/>
    <cellStyle name="40% - Accent2 12" xfId="33020" hidden="1"/>
    <cellStyle name="40% - Accent2 12" xfId="33357" hidden="1"/>
    <cellStyle name="40% - Accent2 3 2 3 2" xfId="832" hidden="1"/>
    <cellStyle name="40% - Accent2 3 2 3 2" xfId="1040" hidden="1"/>
    <cellStyle name="40% - Accent2 3 2 3 2" xfId="3604" hidden="1"/>
    <cellStyle name="40% - Accent2 3 2 3 2" xfId="4119" hidden="1"/>
    <cellStyle name="40% - Accent2 3 2 3 2" xfId="5438" hidden="1"/>
    <cellStyle name="40% - Accent2 3 2 3 2" xfId="6135" hidden="1"/>
    <cellStyle name="40% - Accent2 3 2 3 2" xfId="7152" hidden="1"/>
    <cellStyle name="40% - Accent2 3 2 3 2" xfId="8356" hidden="1"/>
    <cellStyle name="40% - Accent2 3 2 3 2" xfId="10213" hidden="1"/>
    <cellStyle name="40% - Accent2 3 2 3 2" xfId="10328" hidden="1"/>
    <cellStyle name="40% - Accent2 3 2 3 2" xfId="11051" hidden="1"/>
    <cellStyle name="40% - Accent2 3 2 3 2" xfId="11224" hidden="1"/>
    <cellStyle name="40% - Accent2 3 2 3 2" xfId="11617" hidden="1"/>
    <cellStyle name="40% - Accent2 3 2 3 2" xfId="11765" hidden="1"/>
    <cellStyle name="40% - Accent2 3 2 3 2" xfId="12103" hidden="1"/>
    <cellStyle name="40% - Accent2 3 2 3 2" xfId="12440" hidden="1"/>
    <cellStyle name="40% - Accent2 3 2 3 2" xfId="13005" hidden="1"/>
    <cellStyle name="40% - Accent2 3 2 3 2" xfId="13120" hidden="1"/>
    <cellStyle name="40% - Accent2 3 2 3 2" xfId="13843" hidden="1"/>
    <cellStyle name="40% - Accent2 3 2 3 2" xfId="14016" hidden="1"/>
    <cellStyle name="40% - Accent2 3 2 3 2" xfId="14409" hidden="1"/>
    <cellStyle name="40% - Accent2 3 2 3 2" xfId="14557" hidden="1"/>
    <cellStyle name="40% - Accent2 3 2 3 2" xfId="14895" hidden="1"/>
    <cellStyle name="40% - Accent2 3 2 3 2" xfId="15232" hidden="1"/>
    <cellStyle name="40% - Accent2 3 2 3 2" xfId="9114" hidden="1"/>
    <cellStyle name="40% - Accent2 3 2 3 2" xfId="8570" hidden="1"/>
    <cellStyle name="40% - Accent2 3 2 3 2" xfId="5942" hidden="1"/>
    <cellStyle name="40% - Accent2 3 2 3 2" xfId="5151" hidden="1"/>
    <cellStyle name="40% - Accent2 3 2 3 2" xfId="3865" hidden="1"/>
    <cellStyle name="40% - Accent2 3 2 3 2" xfId="3186" hidden="1"/>
    <cellStyle name="40% - Accent2 3 2 3 2" xfId="1743" hidden="1"/>
    <cellStyle name="40% - Accent2 3 2 3 2" xfId="335" hidden="1"/>
    <cellStyle name="40% - Accent2 3 2 3 2" xfId="16554" hidden="1"/>
    <cellStyle name="40% - Accent2 3 2 3 2" xfId="16669" hidden="1"/>
    <cellStyle name="40% - Accent2 3 2 3 2" xfId="17392" hidden="1"/>
    <cellStyle name="40% - Accent2 3 2 3 2" xfId="17565" hidden="1"/>
    <cellStyle name="40% - Accent2 3 2 3 2" xfId="17958" hidden="1"/>
    <cellStyle name="40% - Accent2 3 2 3 2" xfId="18106" hidden="1"/>
    <cellStyle name="40% - Accent2 3 2 3 2" xfId="18444" hidden="1"/>
    <cellStyle name="40% - Accent2 3 2 3 2" xfId="18781" hidden="1"/>
    <cellStyle name="40% - Accent2 3 2 3 2" xfId="19346" hidden="1"/>
    <cellStyle name="40% - Accent2 3 2 3 2" xfId="19461" hidden="1"/>
    <cellStyle name="40% - Accent2 3 2 3 2" xfId="20184" hidden="1"/>
    <cellStyle name="40% - Accent2 3 2 3 2" xfId="20357" hidden="1"/>
    <cellStyle name="40% - Accent2 3 2 3 2" xfId="20750" hidden="1"/>
    <cellStyle name="40% - Accent2 3 2 3 2" xfId="20898" hidden="1"/>
    <cellStyle name="40% - Accent2 3 2 3 2" xfId="21236" hidden="1"/>
    <cellStyle name="40% - Accent2 3 2 3 2" xfId="21573" hidden="1"/>
    <cellStyle name="40% - Accent2 3 2 3 2" xfId="15622" hidden="1"/>
    <cellStyle name="40% - Accent2 3 2 3 2" xfId="9667" hidden="1"/>
    <cellStyle name="40% - Accent2 3 2 3 2" xfId="6513" hidden="1"/>
    <cellStyle name="40% - Accent2 3 2 3 2" xfId="5663" hidden="1"/>
    <cellStyle name="40% - Accent2 3 2 3 2" xfId="4136" hidden="1"/>
    <cellStyle name="40% - Accent2 3 2 3 2" xfId="3414" hidden="1"/>
    <cellStyle name="40% - Accent2 3 2 3 2" xfId="1916" hidden="1"/>
    <cellStyle name="40% - Accent2 3 2 3 2" xfId="469" hidden="1"/>
    <cellStyle name="40% - Accent2 3 2 3 2" xfId="22705" hidden="1"/>
    <cellStyle name="40% - Accent2 3 2 3 2" xfId="22820" hidden="1"/>
    <cellStyle name="40% - Accent2 3 2 3 2" xfId="23543" hidden="1"/>
    <cellStyle name="40% - Accent2 3 2 3 2" xfId="23716" hidden="1"/>
    <cellStyle name="40% - Accent2 3 2 3 2" xfId="24109" hidden="1"/>
    <cellStyle name="40% - Accent2 3 2 3 2" xfId="24257" hidden="1"/>
    <cellStyle name="40% - Accent2 3 2 3 2" xfId="24595" hidden="1"/>
    <cellStyle name="40% - Accent2 3 2 3 2" xfId="24932" hidden="1"/>
    <cellStyle name="40% - Accent2 3 2 3 2" xfId="25497" hidden="1"/>
    <cellStyle name="40% - Accent2 3 2 3 2" xfId="25612" hidden="1"/>
    <cellStyle name="40% - Accent2 3 2 3 2" xfId="26335" hidden="1"/>
    <cellStyle name="40% - Accent2 3 2 3 2" xfId="26508" hidden="1"/>
    <cellStyle name="40% - Accent2 3 2 3 2" xfId="26901" hidden="1"/>
    <cellStyle name="40% - Accent2 3 2 3 2" xfId="27049" hidden="1"/>
    <cellStyle name="40% - Accent2 3 2 3 2" xfId="27387" hidden="1"/>
    <cellStyle name="40% - Accent2 3 2 3 2" xfId="27724" hidden="1"/>
    <cellStyle name="40% - Accent2 3 2 3 2" xfId="21878" hidden="1"/>
    <cellStyle name="40% - Accent2 3 2 3 2" xfId="16048" hidden="1"/>
    <cellStyle name="40% - Accent2 3 2 3 2" xfId="7216" hidden="1"/>
    <cellStyle name="40% - Accent2 3 2 3 2" xfId="6170" hidden="1"/>
    <cellStyle name="40% - Accent2 3 2 3 2" xfId="4343" hidden="1"/>
    <cellStyle name="40% - Accent2 3 2 3 2" xfId="3671" hidden="1"/>
    <cellStyle name="40% - Accent2 3 2 3 2" xfId="2103" hidden="1"/>
    <cellStyle name="40% - Accent2 3 2 3 2" xfId="591" hidden="1"/>
    <cellStyle name="40% - Accent2 3 2 3 2" xfId="28424" hidden="1"/>
    <cellStyle name="40% - Accent2 3 2 3 2" xfId="28539" hidden="1"/>
    <cellStyle name="40% - Accent2 3 2 3 2" xfId="29262" hidden="1"/>
    <cellStyle name="40% - Accent2 3 2 3 2" xfId="29435" hidden="1"/>
    <cellStyle name="40% - Accent2 3 2 3 2" xfId="29828" hidden="1"/>
    <cellStyle name="40% - Accent2 3 2 3 2" xfId="29976" hidden="1"/>
    <cellStyle name="40% - Accent2 3 2 3 2" xfId="30314" hidden="1"/>
    <cellStyle name="40% - Accent2 3 2 3 2" xfId="30651" hidden="1"/>
    <cellStyle name="40% - Accent2 3 2 3 2" xfId="31216" hidden="1"/>
    <cellStyle name="40% - Accent2 3 2 3 2" xfId="31331" hidden="1"/>
    <cellStyle name="40% - Accent2 3 2 3 2" xfId="32054" hidden="1"/>
    <cellStyle name="40% - Accent2 3 2 3 2" xfId="32227" hidden="1"/>
    <cellStyle name="40% - Accent2 3 2 3 2" xfId="32620" hidden="1"/>
    <cellStyle name="40% - Accent2 3 2 3 2" xfId="32768" hidden="1"/>
    <cellStyle name="40% - Accent2 3 2 3 2" xfId="33106" hidden="1"/>
    <cellStyle name="40% - Accent2 3 2 3 2" xfId="33443" hidden="1"/>
    <cellStyle name="40% - Accent2 3 2 4 2" xfId="797" hidden="1"/>
    <cellStyle name="40% - Accent2 3 2 4 2" xfId="1005" hidden="1"/>
    <cellStyle name="40% - Accent2 3 2 4 2" xfId="3569" hidden="1"/>
    <cellStyle name="40% - Accent2 3 2 4 2" xfId="4084" hidden="1"/>
    <cellStyle name="40% - Accent2 3 2 4 2" xfId="5403" hidden="1"/>
    <cellStyle name="40% - Accent2 3 2 4 2" xfId="6100" hidden="1"/>
    <cellStyle name="40% - Accent2 3 2 4 2" xfId="7117" hidden="1"/>
    <cellStyle name="40% - Accent2 3 2 4 2" xfId="8321" hidden="1"/>
    <cellStyle name="40% - Accent2 3 2 4 2" xfId="10178" hidden="1"/>
    <cellStyle name="40% - Accent2 3 2 4 2" xfId="10293" hidden="1"/>
    <cellStyle name="40% - Accent2 3 2 4 2" xfId="11016" hidden="1"/>
    <cellStyle name="40% - Accent2 3 2 4 2" xfId="11189" hidden="1"/>
    <cellStyle name="40% - Accent2 3 2 4 2" xfId="11582" hidden="1"/>
    <cellStyle name="40% - Accent2 3 2 4 2" xfId="11730" hidden="1"/>
    <cellStyle name="40% - Accent2 3 2 4 2" xfId="12068" hidden="1"/>
    <cellStyle name="40% - Accent2 3 2 4 2" xfId="12405" hidden="1"/>
    <cellStyle name="40% - Accent2 3 2 4 2" xfId="12970" hidden="1"/>
    <cellStyle name="40% - Accent2 3 2 4 2" xfId="13085" hidden="1"/>
    <cellStyle name="40% - Accent2 3 2 4 2" xfId="13808" hidden="1"/>
    <cellStyle name="40% - Accent2 3 2 4 2" xfId="13981" hidden="1"/>
    <cellStyle name="40% - Accent2 3 2 4 2" xfId="14374" hidden="1"/>
    <cellStyle name="40% - Accent2 3 2 4 2" xfId="14522" hidden="1"/>
    <cellStyle name="40% - Accent2 3 2 4 2" xfId="14860" hidden="1"/>
    <cellStyle name="40% - Accent2 3 2 4 2" xfId="15197" hidden="1"/>
    <cellStyle name="40% - Accent2 3 2 4 2" xfId="9150" hidden="1"/>
    <cellStyle name="40% - Accent2 3 2 4 2" xfId="8605" hidden="1"/>
    <cellStyle name="40% - Accent2 3 2 4 2" xfId="5977" hidden="1"/>
    <cellStyle name="40% - Accent2 3 2 4 2" xfId="5186" hidden="1"/>
    <cellStyle name="40% - Accent2 3 2 4 2" xfId="3903" hidden="1"/>
    <cellStyle name="40% - Accent2 3 2 4 2" xfId="3223" hidden="1"/>
    <cellStyle name="40% - Accent2 3 2 4 2" xfId="1782" hidden="1"/>
    <cellStyle name="40% - Accent2 3 2 4 2" xfId="392" hidden="1"/>
    <cellStyle name="40% - Accent2 3 2 4 2" xfId="16519" hidden="1"/>
    <cellStyle name="40% - Accent2 3 2 4 2" xfId="16634" hidden="1"/>
    <cellStyle name="40% - Accent2 3 2 4 2" xfId="17357" hidden="1"/>
    <cellStyle name="40% - Accent2 3 2 4 2" xfId="17530" hidden="1"/>
    <cellStyle name="40% - Accent2 3 2 4 2" xfId="17923" hidden="1"/>
    <cellStyle name="40% - Accent2 3 2 4 2" xfId="18071" hidden="1"/>
    <cellStyle name="40% - Accent2 3 2 4 2" xfId="18409" hidden="1"/>
    <cellStyle name="40% - Accent2 3 2 4 2" xfId="18746" hidden="1"/>
    <cellStyle name="40% - Accent2 3 2 4 2" xfId="19311" hidden="1"/>
    <cellStyle name="40% - Accent2 3 2 4 2" xfId="19426" hidden="1"/>
    <cellStyle name="40% - Accent2 3 2 4 2" xfId="20149" hidden="1"/>
    <cellStyle name="40% - Accent2 3 2 4 2" xfId="20322" hidden="1"/>
    <cellStyle name="40% - Accent2 3 2 4 2" xfId="20715" hidden="1"/>
    <cellStyle name="40% - Accent2 3 2 4 2" xfId="20863" hidden="1"/>
    <cellStyle name="40% - Accent2 3 2 4 2" xfId="21201" hidden="1"/>
    <cellStyle name="40% - Accent2 3 2 4 2" xfId="21538" hidden="1"/>
    <cellStyle name="40% - Accent2 3 2 4 2" xfId="15658" hidden="1"/>
    <cellStyle name="40% - Accent2 3 2 4 2" xfId="9702" hidden="1"/>
    <cellStyle name="40% - Accent2 3 2 4 2" xfId="6555" hidden="1"/>
    <cellStyle name="40% - Accent2 3 2 4 2" xfId="5705" hidden="1"/>
    <cellStyle name="40% - Accent2 3 2 4 2" xfId="4172" hidden="1"/>
    <cellStyle name="40% - Accent2 3 2 4 2" xfId="3450" hidden="1"/>
    <cellStyle name="40% - Accent2 3 2 4 2" xfId="1960" hidden="1"/>
    <cellStyle name="40% - Accent2 3 2 4 2" xfId="520" hidden="1"/>
    <cellStyle name="40% - Accent2 3 2 4 2" xfId="22670" hidden="1"/>
    <cellStyle name="40% - Accent2 3 2 4 2" xfId="22785" hidden="1"/>
    <cellStyle name="40% - Accent2 3 2 4 2" xfId="23508" hidden="1"/>
    <cellStyle name="40% - Accent2 3 2 4 2" xfId="23681" hidden="1"/>
    <cellStyle name="40% - Accent2 3 2 4 2" xfId="24074" hidden="1"/>
    <cellStyle name="40% - Accent2 3 2 4 2" xfId="24222" hidden="1"/>
    <cellStyle name="40% - Accent2 3 2 4 2" xfId="24560" hidden="1"/>
    <cellStyle name="40% - Accent2 3 2 4 2" xfId="24897" hidden="1"/>
    <cellStyle name="40% - Accent2 3 2 4 2" xfId="25462" hidden="1"/>
    <cellStyle name="40% - Accent2 3 2 4 2" xfId="25577" hidden="1"/>
    <cellStyle name="40% - Accent2 3 2 4 2" xfId="26300" hidden="1"/>
    <cellStyle name="40% - Accent2 3 2 4 2" xfId="26473" hidden="1"/>
    <cellStyle name="40% - Accent2 3 2 4 2" xfId="26866" hidden="1"/>
    <cellStyle name="40% - Accent2 3 2 4 2" xfId="27014" hidden="1"/>
    <cellStyle name="40% - Accent2 3 2 4 2" xfId="27352" hidden="1"/>
    <cellStyle name="40% - Accent2 3 2 4 2" xfId="27689" hidden="1"/>
    <cellStyle name="40% - Accent2 3 2 4 2" xfId="21914" hidden="1"/>
    <cellStyle name="40% - Accent2 3 2 4 2" xfId="16083" hidden="1"/>
    <cellStyle name="40% - Accent2 3 2 4 2" xfId="7261" hidden="1"/>
    <cellStyle name="40% - Accent2 3 2 4 2" xfId="6215" hidden="1"/>
    <cellStyle name="40% - Accent2 3 2 4 2" xfId="4442" hidden="1"/>
    <cellStyle name="40% - Accent2 3 2 4 2" xfId="3709" hidden="1"/>
    <cellStyle name="40% - Accent2 3 2 4 2" xfId="2142" hidden="1"/>
    <cellStyle name="40% - Accent2 3 2 4 2" xfId="630" hidden="1"/>
    <cellStyle name="40% - Accent2 3 2 4 2" xfId="28389" hidden="1"/>
    <cellStyle name="40% - Accent2 3 2 4 2" xfId="28504" hidden="1"/>
    <cellStyle name="40% - Accent2 3 2 4 2" xfId="29227" hidden="1"/>
    <cellStyle name="40% - Accent2 3 2 4 2" xfId="29400" hidden="1"/>
    <cellStyle name="40% - Accent2 3 2 4 2" xfId="29793" hidden="1"/>
    <cellStyle name="40% - Accent2 3 2 4 2" xfId="29941" hidden="1"/>
    <cellStyle name="40% - Accent2 3 2 4 2" xfId="30279" hidden="1"/>
    <cellStyle name="40% - Accent2 3 2 4 2" xfId="30616" hidden="1"/>
    <cellStyle name="40% - Accent2 3 2 4 2" xfId="31181" hidden="1"/>
    <cellStyle name="40% - Accent2 3 2 4 2" xfId="31296" hidden="1"/>
    <cellStyle name="40% - Accent2 3 2 4 2" xfId="32019" hidden="1"/>
    <cellStyle name="40% - Accent2 3 2 4 2" xfId="32192" hidden="1"/>
    <cellStyle name="40% - Accent2 3 2 4 2" xfId="32585" hidden="1"/>
    <cellStyle name="40% - Accent2 3 2 4 2" xfId="32733" hidden="1"/>
    <cellStyle name="40% - Accent2 3 2 4 2" xfId="33071" hidden="1"/>
    <cellStyle name="40% - Accent2 3 2 4 2" xfId="33408" hidden="1"/>
    <cellStyle name="40% - Accent2 3 3 3 2" xfId="796" hidden="1"/>
    <cellStyle name="40% - Accent2 3 3 3 2" xfId="1004" hidden="1"/>
    <cellStyle name="40% - Accent2 3 3 3 2" xfId="3568" hidden="1"/>
    <cellStyle name="40% - Accent2 3 3 3 2" xfId="4083" hidden="1"/>
    <cellStyle name="40% - Accent2 3 3 3 2" xfId="5402" hidden="1"/>
    <cellStyle name="40% - Accent2 3 3 3 2" xfId="6099" hidden="1"/>
    <cellStyle name="40% - Accent2 3 3 3 2" xfId="7116" hidden="1"/>
    <cellStyle name="40% - Accent2 3 3 3 2" xfId="8320" hidden="1"/>
    <cellStyle name="40% - Accent2 3 3 3 2" xfId="10177" hidden="1"/>
    <cellStyle name="40% - Accent2 3 3 3 2" xfId="10292" hidden="1"/>
    <cellStyle name="40% - Accent2 3 3 3 2" xfId="11015" hidden="1"/>
    <cellStyle name="40% - Accent2 3 3 3 2" xfId="11188" hidden="1"/>
    <cellStyle name="40% - Accent2 3 3 3 2" xfId="11581" hidden="1"/>
    <cellStyle name="40% - Accent2 3 3 3 2" xfId="11729" hidden="1"/>
    <cellStyle name="40% - Accent2 3 3 3 2" xfId="12067" hidden="1"/>
    <cellStyle name="40% - Accent2 3 3 3 2" xfId="12404" hidden="1"/>
    <cellStyle name="40% - Accent2 3 3 3 2" xfId="12969" hidden="1"/>
    <cellStyle name="40% - Accent2 3 3 3 2" xfId="13084" hidden="1"/>
    <cellStyle name="40% - Accent2 3 3 3 2" xfId="13807" hidden="1"/>
    <cellStyle name="40% - Accent2 3 3 3 2" xfId="13980" hidden="1"/>
    <cellStyle name="40% - Accent2 3 3 3 2" xfId="14373" hidden="1"/>
    <cellStyle name="40% - Accent2 3 3 3 2" xfId="14521" hidden="1"/>
    <cellStyle name="40% - Accent2 3 3 3 2" xfId="14859" hidden="1"/>
    <cellStyle name="40% - Accent2 3 3 3 2" xfId="15196" hidden="1"/>
    <cellStyle name="40% - Accent2 3 3 3 2" xfId="9151" hidden="1"/>
    <cellStyle name="40% - Accent2 3 3 3 2" xfId="8606" hidden="1"/>
    <cellStyle name="40% - Accent2 3 3 3 2" xfId="5978" hidden="1"/>
    <cellStyle name="40% - Accent2 3 3 3 2" xfId="5187" hidden="1"/>
    <cellStyle name="40% - Accent2 3 3 3 2" xfId="3904" hidden="1"/>
    <cellStyle name="40% - Accent2 3 3 3 2" xfId="3224" hidden="1"/>
    <cellStyle name="40% - Accent2 3 3 3 2" xfId="1783" hidden="1"/>
    <cellStyle name="40% - Accent2 3 3 3 2" xfId="393" hidden="1"/>
    <cellStyle name="40% - Accent2 3 3 3 2" xfId="16518" hidden="1"/>
    <cellStyle name="40% - Accent2 3 3 3 2" xfId="16633" hidden="1"/>
    <cellStyle name="40% - Accent2 3 3 3 2" xfId="17356" hidden="1"/>
    <cellStyle name="40% - Accent2 3 3 3 2" xfId="17529" hidden="1"/>
    <cellStyle name="40% - Accent2 3 3 3 2" xfId="17922" hidden="1"/>
    <cellStyle name="40% - Accent2 3 3 3 2" xfId="18070" hidden="1"/>
    <cellStyle name="40% - Accent2 3 3 3 2" xfId="18408" hidden="1"/>
    <cellStyle name="40% - Accent2 3 3 3 2" xfId="18745" hidden="1"/>
    <cellStyle name="40% - Accent2 3 3 3 2" xfId="19310" hidden="1"/>
    <cellStyle name="40% - Accent2 3 3 3 2" xfId="19425" hidden="1"/>
    <cellStyle name="40% - Accent2 3 3 3 2" xfId="20148" hidden="1"/>
    <cellStyle name="40% - Accent2 3 3 3 2" xfId="20321" hidden="1"/>
    <cellStyle name="40% - Accent2 3 3 3 2" xfId="20714" hidden="1"/>
    <cellStyle name="40% - Accent2 3 3 3 2" xfId="20862" hidden="1"/>
    <cellStyle name="40% - Accent2 3 3 3 2" xfId="21200" hidden="1"/>
    <cellStyle name="40% - Accent2 3 3 3 2" xfId="21537" hidden="1"/>
    <cellStyle name="40% - Accent2 3 3 3 2" xfId="15659" hidden="1"/>
    <cellStyle name="40% - Accent2 3 3 3 2" xfId="9703" hidden="1"/>
    <cellStyle name="40% - Accent2 3 3 3 2" xfId="6557" hidden="1"/>
    <cellStyle name="40% - Accent2 3 3 3 2" xfId="5706" hidden="1"/>
    <cellStyle name="40% - Accent2 3 3 3 2" xfId="4173" hidden="1"/>
    <cellStyle name="40% - Accent2 3 3 3 2" xfId="3452" hidden="1"/>
    <cellStyle name="40% - Accent2 3 3 3 2" xfId="1961" hidden="1"/>
    <cellStyle name="40% - Accent2 3 3 3 2" xfId="521" hidden="1"/>
    <cellStyle name="40% - Accent2 3 3 3 2" xfId="22669" hidden="1"/>
    <cellStyle name="40% - Accent2 3 3 3 2" xfId="22784" hidden="1"/>
    <cellStyle name="40% - Accent2 3 3 3 2" xfId="23507" hidden="1"/>
    <cellStyle name="40% - Accent2 3 3 3 2" xfId="23680" hidden="1"/>
    <cellStyle name="40% - Accent2 3 3 3 2" xfId="24073" hidden="1"/>
    <cellStyle name="40% - Accent2 3 3 3 2" xfId="24221" hidden="1"/>
    <cellStyle name="40% - Accent2 3 3 3 2" xfId="24559" hidden="1"/>
    <cellStyle name="40% - Accent2 3 3 3 2" xfId="24896" hidden="1"/>
    <cellStyle name="40% - Accent2 3 3 3 2" xfId="25461" hidden="1"/>
    <cellStyle name="40% - Accent2 3 3 3 2" xfId="25576" hidden="1"/>
    <cellStyle name="40% - Accent2 3 3 3 2" xfId="26299" hidden="1"/>
    <cellStyle name="40% - Accent2 3 3 3 2" xfId="26472" hidden="1"/>
    <cellStyle name="40% - Accent2 3 3 3 2" xfId="26865" hidden="1"/>
    <cellStyle name="40% - Accent2 3 3 3 2" xfId="27013" hidden="1"/>
    <cellStyle name="40% - Accent2 3 3 3 2" xfId="27351" hidden="1"/>
    <cellStyle name="40% - Accent2 3 3 3 2" xfId="27688" hidden="1"/>
    <cellStyle name="40% - Accent2 3 3 3 2" xfId="21915" hidden="1"/>
    <cellStyle name="40% - Accent2 3 3 3 2" xfId="16084" hidden="1"/>
    <cellStyle name="40% - Accent2 3 3 3 2" xfId="7262" hidden="1"/>
    <cellStyle name="40% - Accent2 3 3 3 2" xfId="6217" hidden="1"/>
    <cellStyle name="40% - Accent2 3 3 3 2" xfId="4443" hidden="1"/>
    <cellStyle name="40% - Accent2 3 3 3 2" xfId="3710" hidden="1"/>
    <cellStyle name="40% - Accent2 3 3 3 2" xfId="2143" hidden="1"/>
    <cellStyle name="40% - Accent2 3 3 3 2" xfId="631" hidden="1"/>
    <cellStyle name="40% - Accent2 3 3 3 2" xfId="28388" hidden="1"/>
    <cellStyle name="40% - Accent2 3 3 3 2" xfId="28503" hidden="1"/>
    <cellStyle name="40% - Accent2 3 3 3 2" xfId="29226" hidden="1"/>
    <cellStyle name="40% - Accent2 3 3 3 2" xfId="29399" hidden="1"/>
    <cellStyle name="40% - Accent2 3 3 3 2" xfId="29792" hidden="1"/>
    <cellStyle name="40% - Accent2 3 3 3 2" xfId="29940" hidden="1"/>
    <cellStyle name="40% - Accent2 3 3 3 2" xfId="30278" hidden="1"/>
    <cellStyle name="40% - Accent2 3 3 3 2" xfId="30615" hidden="1"/>
    <cellStyle name="40% - Accent2 3 3 3 2" xfId="31180" hidden="1"/>
    <cellStyle name="40% - Accent2 3 3 3 2" xfId="31295" hidden="1"/>
    <cellStyle name="40% - Accent2 3 3 3 2" xfId="32018" hidden="1"/>
    <cellStyle name="40% - Accent2 3 3 3 2" xfId="32191" hidden="1"/>
    <cellStyle name="40% - Accent2 3 3 3 2" xfId="32584" hidden="1"/>
    <cellStyle name="40% - Accent2 3 3 3 2" xfId="32732" hidden="1"/>
    <cellStyle name="40% - Accent2 3 3 3 2" xfId="33070" hidden="1"/>
    <cellStyle name="40% - Accent2 3 3 3 2" xfId="33407" hidden="1"/>
    <cellStyle name="40% - Accent2 4 2 2" xfId="798" hidden="1"/>
    <cellStyle name="40% - Accent2 4 2 2" xfId="1006" hidden="1"/>
    <cellStyle name="40% - Accent2 4 2 2" xfId="3570" hidden="1"/>
    <cellStyle name="40% - Accent2 4 2 2" xfId="4085" hidden="1"/>
    <cellStyle name="40% - Accent2 4 2 2" xfId="5404" hidden="1"/>
    <cellStyle name="40% - Accent2 4 2 2" xfId="6101" hidden="1"/>
    <cellStyle name="40% - Accent2 4 2 2" xfId="7118" hidden="1"/>
    <cellStyle name="40% - Accent2 4 2 2" xfId="8322" hidden="1"/>
    <cellStyle name="40% - Accent2 4 2 2" xfId="10179" hidden="1"/>
    <cellStyle name="40% - Accent2 4 2 2" xfId="10294" hidden="1"/>
    <cellStyle name="40% - Accent2 4 2 2" xfId="11017" hidden="1"/>
    <cellStyle name="40% - Accent2 4 2 2" xfId="11190" hidden="1"/>
    <cellStyle name="40% - Accent2 4 2 2" xfId="11583" hidden="1"/>
    <cellStyle name="40% - Accent2 4 2 2" xfId="11731" hidden="1"/>
    <cellStyle name="40% - Accent2 4 2 2" xfId="12069" hidden="1"/>
    <cellStyle name="40% - Accent2 4 2 2" xfId="12406" hidden="1"/>
    <cellStyle name="40% - Accent2 4 2 2" xfId="12971" hidden="1"/>
    <cellStyle name="40% - Accent2 4 2 2" xfId="13086" hidden="1"/>
    <cellStyle name="40% - Accent2 4 2 2" xfId="13809" hidden="1"/>
    <cellStyle name="40% - Accent2 4 2 2" xfId="13982" hidden="1"/>
    <cellStyle name="40% - Accent2 4 2 2" xfId="14375" hidden="1"/>
    <cellStyle name="40% - Accent2 4 2 2" xfId="14523" hidden="1"/>
    <cellStyle name="40% - Accent2 4 2 2" xfId="14861" hidden="1"/>
    <cellStyle name="40% - Accent2 4 2 2" xfId="15198" hidden="1"/>
    <cellStyle name="40% - Accent2 4 2 2" xfId="9149" hidden="1"/>
    <cellStyle name="40% - Accent2 4 2 2" xfId="8604" hidden="1"/>
    <cellStyle name="40% - Accent2 4 2 2" xfId="5976" hidden="1"/>
    <cellStyle name="40% - Accent2 4 2 2" xfId="5185" hidden="1"/>
    <cellStyle name="40% - Accent2 4 2 2" xfId="3902" hidden="1"/>
    <cellStyle name="40% - Accent2 4 2 2" xfId="3222" hidden="1"/>
    <cellStyle name="40% - Accent2 4 2 2" xfId="1781" hidden="1"/>
    <cellStyle name="40% - Accent2 4 2 2" xfId="389" hidden="1"/>
    <cellStyle name="40% - Accent2 4 2 2" xfId="16520" hidden="1"/>
    <cellStyle name="40% - Accent2 4 2 2" xfId="16635" hidden="1"/>
    <cellStyle name="40% - Accent2 4 2 2" xfId="17358" hidden="1"/>
    <cellStyle name="40% - Accent2 4 2 2" xfId="17531" hidden="1"/>
    <cellStyle name="40% - Accent2 4 2 2" xfId="17924" hidden="1"/>
    <cellStyle name="40% - Accent2 4 2 2" xfId="18072" hidden="1"/>
    <cellStyle name="40% - Accent2 4 2 2" xfId="18410" hidden="1"/>
    <cellStyle name="40% - Accent2 4 2 2" xfId="18747" hidden="1"/>
    <cellStyle name="40% - Accent2 4 2 2" xfId="19312" hidden="1"/>
    <cellStyle name="40% - Accent2 4 2 2" xfId="19427" hidden="1"/>
    <cellStyle name="40% - Accent2 4 2 2" xfId="20150" hidden="1"/>
    <cellStyle name="40% - Accent2 4 2 2" xfId="20323" hidden="1"/>
    <cellStyle name="40% - Accent2 4 2 2" xfId="20716" hidden="1"/>
    <cellStyle name="40% - Accent2 4 2 2" xfId="20864" hidden="1"/>
    <cellStyle name="40% - Accent2 4 2 2" xfId="21202" hidden="1"/>
    <cellStyle name="40% - Accent2 4 2 2" xfId="21539" hidden="1"/>
    <cellStyle name="40% - Accent2 4 2 2" xfId="15657" hidden="1"/>
    <cellStyle name="40% - Accent2 4 2 2" xfId="9701" hidden="1"/>
    <cellStyle name="40% - Accent2 4 2 2" xfId="6554" hidden="1"/>
    <cellStyle name="40% - Accent2 4 2 2" xfId="5704" hidden="1"/>
    <cellStyle name="40% - Accent2 4 2 2" xfId="4171" hidden="1"/>
    <cellStyle name="40% - Accent2 4 2 2" xfId="3449" hidden="1"/>
    <cellStyle name="40% - Accent2 4 2 2" xfId="1959" hidden="1"/>
    <cellStyle name="40% - Accent2 4 2 2" xfId="519" hidden="1"/>
    <cellStyle name="40% - Accent2 4 2 2" xfId="22671" hidden="1"/>
    <cellStyle name="40% - Accent2 4 2 2" xfId="22786" hidden="1"/>
    <cellStyle name="40% - Accent2 4 2 2" xfId="23509" hidden="1"/>
    <cellStyle name="40% - Accent2 4 2 2" xfId="23682" hidden="1"/>
    <cellStyle name="40% - Accent2 4 2 2" xfId="24075" hidden="1"/>
    <cellStyle name="40% - Accent2 4 2 2" xfId="24223" hidden="1"/>
    <cellStyle name="40% - Accent2 4 2 2" xfId="24561" hidden="1"/>
    <cellStyle name="40% - Accent2 4 2 2" xfId="24898" hidden="1"/>
    <cellStyle name="40% - Accent2 4 2 2" xfId="25463" hidden="1"/>
    <cellStyle name="40% - Accent2 4 2 2" xfId="25578" hidden="1"/>
    <cellStyle name="40% - Accent2 4 2 2" xfId="26301" hidden="1"/>
    <cellStyle name="40% - Accent2 4 2 2" xfId="26474" hidden="1"/>
    <cellStyle name="40% - Accent2 4 2 2" xfId="26867" hidden="1"/>
    <cellStyle name="40% - Accent2 4 2 2" xfId="27015" hidden="1"/>
    <cellStyle name="40% - Accent2 4 2 2" xfId="27353" hidden="1"/>
    <cellStyle name="40% - Accent2 4 2 2" xfId="27690" hidden="1"/>
    <cellStyle name="40% - Accent2 4 2 2" xfId="21913" hidden="1"/>
    <cellStyle name="40% - Accent2 4 2 2" xfId="16082" hidden="1"/>
    <cellStyle name="40% - Accent2 4 2 2" xfId="7260" hidden="1"/>
    <cellStyle name="40% - Accent2 4 2 2" xfId="6214" hidden="1"/>
    <cellStyle name="40% - Accent2 4 2 2" xfId="4440" hidden="1"/>
    <cellStyle name="40% - Accent2 4 2 2" xfId="3707" hidden="1"/>
    <cellStyle name="40% - Accent2 4 2 2" xfId="2141" hidden="1"/>
    <cellStyle name="40% - Accent2 4 2 2" xfId="629" hidden="1"/>
    <cellStyle name="40% - Accent2 4 2 2" xfId="28390" hidden="1"/>
    <cellStyle name="40% - Accent2 4 2 2" xfId="28505" hidden="1"/>
    <cellStyle name="40% - Accent2 4 2 2" xfId="29228" hidden="1"/>
    <cellStyle name="40% - Accent2 4 2 2" xfId="29401" hidden="1"/>
    <cellStyle name="40% - Accent2 4 2 2" xfId="29794" hidden="1"/>
    <cellStyle name="40% - Accent2 4 2 2" xfId="29942" hidden="1"/>
    <cellStyle name="40% - Accent2 4 2 2" xfId="30280" hidden="1"/>
    <cellStyle name="40% - Accent2 4 2 2" xfId="30617" hidden="1"/>
    <cellStyle name="40% - Accent2 4 2 2" xfId="31182" hidden="1"/>
    <cellStyle name="40% - Accent2 4 2 2" xfId="31297" hidden="1"/>
    <cellStyle name="40% - Accent2 4 2 2" xfId="32020" hidden="1"/>
    <cellStyle name="40% - Accent2 4 2 2" xfId="32193" hidden="1"/>
    <cellStyle name="40% - Accent2 4 2 2" xfId="32586" hidden="1"/>
    <cellStyle name="40% - Accent2 4 2 2" xfId="32734" hidden="1"/>
    <cellStyle name="40% - Accent2 4 2 2" xfId="33072" hidden="1"/>
    <cellStyle name="40% - Accent2 4 2 2" xfId="33409" hidden="1"/>
    <cellStyle name="40% - Accent2 4 3" xfId="760" hidden="1"/>
    <cellStyle name="40% - Accent2 4 3" xfId="968" hidden="1"/>
    <cellStyle name="40% - Accent2 4 3" xfId="3532" hidden="1"/>
    <cellStyle name="40% - Accent2 4 3" xfId="4047" hidden="1"/>
    <cellStyle name="40% - Accent2 4 3" xfId="5366" hidden="1"/>
    <cellStyle name="40% - Accent2 4 3" xfId="6063" hidden="1"/>
    <cellStyle name="40% - Accent2 4 3" xfId="7080" hidden="1"/>
    <cellStyle name="40% - Accent2 4 3" xfId="8284" hidden="1"/>
    <cellStyle name="40% - Accent2 4 3" xfId="10141" hidden="1"/>
    <cellStyle name="40% - Accent2 4 3" xfId="10256" hidden="1"/>
    <cellStyle name="40% - Accent2 4 3" xfId="10979" hidden="1"/>
    <cellStyle name="40% - Accent2 4 3" xfId="11152" hidden="1"/>
    <cellStyle name="40% - Accent2 4 3" xfId="11545" hidden="1"/>
    <cellStyle name="40% - Accent2 4 3" xfId="11693" hidden="1"/>
    <cellStyle name="40% - Accent2 4 3" xfId="12031" hidden="1"/>
    <cellStyle name="40% - Accent2 4 3" xfId="12368" hidden="1"/>
    <cellStyle name="40% - Accent2 4 3" xfId="12933" hidden="1"/>
    <cellStyle name="40% - Accent2 4 3" xfId="13048" hidden="1"/>
    <cellStyle name="40% - Accent2 4 3" xfId="13771" hidden="1"/>
    <cellStyle name="40% - Accent2 4 3" xfId="13944" hidden="1"/>
    <cellStyle name="40% - Accent2 4 3" xfId="14337" hidden="1"/>
    <cellStyle name="40% - Accent2 4 3" xfId="14485" hidden="1"/>
    <cellStyle name="40% - Accent2 4 3" xfId="14823" hidden="1"/>
    <cellStyle name="40% - Accent2 4 3" xfId="15160" hidden="1"/>
    <cellStyle name="40% - Accent2 4 3" xfId="9187" hidden="1"/>
    <cellStyle name="40% - Accent2 4 3" xfId="8642" hidden="1"/>
    <cellStyle name="40% - Accent2 4 3" xfId="6015" hidden="1"/>
    <cellStyle name="40% - Accent2 4 3" xfId="5223" hidden="1"/>
    <cellStyle name="40% - Accent2 4 3" xfId="3942" hidden="1"/>
    <cellStyle name="40% - Accent2 4 3" xfId="3260" hidden="1"/>
    <cellStyle name="40% - Accent2 4 3" xfId="1828" hidden="1"/>
    <cellStyle name="40% - Accent2 4 3" xfId="449" hidden="1"/>
    <cellStyle name="40% - Accent2 4 3" xfId="16482" hidden="1"/>
    <cellStyle name="40% - Accent2 4 3" xfId="16597" hidden="1"/>
    <cellStyle name="40% - Accent2 4 3" xfId="17320" hidden="1"/>
    <cellStyle name="40% - Accent2 4 3" xfId="17493" hidden="1"/>
    <cellStyle name="40% - Accent2 4 3" xfId="17886" hidden="1"/>
    <cellStyle name="40% - Accent2 4 3" xfId="18034" hidden="1"/>
    <cellStyle name="40% - Accent2 4 3" xfId="18372" hidden="1"/>
    <cellStyle name="40% - Accent2 4 3" xfId="18709" hidden="1"/>
    <cellStyle name="40% - Accent2 4 3" xfId="19274" hidden="1"/>
    <cellStyle name="40% - Accent2 4 3" xfId="19389" hidden="1"/>
    <cellStyle name="40% - Accent2 4 3" xfId="20112" hidden="1"/>
    <cellStyle name="40% - Accent2 4 3" xfId="20285" hidden="1"/>
    <cellStyle name="40% - Accent2 4 3" xfId="20678" hidden="1"/>
    <cellStyle name="40% - Accent2 4 3" xfId="20826" hidden="1"/>
    <cellStyle name="40% - Accent2 4 3" xfId="21164" hidden="1"/>
    <cellStyle name="40% - Accent2 4 3" xfId="21501" hidden="1"/>
    <cellStyle name="40% - Accent2 4 3" xfId="15695" hidden="1"/>
    <cellStyle name="40% - Accent2 4 3" xfId="9739" hidden="1"/>
    <cellStyle name="40% - Accent2 4 3" xfId="6598" hidden="1"/>
    <cellStyle name="40% - Accent2 4 3" xfId="5752" hidden="1"/>
    <cellStyle name="40% - Accent2 4 3" xfId="4209" hidden="1"/>
    <cellStyle name="40% - Accent2 4 3" xfId="3490" hidden="1"/>
    <cellStyle name="40% - Accent2 4 3" xfId="2001" hidden="1"/>
    <cellStyle name="40% - Accent2 4 3" xfId="561" hidden="1"/>
    <cellStyle name="40% - Accent2 4 3" xfId="22633" hidden="1"/>
    <cellStyle name="40% - Accent2 4 3" xfId="22748" hidden="1"/>
    <cellStyle name="40% - Accent2 4 3" xfId="23471" hidden="1"/>
    <cellStyle name="40% - Accent2 4 3" xfId="23644" hidden="1"/>
    <cellStyle name="40% - Accent2 4 3" xfId="24037" hidden="1"/>
    <cellStyle name="40% - Accent2 4 3" xfId="24185" hidden="1"/>
    <cellStyle name="40% - Accent2 4 3" xfId="24523" hidden="1"/>
    <cellStyle name="40% - Accent2 4 3" xfId="24860" hidden="1"/>
    <cellStyle name="40% - Accent2 4 3" xfId="25425" hidden="1"/>
    <cellStyle name="40% - Accent2 4 3" xfId="25540" hidden="1"/>
    <cellStyle name="40% - Accent2 4 3" xfId="26263" hidden="1"/>
    <cellStyle name="40% - Accent2 4 3" xfId="26436" hidden="1"/>
    <cellStyle name="40% - Accent2 4 3" xfId="26829" hidden="1"/>
    <cellStyle name="40% - Accent2 4 3" xfId="26977" hidden="1"/>
    <cellStyle name="40% - Accent2 4 3" xfId="27315" hidden="1"/>
    <cellStyle name="40% - Accent2 4 3" xfId="27652" hidden="1"/>
    <cellStyle name="40% - Accent2 4 3" xfId="21951" hidden="1"/>
    <cellStyle name="40% - Accent2 4 3" xfId="16120" hidden="1"/>
    <cellStyle name="40% - Accent2 4 3" xfId="7301" hidden="1"/>
    <cellStyle name="40% - Accent2 4 3" xfId="6262" hidden="1"/>
    <cellStyle name="40% - Accent2 4 3" xfId="4512" hidden="1"/>
    <cellStyle name="40% - Accent2 4 3" xfId="3746" hidden="1"/>
    <cellStyle name="40% - Accent2 4 3" xfId="2181" hidden="1"/>
    <cellStyle name="40% - Accent2 4 3" xfId="694" hidden="1"/>
    <cellStyle name="40% - Accent2 4 3" xfId="28352" hidden="1"/>
    <cellStyle name="40% - Accent2 4 3" xfId="28467" hidden="1"/>
    <cellStyle name="40% - Accent2 4 3" xfId="29190" hidden="1"/>
    <cellStyle name="40% - Accent2 4 3" xfId="29363" hidden="1"/>
    <cellStyle name="40% - Accent2 4 3" xfId="29756" hidden="1"/>
    <cellStyle name="40% - Accent2 4 3" xfId="29904" hidden="1"/>
    <cellStyle name="40% - Accent2 4 3" xfId="30242" hidden="1"/>
    <cellStyle name="40% - Accent2 4 3" xfId="30579" hidden="1"/>
    <cellStyle name="40% - Accent2 4 3" xfId="31144" hidden="1"/>
    <cellStyle name="40% - Accent2 4 3" xfId="31259" hidden="1"/>
    <cellStyle name="40% - Accent2 4 3" xfId="31982" hidden="1"/>
    <cellStyle name="40% - Accent2 4 3" xfId="32155" hidden="1"/>
    <cellStyle name="40% - Accent2 4 3" xfId="32548" hidden="1"/>
    <cellStyle name="40% - Accent2 4 3" xfId="32696" hidden="1"/>
    <cellStyle name="40% - Accent2 4 3" xfId="33034" hidden="1"/>
    <cellStyle name="40% - Accent2 4 3" xfId="33371" hidden="1"/>
    <cellStyle name="40% - Accent2 6" xfId="127" hidden="1"/>
    <cellStyle name="40% - Accent2 6" xfId="123" hidden="1"/>
    <cellStyle name="40% - Accent2 6" xfId="230" hidden="1"/>
    <cellStyle name="40% - Accent2 6" xfId="436" hidden="1"/>
    <cellStyle name="40% - Accent2 6" xfId="2292" hidden="1"/>
    <cellStyle name="40% - Accent2 6" xfId="2391" hidden="1"/>
    <cellStyle name="40% - Accent2 6" xfId="2608" hidden="1"/>
    <cellStyle name="40% - Accent2 6" xfId="2917" hidden="1"/>
    <cellStyle name="40% - Accent2 6" xfId="2212" hidden="1"/>
    <cellStyle name="40% - Accent2 6" xfId="1870" hidden="1"/>
    <cellStyle name="40% - Accent2 6" xfId="1730" hidden="1"/>
    <cellStyle name="40% - Accent2 6" xfId="4315" hidden="1"/>
    <cellStyle name="40% - Accent2 6" xfId="4626" hidden="1"/>
    <cellStyle name="40% - Accent2 6" xfId="4888" hidden="1"/>
    <cellStyle name="40% - Accent2 6" xfId="3788" hidden="1"/>
    <cellStyle name="40% - Accent2 6" xfId="1608" hidden="1"/>
    <cellStyle name="40% - Accent2 6" xfId="1774" hidden="1"/>
    <cellStyle name="40% - Accent2 6" xfId="6331" hidden="1"/>
    <cellStyle name="40% - Accent2 6" xfId="6506" hidden="1"/>
    <cellStyle name="40% - Accent2 6" xfId="6706" hidden="1"/>
    <cellStyle name="40% - Accent2 6" xfId="7482" hidden="1"/>
    <cellStyle name="40% - Accent2 6" xfId="7723" hidden="1"/>
    <cellStyle name="40% - Accent2 6" xfId="7903" hidden="1"/>
    <cellStyle name="40% - Accent2 6" xfId="8738" hidden="1"/>
    <cellStyle name="40% - Accent2 6" xfId="9818" hidden="1"/>
    <cellStyle name="40% - Accent2 6" xfId="9814" hidden="1"/>
    <cellStyle name="40% - Accent2 6" xfId="9915" hidden="1"/>
    <cellStyle name="40% - Accent2 6" xfId="10045" hidden="1"/>
    <cellStyle name="40% - Accent2 6" xfId="10628" hidden="1"/>
    <cellStyle name="40% - Accent2 6" xfId="10654" hidden="1"/>
    <cellStyle name="40% - Accent2 6" xfId="10784" hidden="1"/>
    <cellStyle name="40% - Accent2 6" xfId="10894" hidden="1"/>
    <cellStyle name="40% - Accent2 6" xfId="10565" hidden="1"/>
    <cellStyle name="40% - Accent2 6" xfId="10445" hidden="1"/>
    <cellStyle name="40% - Accent2 6" xfId="10406" hidden="1"/>
    <cellStyle name="40% - Accent2 6" xfId="11249" hidden="1"/>
    <cellStyle name="40% - Accent2 6" xfId="11379" hidden="1"/>
    <cellStyle name="40% - Accent2 6" xfId="11481" hidden="1"/>
    <cellStyle name="40% - Accent2 6" xfId="11072" hidden="1"/>
    <cellStyle name="40% - Accent2 6" xfId="10358" hidden="1"/>
    <cellStyle name="40% - Accent2 6" xfId="10413" hidden="1"/>
    <cellStyle name="40% - Accent2 6" xfId="11781" hidden="1"/>
    <cellStyle name="40% - Accent2 6" xfId="11911" hidden="1"/>
    <cellStyle name="40% - Accent2 6" xfId="11989" hidden="1"/>
    <cellStyle name="40% - Accent2 6" xfId="12118" hidden="1"/>
    <cellStyle name="40% - Accent2 6" xfId="12248" hidden="1"/>
    <cellStyle name="40% - Accent2 6" xfId="12326" hidden="1"/>
    <cellStyle name="40% - Accent2 6" xfId="12455" hidden="1"/>
    <cellStyle name="40% - Accent2 6" xfId="12610" hidden="1"/>
    <cellStyle name="40% - Accent2 6" xfId="12606" hidden="1"/>
    <cellStyle name="40% - Accent2 6" xfId="12707" hidden="1"/>
    <cellStyle name="40% - Accent2 6" xfId="12837" hidden="1"/>
    <cellStyle name="40% - Accent2 6" xfId="13420" hidden="1"/>
    <cellStyle name="40% - Accent2 6" xfId="13446" hidden="1"/>
    <cellStyle name="40% - Accent2 6" xfId="13576" hidden="1"/>
    <cellStyle name="40% - Accent2 6" xfId="13686" hidden="1"/>
    <cellStyle name="40% - Accent2 6" xfId="13357" hidden="1"/>
    <cellStyle name="40% - Accent2 6" xfId="13237" hidden="1"/>
    <cellStyle name="40% - Accent2 6" xfId="13198" hidden="1"/>
    <cellStyle name="40% - Accent2 6" xfId="14041" hidden="1"/>
    <cellStyle name="40% - Accent2 6" xfId="14171" hidden="1"/>
    <cellStyle name="40% - Accent2 6" xfId="14273" hidden="1"/>
    <cellStyle name="40% - Accent2 6" xfId="13864" hidden="1"/>
    <cellStyle name="40% - Accent2 6" xfId="13150" hidden="1"/>
    <cellStyle name="40% - Accent2 6" xfId="13205" hidden="1"/>
    <cellStyle name="40% - Accent2 6" xfId="14573" hidden="1"/>
    <cellStyle name="40% - Accent2 6" xfId="14703" hidden="1"/>
    <cellStyle name="40% - Accent2 6" xfId="14781" hidden="1"/>
    <cellStyle name="40% - Accent2 6" xfId="14910" hidden="1"/>
    <cellStyle name="40% - Accent2 6" xfId="15040" hidden="1"/>
    <cellStyle name="40% - Accent2 6" xfId="15118" hidden="1"/>
    <cellStyle name="40% - Accent2 6" xfId="15247" hidden="1"/>
    <cellStyle name="40% - Accent2 6" xfId="9643" hidden="1"/>
    <cellStyle name="40% - Accent2 6" xfId="9647" hidden="1"/>
    <cellStyle name="40% - Accent2 6" xfId="9508" hidden="1"/>
    <cellStyle name="40% - Accent2 6" xfId="9326" hidden="1"/>
    <cellStyle name="40% - Accent2 6" xfId="7175" hidden="1"/>
    <cellStyle name="40% - Accent2 6" xfId="7021" hidden="1"/>
    <cellStyle name="40% - Accent2 6" xfId="6872" hidden="1"/>
    <cellStyle name="40% - Accent2 6" xfId="6681" hidden="1"/>
    <cellStyle name="40% - Accent2 6" xfId="7361" hidden="1"/>
    <cellStyle name="40% - Accent2 6" xfId="7813" hidden="1"/>
    <cellStyle name="40% - Accent2 6" xfId="7965" hidden="1"/>
    <cellStyle name="40% - Accent2 6" xfId="4887" hidden="1"/>
    <cellStyle name="40% - Accent2 6" xfId="4641" hidden="1"/>
    <cellStyle name="40% - Accent2 6" xfId="4285" hidden="1"/>
    <cellStyle name="40% - Accent2 6" xfId="5741" hidden="1"/>
    <cellStyle name="40% - Accent2 6" xfId="8121" hidden="1"/>
    <cellStyle name="40% - Accent2 6" xfId="7936" hidden="1"/>
    <cellStyle name="40% - Accent2 6" xfId="2806" hidden="1"/>
    <cellStyle name="40% - Accent2 6" xfId="2475" hidden="1"/>
    <cellStyle name="40% - Accent2 6" xfId="2301" hidden="1"/>
    <cellStyle name="40% - Accent2 6" xfId="1422" hidden="1"/>
    <cellStyle name="40% - Accent2 6" xfId="1154" hidden="1"/>
    <cellStyle name="40% - Accent2 6" xfId="911" hidden="1"/>
    <cellStyle name="40% - Accent2 6" xfId="103" hidden="1"/>
    <cellStyle name="40% - Accent2 6" xfId="16159" hidden="1"/>
    <cellStyle name="40% - Accent2 6" xfId="16155" hidden="1"/>
    <cellStyle name="40% - Accent2 6" xfId="16256" hidden="1"/>
    <cellStyle name="40% - Accent2 6" xfId="16386" hidden="1"/>
    <cellStyle name="40% - Accent2 6" xfId="16969" hidden="1"/>
    <cellStyle name="40% - Accent2 6" xfId="16995" hidden="1"/>
    <cellStyle name="40% - Accent2 6" xfId="17125" hidden="1"/>
    <cellStyle name="40% - Accent2 6" xfId="17235" hidden="1"/>
    <cellStyle name="40% - Accent2 6" xfId="16906" hidden="1"/>
    <cellStyle name="40% - Accent2 6" xfId="16786" hidden="1"/>
    <cellStyle name="40% - Accent2 6" xfId="16747" hidden="1"/>
    <cellStyle name="40% - Accent2 6" xfId="17590" hidden="1"/>
    <cellStyle name="40% - Accent2 6" xfId="17720" hidden="1"/>
    <cellStyle name="40% - Accent2 6" xfId="17822" hidden="1"/>
    <cellStyle name="40% - Accent2 6" xfId="17413" hidden="1"/>
    <cellStyle name="40% - Accent2 6" xfId="16699" hidden="1"/>
    <cellStyle name="40% - Accent2 6" xfId="16754" hidden="1"/>
    <cellStyle name="40% - Accent2 6" xfId="18122" hidden="1"/>
    <cellStyle name="40% - Accent2 6" xfId="18252" hidden="1"/>
    <cellStyle name="40% - Accent2 6" xfId="18330" hidden="1"/>
    <cellStyle name="40% - Accent2 6" xfId="18459" hidden="1"/>
    <cellStyle name="40% - Accent2 6" xfId="18589" hidden="1"/>
    <cellStyle name="40% - Accent2 6" xfId="18667" hidden="1"/>
    <cellStyle name="40% - Accent2 6" xfId="18796" hidden="1"/>
    <cellStyle name="40% - Accent2 6" xfId="18951" hidden="1"/>
    <cellStyle name="40% - Accent2 6" xfId="18947" hidden="1"/>
    <cellStyle name="40% - Accent2 6" xfId="19048" hidden="1"/>
    <cellStyle name="40% - Accent2 6" xfId="19178" hidden="1"/>
    <cellStyle name="40% - Accent2 6" xfId="19761" hidden="1"/>
    <cellStyle name="40% - Accent2 6" xfId="19787" hidden="1"/>
    <cellStyle name="40% - Accent2 6" xfId="19917" hidden="1"/>
    <cellStyle name="40% - Accent2 6" xfId="20027" hidden="1"/>
    <cellStyle name="40% - Accent2 6" xfId="19698" hidden="1"/>
    <cellStyle name="40% - Accent2 6" xfId="19578" hidden="1"/>
    <cellStyle name="40% - Accent2 6" xfId="19539" hidden="1"/>
    <cellStyle name="40% - Accent2 6" xfId="20382" hidden="1"/>
    <cellStyle name="40% - Accent2 6" xfId="20512" hidden="1"/>
    <cellStyle name="40% - Accent2 6" xfId="20614" hidden="1"/>
    <cellStyle name="40% - Accent2 6" xfId="20205" hidden="1"/>
    <cellStyle name="40% - Accent2 6" xfId="19491" hidden="1"/>
    <cellStyle name="40% - Accent2 6" xfId="19546" hidden="1"/>
    <cellStyle name="40% - Accent2 6" xfId="20914" hidden="1"/>
    <cellStyle name="40% - Accent2 6" xfId="21044" hidden="1"/>
    <cellStyle name="40% - Accent2 6" xfId="21122" hidden="1"/>
    <cellStyle name="40% - Accent2 6" xfId="21251" hidden="1"/>
    <cellStyle name="40% - Accent2 6" xfId="21381" hidden="1"/>
    <cellStyle name="40% - Accent2 6" xfId="21459" hidden="1"/>
    <cellStyle name="40% - Accent2 6" xfId="21588" hidden="1"/>
    <cellStyle name="40% - Accent2 6" xfId="16032" hidden="1"/>
    <cellStyle name="40% - Accent2 6" xfId="16036" hidden="1"/>
    <cellStyle name="40% - Accent2 6" xfId="15935" hidden="1"/>
    <cellStyle name="40% - Accent2 6" xfId="15800" hidden="1"/>
    <cellStyle name="40% - Accent2 6" xfId="8101" hidden="1"/>
    <cellStyle name="40% - Accent2 6" xfId="8008" hidden="1"/>
    <cellStyle name="40% - Accent2 6" xfId="7701" hidden="1"/>
    <cellStyle name="40% - Accent2 6" xfId="7362" hidden="1"/>
    <cellStyle name="40% - Accent2 6" xfId="8214" hidden="1"/>
    <cellStyle name="40% - Accent2 6" xfId="8705" hidden="1"/>
    <cellStyle name="40% - Accent2 6" xfId="8860" hidden="1"/>
    <cellStyle name="40% - Accent2 6" xfId="5321" hidden="1"/>
    <cellStyle name="40% - Accent2 6" xfId="5061" hidden="1"/>
    <cellStyle name="40% - Accent2 6" xfId="4905" hidden="1"/>
    <cellStyle name="40% - Accent2 6" xfId="6238" hidden="1"/>
    <cellStyle name="40% - Accent2 6" xfId="9049" hidden="1"/>
    <cellStyle name="40% - Accent2 6" xfId="8823" hidden="1"/>
    <cellStyle name="40% - Accent2 6" xfId="3091" hidden="1"/>
    <cellStyle name="40% - Accent2 6" xfId="2861" hidden="1"/>
    <cellStyle name="40% - Accent2 6" xfId="2612" hidden="1"/>
    <cellStyle name="40% - Accent2 6" xfId="1572" hidden="1"/>
    <cellStyle name="40% - Accent2 6" xfId="1295" hidden="1"/>
    <cellStyle name="40% - Accent2 6" xfId="1072" hidden="1"/>
    <cellStyle name="40% - Accent2 6" xfId="9795" hidden="1"/>
    <cellStyle name="40% - Accent2 6" xfId="22310" hidden="1"/>
    <cellStyle name="40% - Accent2 6" xfId="22306" hidden="1"/>
    <cellStyle name="40% - Accent2 6" xfId="22407" hidden="1"/>
    <cellStyle name="40% - Accent2 6" xfId="22537" hidden="1"/>
    <cellStyle name="40% - Accent2 6" xfId="23120" hidden="1"/>
    <cellStyle name="40% - Accent2 6" xfId="23146" hidden="1"/>
    <cellStyle name="40% - Accent2 6" xfId="23276" hidden="1"/>
    <cellStyle name="40% - Accent2 6" xfId="23386" hidden="1"/>
    <cellStyle name="40% - Accent2 6" xfId="23057" hidden="1"/>
    <cellStyle name="40% - Accent2 6" xfId="22937" hidden="1"/>
    <cellStyle name="40% - Accent2 6" xfId="22898" hidden="1"/>
    <cellStyle name="40% - Accent2 6" xfId="23741" hidden="1"/>
    <cellStyle name="40% - Accent2 6" xfId="23871" hidden="1"/>
    <cellStyle name="40% - Accent2 6" xfId="23973" hidden="1"/>
    <cellStyle name="40% - Accent2 6" xfId="23564" hidden="1"/>
    <cellStyle name="40% - Accent2 6" xfId="22850" hidden="1"/>
    <cellStyle name="40% - Accent2 6" xfId="22905" hidden="1"/>
    <cellStyle name="40% - Accent2 6" xfId="24273" hidden="1"/>
    <cellStyle name="40% - Accent2 6" xfId="24403" hidden="1"/>
    <cellStyle name="40% - Accent2 6" xfId="24481" hidden="1"/>
    <cellStyle name="40% - Accent2 6" xfId="24610" hidden="1"/>
    <cellStyle name="40% - Accent2 6" xfId="24740" hidden="1"/>
    <cellStyle name="40% - Accent2 6" xfId="24818" hidden="1"/>
    <cellStyle name="40% - Accent2 6" xfId="24947" hidden="1"/>
    <cellStyle name="40% - Accent2 6" xfId="25102" hidden="1"/>
    <cellStyle name="40% - Accent2 6" xfId="25098" hidden="1"/>
    <cellStyle name="40% - Accent2 6" xfId="25199" hidden="1"/>
    <cellStyle name="40% - Accent2 6" xfId="25329" hidden="1"/>
    <cellStyle name="40% - Accent2 6" xfId="25912" hidden="1"/>
    <cellStyle name="40% - Accent2 6" xfId="25938" hidden="1"/>
    <cellStyle name="40% - Accent2 6" xfId="26068" hidden="1"/>
    <cellStyle name="40% - Accent2 6" xfId="26178" hidden="1"/>
    <cellStyle name="40% - Accent2 6" xfId="25849" hidden="1"/>
    <cellStyle name="40% - Accent2 6" xfId="25729" hidden="1"/>
    <cellStyle name="40% - Accent2 6" xfId="25690" hidden="1"/>
    <cellStyle name="40% - Accent2 6" xfId="26533" hidden="1"/>
    <cellStyle name="40% - Accent2 6" xfId="26663" hidden="1"/>
    <cellStyle name="40% - Accent2 6" xfId="26765" hidden="1"/>
    <cellStyle name="40% - Accent2 6" xfId="26356" hidden="1"/>
    <cellStyle name="40% - Accent2 6" xfId="25642" hidden="1"/>
    <cellStyle name="40% - Accent2 6" xfId="25697" hidden="1"/>
    <cellStyle name="40% - Accent2 6" xfId="27065" hidden="1"/>
    <cellStyle name="40% - Accent2 6" xfId="27195" hidden="1"/>
    <cellStyle name="40% - Accent2 6" xfId="27273" hidden="1"/>
    <cellStyle name="40% - Accent2 6" xfId="27402" hidden="1"/>
    <cellStyle name="40% - Accent2 6" xfId="27532" hidden="1"/>
    <cellStyle name="40% - Accent2 6" xfId="27610" hidden="1"/>
    <cellStyle name="40% - Accent2 6" xfId="27739" hidden="1"/>
    <cellStyle name="40% - Accent2 6" xfId="22285" hidden="1"/>
    <cellStyle name="40% - Accent2 6" xfId="22289" hidden="1"/>
    <cellStyle name="40% - Accent2 6" xfId="22188" hidden="1"/>
    <cellStyle name="40% - Accent2 6" xfId="22053" hidden="1"/>
    <cellStyle name="40% - Accent2 6" xfId="9034" hidden="1"/>
    <cellStyle name="40% - Accent2 6" xfId="8915" hidden="1"/>
    <cellStyle name="40% - Accent2 6" xfId="8528" hidden="1"/>
    <cellStyle name="40% - Accent2 6" xfId="8218" hidden="1"/>
    <cellStyle name="40% - Accent2 6" xfId="9284" hidden="1"/>
    <cellStyle name="40% - Accent2 6" xfId="9774" hidden="1"/>
    <cellStyle name="40% - Accent2 6" xfId="15469" hidden="1"/>
    <cellStyle name="40% - Accent2 6" xfId="5876" hidden="1"/>
    <cellStyle name="40% - Accent2 6" xfId="5567" hidden="1"/>
    <cellStyle name="40% - Accent2 6" xfId="5335" hidden="1"/>
    <cellStyle name="40% - Accent2 6" xfId="6763" hidden="1"/>
    <cellStyle name="40% - Accent2 6" xfId="15590" hidden="1"/>
    <cellStyle name="40% - Accent2 6" xfId="15451" hidden="1"/>
    <cellStyle name="40% - Accent2 6" xfId="3393" hidden="1"/>
    <cellStyle name="40% - Accent2 6" xfId="3139" hidden="1"/>
    <cellStyle name="40% - Accent2 6" xfId="2951" hidden="1"/>
    <cellStyle name="40% - Accent2 6" xfId="1692" hidden="1"/>
    <cellStyle name="40% - Accent2 6" xfId="1454" hidden="1"/>
    <cellStyle name="40% - Accent2 6" xfId="1165" hidden="1"/>
    <cellStyle name="40% - Accent2 6" xfId="22300" hidden="1"/>
    <cellStyle name="40% - Accent2 6" xfId="28029" hidden="1"/>
    <cellStyle name="40% - Accent2 6" xfId="28025" hidden="1"/>
    <cellStyle name="40% - Accent2 6" xfId="28126" hidden="1"/>
    <cellStyle name="40% - Accent2 6" xfId="28256" hidden="1"/>
    <cellStyle name="40% - Accent2 6" xfId="28839" hidden="1"/>
    <cellStyle name="40% - Accent2 6" xfId="28865" hidden="1"/>
    <cellStyle name="40% - Accent2 6" xfId="28995" hidden="1"/>
    <cellStyle name="40% - Accent2 6" xfId="29105" hidden="1"/>
    <cellStyle name="40% - Accent2 6" xfId="28776" hidden="1"/>
    <cellStyle name="40% - Accent2 6" xfId="28656" hidden="1"/>
    <cellStyle name="40% - Accent2 6" xfId="28617" hidden="1"/>
    <cellStyle name="40% - Accent2 6" xfId="29460" hidden="1"/>
    <cellStyle name="40% - Accent2 6" xfId="29590" hidden="1"/>
    <cellStyle name="40% - Accent2 6" xfId="29692" hidden="1"/>
    <cellStyle name="40% - Accent2 6" xfId="29283" hidden="1"/>
    <cellStyle name="40% - Accent2 6" xfId="28569" hidden="1"/>
    <cellStyle name="40% - Accent2 6" xfId="28624" hidden="1"/>
    <cellStyle name="40% - Accent2 6" xfId="29992" hidden="1"/>
    <cellStyle name="40% - Accent2 6" xfId="30122" hidden="1"/>
    <cellStyle name="40% - Accent2 6" xfId="30200" hidden="1"/>
    <cellStyle name="40% - Accent2 6" xfId="30329" hidden="1"/>
    <cellStyle name="40% - Accent2 6" xfId="30459" hidden="1"/>
    <cellStyle name="40% - Accent2 6" xfId="30537" hidden="1"/>
    <cellStyle name="40% - Accent2 6" xfId="30666" hidden="1"/>
    <cellStyle name="40% - Accent2 6" xfId="30821" hidden="1"/>
    <cellStyle name="40% - Accent2 6" xfId="30817" hidden="1"/>
    <cellStyle name="40% - Accent2 6" xfId="30918" hidden="1"/>
    <cellStyle name="40% - Accent2 6" xfId="31048" hidden="1"/>
    <cellStyle name="40% - Accent2 6" xfId="31631" hidden="1"/>
    <cellStyle name="40% - Accent2 6" xfId="31657" hidden="1"/>
    <cellStyle name="40% - Accent2 6" xfId="31787" hidden="1"/>
    <cellStyle name="40% - Accent2 6" xfId="31897" hidden="1"/>
    <cellStyle name="40% - Accent2 6" xfId="31568" hidden="1"/>
    <cellStyle name="40% - Accent2 6" xfId="31448" hidden="1"/>
    <cellStyle name="40% - Accent2 6" xfId="31409" hidden="1"/>
    <cellStyle name="40% - Accent2 6" xfId="32252" hidden="1"/>
    <cellStyle name="40% - Accent2 6" xfId="32382" hidden="1"/>
    <cellStyle name="40% - Accent2 6" xfId="32484" hidden="1"/>
    <cellStyle name="40% - Accent2 6" xfId="32075" hidden="1"/>
    <cellStyle name="40% - Accent2 6" xfId="31361" hidden="1"/>
    <cellStyle name="40% - Accent2 6" xfId="31416" hidden="1"/>
    <cellStyle name="40% - Accent2 6" xfId="32784" hidden="1"/>
    <cellStyle name="40% - Accent2 6" xfId="32914" hidden="1"/>
    <cellStyle name="40% - Accent2 6" xfId="32992" hidden="1"/>
    <cellStyle name="40% - Accent2 6" xfId="33121" hidden="1"/>
    <cellStyle name="40% - Accent2 6" xfId="33251" hidden="1"/>
    <cellStyle name="40% - Accent2 6" xfId="33329" hidden="1"/>
    <cellStyle name="40% - Accent2 6" xfId="33458" hidden="1"/>
    <cellStyle name="40% - Accent2 7" xfId="143" hidden="1"/>
    <cellStyle name="40% - Accent2 7" xfId="227" hidden="1"/>
    <cellStyle name="40% - Accent2 7" xfId="307" hidden="1"/>
    <cellStyle name="40% - Accent2 7" xfId="602" hidden="1"/>
    <cellStyle name="40% - Accent2 7" xfId="2383" hidden="1"/>
    <cellStyle name="40% - Accent2 7" xfId="2525" hidden="1"/>
    <cellStyle name="40% - Accent2 7" xfId="2695" hidden="1"/>
    <cellStyle name="40% - Accent2 7" xfId="1677" hidden="1"/>
    <cellStyle name="40% - Accent2 7" xfId="2834" hidden="1"/>
    <cellStyle name="40% - Accent2 7" xfId="1671" hidden="1"/>
    <cellStyle name="40% - Accent2 7" xfId="4255" hidden="1"/>
    <cellStyle name="40% - Accent2 7" xfId="4550" hidden="1"/>
    <cellStyle name="40% - Accent2 7" xfId="4705" hidden="1"/>
    <cellStyle name="40% - Accent2 7" xfId="2023" hidden="1"/>
    <cellStyle name="40% - Accent2 7" xfId="4815" hidden="1"/>
    <cellStyle name="40% - Accent2 7" xfId="3988" hidden="1"/>
    <cellStyle name="40% - Accent2 7" xfId="6294" hidden="1"/>
    <cellStyle name="40% - Accent2 7" xfId="6433" hidden="1"/>
    <cellStyle name="40% - Accent2 7" xfId="6630" hidden="1"/>
    <cellStyle name="40% - Accent2 7" xfId="7330" hidden="1"/>
    <cellStyle name="40% - Accent2 7" xfId="7632" hidden="1"/>
    <cellStyle name="40% - Accent2 7" xfId="7814" hidden="1"/>
    <cellStyle name="40% - Accent2 7" xfId="8488" hidden="1"/>
    <cellStyle name="40% - Accent2 7" xfId="8900" hidden="1"/>
    <cellStyle name="40% - Accent2 7" xfId="9834" hidden="1"/>
    <cellStyle name="40% - Accent2 7" xfId="9912" hidden="1"/>
    <cellStyle name="40% - Accent2 7" xfId="9989" hidden="1"/>
    <cellStyle name="40% - Accent2 7" xfId="10067" hidden="1"/>
    <cellStyle name="40% - Accent2 7" xfId="10651" hidden="1"/>
    <cellStyle name="40% - Accent2 7" xfId="10728" hidden="1"/>
    <cellStyle name="40% - Accent2 7" xfId="10807" hidden="1"/>
    <cellStyle name="40% - Accent2 7" xfId="10372" hidden="1"/>
    <cellStyle name="40% - Accent2 7" xfId="10868" hidden="1"/>
    <cellStyle name="40% - Accent2 7" xfId="10368" hidden="1"/>
    <cellStyle name="40% - Accent2 7" xfId="11239" hidden="1"/>
    <cellStyle name="40% - Accent2 7" xfId="11323" hidden="1"/>
    <cellStyle name="40% - Accent2 7" xfId="11401" hidden="1"/>
    <cellStyle name="40% - Accent2 7" xfId="10491" hidden="1"/>
    <cellStyle name="40% - Accent2 7" xfId="11459" hidden="1"/>
    <cellStyle name="40% - Accent2 7" xfId="11125" hidden="1"/>
    <cellStyle name="40% - Accent2 7" xfId="11775" hidden="1"/>
    <cellStyle name="40% - Accent2 7" xfId="11855" hidden="1"/>
    <cellStyle name="40% - Accent2 7" xfId="11933" hidden="1"/>
    <cellStyle name="40% - Accent2 7" xfId="12113" hidden="1"/>
    <cellStyle name="40% - Accent2 7" xfId="12192" hidden="1"/>
    <cellStyle name="40% - Accent2 7" xfId="12270" hidden="1"/>
    <cellStyle name="40% - Accent2 7" xfId="12450" hidden="1"/>
    <cellStyle name="40% - Accent2 7" xfId="12529" hidden="1"/>
    <cellStyle name="40% - Accent2 7" xfId="12626" hidden="1"/>
    <cellStyle name="40% - Accent2 7" xfId="12704" hidden="1"/>
    <cellStyle name="40% - Accent2 7" xfId="12781" hidden="1"/>
    <cellStyle name="40% - Accent2 7" xfId="12859" hidden="1"/>
    <cellStyle name="40% - Accent2 7" xfId="13443" hidden="1"/>
    <cellStyle name="40% - Accent2 7" xfId="13520" hidden="1"/>
    <cellStyle name="40% - Accent2 7" xfId="13599" hidden="1"/>
    <cellStyle name="40% - Accent2 7" xfId="13164" hidden="1"/>
    <cellStyle name="40% - Accent2 7" xfId="13660" hidden="1"/>
    <cellStyle name="40% - Accent2 7" xfId="13160" hidden="1"/>
    <cellStyle name="40% - Accent2 7" xfId="14031" hidden="1"/>
    <cellStyle name="40% - Accent2 7" xfId="14115" hidden="1"/>
    <cellStyle name="40% - Accent2 7" xfId="14193" hidden="1"/>
    <cellStyle name="40% - Accent2 7" xfId="13283" hidden="1"/>
    <cellStyle name="40% - Accent2 7" xfId="14251" hidden="1"/>
    <cellStyle name="40% - Accent2 7" xfId="13917" hidden="1"/>
    <cellStyle name="40% - Accent2 7" xfId="14567" hidden="1"/>
    <cellStyle name="40% - Accent2 7" xfId="14647" hidden="1"/>
    <cellStyle name="40% - Accent2 7" xfId="14725" hidden="1"/>
    <cellStyle name="40% - Accent2 7" xfId="14905" hidden="1"/>
    <cellStyle name="40% - Accent2 7" xfId="14984" hidden="1"/>
    <cellStyle name="40% - Accent2 7" xfId="15062" hidden="1"/>
    <cellStyle name="40% - Accent2 7" xfId="15242" hidden="1"/>
    <cellStyle name="40% - Accent2 7" xfId="15321" hidden="1"/>
    <cellStyle name="40% - Accent2 7" xfId="9626" hidden="1"/>
    <cellStyle name="40% - Accent2 7" xfId="9515" hidden="1"/>
    <cellStyle name="40% - Accent2 7" xfId="9399" hidden="1"/>
    <cellStyle name="40% - Accent2 7" xfId="9291" hidden="1"/>
    <cellStyle name="40% - Accent2 7" xfId="7024" hidden="1"/>
    <cellStyle name="40% - Accent2 7" xfId="6935" hidden="1"/>
    <cellStyle name="40% - Accent2 7" xfId="6842" hidden="1"/>
    <cellStyle name="40% - Accent2 7" xfId="8070" hidden="1"/>
    <cellStyle name="40% - Accent2 7" xfId="6757" hidden="1"/>
    <cellStyle name="40% - Accent2 7" xfId="8078" hidden="1"/>
    <cellStyle name="40% - Accent2 7" xfId="5025" hidden="1"/>
    <cellStyle name="40% - Accent2 7" xfId="4735" hidden="1"/>
    <cellStyle name="40% - Accent2 7" xfId="4543" hidden="1"/>
    <cellStyle name="40% - Accent2 7" xfId="7595" hidden="1"/>
    <cellStyle name="40% - Accent2 7" xfId="4311" hidden="1"/>
    <cellStyle name="40% - Accent2 7" xfId="5340" hidden="1"/>
    <cellStyle name="40% - Accent2 7" xfId="3021" hidden="1"/>
    <cellStyle name="40% - Accent2 7" xfId="2575" hidden="1"/>
    <cellStyle name="40% - Accent2 7" xfId="2379" hidden="1"/>
    <cellStyle name="40% - Accent2 7" xfId="1642" hidden="1"/>
    <cellStyle name="40% - Accent2 7" xfId="1246" hidden="1"/>
    <cellStyle name="40% - Accent2 7" xfId="1074" hidden="1"/>
    <cellStyle name="40% - Accent2 7" xfId="217" hidden="1"/>
    <cellStyle name="40% - Accent2 7" xfId="15485" hidden="1"/>
    <cellStyle name="40% - Accent2 7" xfId="16175" hidden="1"/>
    <cellStyle name="40% - Accent2 7" xfId="16253" hidden="1"/>
    <cellStyle name="40% - Accent2 7" xfId="16330" hidden="1"/>
    <cellStyle name="40% - Accent2 7" xfId="16408" hidden="1"/>
    <cellStyle name="40% - Accent2 7" xfId="16992" hidden="1"/>
    <cellStyle name="40% - Accent2 7" xfId="17069" hidden="1"/>
    <cellStyle name="40% - Accent2 7" xfId="17148" hidden="1"/>
    <cellStyle name="40% - Accent2 7" xfId="16713" hidden="1"/>
    <cellStyle name="40% - Accent2 7" xfId="17209" hidden="1"/>
    <cellStyle name="40% - Accent2 7" xfId="16709" hidden="1"/>
    <cellStyle name="40% - Accent2 7" xfId="17580" hidden="1"/>
    <cellStyle name="40% - Accent2 7" xfId="17664" hidden="1"/>
    <cellStyle name="40% - Accent2 7" xfId="17742" hidden="1"/>
    <cellStyle name="40% - Accent2 7" xfId="16832" hidden="1"/>
    <cellStyle name="40% - Accent2 7" xfId="17800" hidden="1"/>
    <cellStyle name="40% - Accent2 7" xfId="17466" hidden="1"/>
    <cellStyle name="40% - Accent2 7" xfId="18116" hidden="1"/>
    <cellStyle name="40% - Accent2 7" xfId="18196" hidden="1"/>
    <cellStyle name="40% - Accent2 7" xfId="18274" hidden="1"/>
    <cellStyle name="40% - Accent2 7" xfId="18454" hidden="1"/>
    <cellStyle name="40% - Accent2 7" xfId="18533" hidden="1"/>
    <cellStyle name="40% - Accent2 7" xfId="18611" hidden="1"/>
    <cellStyle name="40% - Accent2 7" xfId="18791" hidden="1"/>
    <cellStyle name="40% - Accent2 7" xfId="18870" hidden="1"/>
    <cellStyle name="40% - Accent2 7" xfId="18967" hidden="1"/>
    <cellStyle name="40% - Accent2 7" xfId="19045" hidden="1"/>
    <cellStyle name="40% - Accent2 7" xfId="19122" hidden="1"/>
    <cellStyle name="40% - Accent2 7" xfId="19200" hidden="1"/>
    <cellStyle name="40% - Accent2 7" xfId="19784" hidden="1"/>
    <cellStyle name="40% - Accent2 7" xfId="19861" hidden="1"/>
    <cellStyle name="40% - Accent2 7" xfId="19940" hidden="1"/>
    <cellStyle name="40% - Accent2 7" xfId="19505" hidden="1"/>
    <cellStyle name="40% - Accent2 7" xfId="20001" hidden="1"/>
    <cellStyle name="40% - Accent2 7" xfId="19501" hidden="1"/>
    <cellStyle name="40% - Accent2 7" xfId="20372" hidden="1"/>
    <cellStyle name="40% - Accent2 7" xfId="20456" hidden="1"/>
    <cellStyle name="40% - Accent2 7" xfId="20534" hidden="1"/>
    <cellStyle name="40% - Accent2 7" xfId="19624" hidden="1"/>
    <cellStyle name="40% - Accent2 7" xfId="20592" hidden="1"/>
    <cellStyle name="40% - Accent2 7" xfId="20258" hidden="1"/>
    <cellStyle name="40% - Accent2 7" xfId="20908" hidden="1"/>
    <cellStyle name="40% - Accent2 7" xfId="20988" hidden="1"/>
    <cellStyle name="40% - Accent2 7" xfId="21066" hidden="1"/>
    <cellStyle name="40% - Accent2 7" xfId="21246" hidden="1"/>
    <cellStyle name="40% - Accent2 7" xfId="21325" hidden="1"/>
    <cellStyle name="40% - Accent2 7" xfId="21403" hidden="1"/>
    <cellStyle name="40% - Accent2 7" xfId="21583" hidden="1"/>
    <cellStyle name="40% - Accent2 7" xfId="21662" hidden="1"/>
    <cellStyle name="40% - Accent2 7" xfId="16016" hidden="1"/>
    <cellStyle name="40% - Accent2 7" xfId="15938" hidden="1"/>
    <cellStyle name="40% - Accent2 7" xfId="15859" hidden="1"/>
    <cellStyle name="40% - Accent2 7" xfId="15775" hidden="1"/>
    <cellStyle name="40% - Accent2 7" xfId="8017" hidden="1"/>
    <cellStyle name="40% - Accent2 7" xfId="7826" hidden="1"/>
    <cellStyle name="40% - Accent2 7" xfId="7592" hidden="1"/>
    <cellStyle name="40% - Accent2 7" xfId="9016" hidden="1"/>
    <cellStyle name="40% - Accent2 7" xfId="7410" hidden="1"/>
    <cellStyle name="40% - Accent2 7" xfId="9020" hidden="1"/>
    <cellStyle name="40% - Accent2 7" xfId="5537" hidden="1"/>
    <cellStyle name="40% - Accent2 7" xfId="5126" hidden="1"/>
    <cellStyle name="40% - Accent2 7" xfId="5022" hidden="1"/>
    <cellStyle name="40% - Accent2 7" xfId="8477" hidden="1"/>
    <cellStyle name="40% - Accent2 7" xfId="4938" hidden="1"/>
    <cellStyle name="40% - Accent2 7" xfId="5888" hidden="1"/>
    <cellStyle name="40% - Accent2 7" xfId="3349" hidden="1"/>
    <cellStyle name="40% - Accent2 7" xfId="2939" hidden="1"/>
    <cellStyle name="40% - Accent2 7" xfId="2817" hidden="1"/>
    <cellStyle name="40% - Accent2 7" xfId="1725" hidden="1"/>
    <cellStyle name="40% - Accent2 7" xfId="1428" hidden="1"/>
    <cellStyle name="40% - Accent2 7" xfId="1172" hidden="1"/>
    <cellStyle name="40% - Accent2 7" xfId="215" hidden="1"/>
    <cellStyle name="40% - Accent2 7" xfId="21800" hidden="1"/>
    <cellStyle name="40% - Accent2 7" xfId="22326" hidden="1"/>
    <cellStyle name="40% - Accent2 7" xfId="22404" hidden="1"/>
    <cellStyle name="40% - Accent2 7" xfId="22481" hidden="1"/>
    <cellStyle name="40% - Accent2 7" xfId="22559" hidden="1"/>
    <cellStyle name="40% - Accent2 7" xfId="23143" hidden="1"/>
    <cellStyle name="40% - Accent2 7" xfId="23220" hidden="1"/>
    <cellStyle name="40% - Accent2 7" xfId="23299" hidden="1"/>
    <cellStyle name="40% - Accent2 7" xfId="22864" hidden="1"/>
    <cellStyle name="40% - Accent2 7" xfId="23360" hidden="1"/>
    <cellStyle name="40% - Accent2 7" xfId="22860" hidden="1"/>
    <cellStyle name="40% - Accent2 7" xfId="23731" hidden="1"/>
    <cellStyle name="40% - Accent2 7" xfId="23815" hidden="1"/>
    <cellStyle name="40% - Accent2 7" xfId="23893" hidden="1"/>
    <cellStyle name="40% - Accent2 7" xfId="22983" hidden="1"/>
    <cellStyle name="40% - Accent2 7" xfId="23951" hidden="1"/>
    <cellStyle name="40% - Accent2 7" xfId="23617" hidden="1"/>
    <cellStyle name="40% - Accent2 7" xfId="24267" hidden="1"/>
    <cellStyle name="40% - Accent2 7" xfId="24347" hidden="1"/>
    <cellStyle name="40% - Accent2 7" xfId="24425" hidden="1"/>
    <cellStyle name="40% - Accent2 7" xfId="24605" hidden="1"/>
    <cellStyle name="40% - Accent2 7" xfId="24684" hidden="1"/>
    <cellStyle name="40% - Accent2 7" xfId="24762" hidden="1"/>
    <cellStyle name="40% - Accent2 7" xfId="24942" hidden="1"/>
    <cellStyle name="40% - Accent2 7" xfId="25021" hidden="1"/>
    <cellStyle name="40% - Accent2 7" xfId="25118" hidden="1"/>
    <cellStyle name="40% - Accent2 7" xfId="25196" hidden="1"/>
    <cellStyle name="40% - Accent2 7" xfId="25273" hidden="1"/>
    <cellStyle name="40% - Accent2 7" xfId="25351" hidden="1"/>
    <cellStyle name="40% - Accent2 7" xfId="25935" hidden="1"/>
    <cellStyle name="40% - Accent2 7" xfId="26012" hidden="1"/>
    <cellStyle name="40% - Accent2 7" xfId="26091" hidden="1"/>
    <cellStyle name="40% - Accent2 7" xfId="25656" hidden="1"/>
    <cellStyle name="40% - Accent2 7" xfId="26152" hidden="1"/>
    <cellStyle name="40% - Accent2 7" xfId="25652" hidden="1"/>
    <cellStyle name="40% - Accent2 7" xfId="26523" hidden="1"/>
    <cellStyle name="40% - Accent2 7" xfId="26607" hidden="1"/>
    <cellStyle name="40% - Accent2 7" xfId="26685" hidden="1"/>
    <cellStyle name="40% - Accent2 7" xfId="25775" hidden="1"/>
    <cellStyle name="40% - Accent2 7" xfId="26743" hidden="1"/>
    <cellStyle name="40% - Accent2 7" xfId="26409" hidden="1"/>
    <cellStyle name="40% - Accent2 7" xfId="27059" hidden="1"/>
    <cellStyle name="40% - Accent2 7" xfId="27139" hidden="1"/>
    <cellStyle name="40% - Accent2 7" xfId="27217" hidden="1"/>
    <cellStyle name="40% - Accent2 7" xfId="27397" hidden="1"/>
    <cellStyle name="40% - Accent2 7" xfId="27476" hidden="1"/>
    <cellStyle name="40% - Accent2 7" xfId="27554" hidden="1"/>
    <cellStyle name="40% - Accent2 7" xfId="27734" hidden="1"/>
    <cellStyle name="40% - Accent2 7" xfId="27813" hidden="1"/>
    <cellStyle name="40% - Accent2 7" xfId="22269" hidden="1"/>
    <cellStyle name="40% - Accent2 7" xfId="22191" hidden="1"/>
    <cellStyle name="40% - Accent2 7" xfId="22112" hidden="1"/>
    <cellStyle name="40% - Accent2 7" xfId="22028" hidden="1"/>
    <cellStyle name="40% - Accent2 7" xfId="8946" hidden="1"/>
    <cellStyle name="40% - Accent2 7" xfId="8717" hidden="1"/>
    <cellStyle name="40% - Accent2 7" xfId="8479" hidden="1"/>
    <cellStyle name="40% - Accent2 7" xfId="15571" hidden="1"/>
    <cellStyle name="40% - Accent2 7" xfId="8268" hidden="1"/>
    <cellStyle name="40% - Accent2 7" xfId="15575" hidden="1"/>
    <cellStyle name="40% - Accent2 7" xfId="5917" hidden="1"/>
    <cellStyle name="40% - Accent2 7" xfId="5632" hidden="1"/>
    <cellStyle name="40% - Accent2 7" xfId="5535" hidden="1"/>
    <cellStyle name="40% - Accent2 7" xfId="9530" hidden="1"/>
    <cellStyle name="40% - Accent2 7" xfId="5462" hidden="1"/>
    <cellStyle name="40% - Accent2 7" xfId="6311" hidden="1"/>
    <cellStyle name="40% - Accent2 7" xfId="3626" hidden="1"/>
    <cellStyle name="40% - Accent2 7" xfId="3305" hidden="1"/>
    <cellStyle name="40% - Accent2 7" xfId="3097" hidden="1"/>
    <cellStyle name="40% - Accent2 7" xfId="1898" hidden="1"/>
    <cellStyle name="40% - Accent2 7" xfId="1579" hidden="1"/>
    <cellStyle name="40% - Accent2 7" xfId="1347" hidden="1"/>
    <cellStyle name="40% - Accent2 7" xfId="218" hidden="1"/>
    <cellStyle name="40% - Accent2 7" xfId="27948" hidden="1"/>
    <cellStyle name="40% - Accent2 7" xfId="28045" hidden="1"/>
    <cellStyle name="40% - Accent2 7" xfId="28123" hidden="1"/>
    <cellStyle name="40% - Accent2 7" xfId="28200" hidden="1"/>
    <cellStyle name="40% - Accent2 7" xfId="28278" hidden="1"/>
    <cellStyle name="40% - Accent2 7" xfId="28862" hidden="1"/>
    <cellStyle name="40% - Accent2 7" xfId="28939" hidden="1"/>
    <cellStyle name="40% - Accent2 7" xfId="29018" hidden="1"/>
    <cellStyle name="40% - Accent2 7" xfId="28583" hidden="1"/>
    <cellStyle name="40% - Accent2 7" xfId="29079" hidden="1"/>
    <cellStyle name="40% - Accent2 7" xfId="28579" hidden="1"/>
    <cellStyle name="40% - Accent2 7" xfId="29450" hidden="1"/>
    <cellStyle name="40% - Accent2 7" xfId="29534" hidden="1"/>
    <cellStyle name="40% - Accent2 7" xfId="29612" hidden="1"/>
    <cellStyle name="40% - Accent2 7" xfId="28702" hidden="1"/>
    <cellStyle name="40% - Accent2 7" xfId="29670" hidden="1"/>
    <cellStyle name="40% - Accent2 7" xfId="29336" hidden="1"/>
    <cellStyle name="40% - Accent2 7" xfId="29986" hidden="1"/>
    <cellStyle name="40% - Accent2 7" xfId="30066" hidden="1"/>
    <cellStyle name="40% - Accent2 7" xfId="30144" hidden="1"/>
    <cellStyle name="40% - Accent2 7" xfId="30324" hidden="1"/>
    <cellStyle name="40% - Accent2 7" xfId="30403" hidden="1"/>
    <cellStyle name="40% - Accent2 7" xfId="30481" hidden="1"/>
    <cellStyle name="40% - Accent2 7" xfId="30661" hidden="1"/>
    <cellStyle name="40% - Accent2 7" xfId="30740" hidden="1"/>
    <cellStyle name="40% - Accent2 7" xfId="30837" hidden="1"/>
    <cellStyle name="40% - Accent2 7" xfId="30915" hidden="1"/>
    <cellStyle name="40% - Accent2 7" xfId="30992" hidden="1"/>
    <cellStyle name="40% - Accent2 7" xfId="31070" hidden="1"/>
    <cellStyle name="40% - Accent2 7" xfId="31654" hidden="1"/>
    <cellStyle name="40% - Accent2 7" xfId="31731" hidden="1"/>
    <cellStyle name="40% - Accent2 7" xfId="31810" hidden="1"/>
    <cellStyle name="40% - Accent2 7" xfId="31375" hidden="1"/>
    <cellStyle name="40% - Accent2 7" xfId="31871" hidden="1"/>
    <cellStyle name="40% - Accent2 7" xfId="31371" hidden="1"/>
    <cellStyle name="40% - Accent2 7" xfId="32242" hidden="1"/>
    <cellStyle name="40% - Accent2 7" xfId="32326" hidden="1"/>
    <cellStyle name="40% - Accent2 7" xfId="32404" hidden="1"/>
    <cellStyle name="40% - Accent2 7" xfId="31494" hidden="1"/>
    <cellStyle name="40% - Accent2 7" xfId="32462" hidden="1"/>
    <cellStyle name="40% - Accent2 7" xfId="32128" hidden="1"/>
    <cellStyle name="40% - Accent2 7" xfId="32778" hidden="1"/>
    <cellStyle name="40% - Accent2 7" xfId="32858" hidden="1"/>
    <cellStyle name="40% - Accent2 7" xfId="32936" hidden="1"/>
    <cellStyle name="40% - Accent2 7" xfId="33116" hidden="1"/>
    <cellStyle name="40% - Accent2 7" xfId="33195" hidden="1"/>
    <cellStyle name="40% - Accent2 7" xfId="33273" hidden="1"/>
    <cellStyle name="40% - Accent2 7" xfId="33453" hidden="1"/>
    <cellStyle name="40% - Accent2 7" xfId="33532" hidden="1"/>
    <cellStyle name="40% - Accent2 8" xfId="156" hidden="1"/>
    <cellStyle name="40% - Accent2 8" xfId="236" hidden="1"/>
    <cellStyle name="40% - Accent2 8" xfId="315" hidden="1"/>
    <cellStyle name="40% - Accent2 8" xfId="646" hidden="1"/>
    <cellStyle name="40% - Accent2 8" xfId="2397" hidden="1"/>
    <cellStyle name="40% - Accent2 8" xfId="2547" hidden="1"/>
    <cellStyle name="40% - Accent2 8" xfId="2726" hidden="1"/>
    <cellStyle name="40% - Accent2 8" xfId="3778" hidden="1"/>
    <cellStyle name="40% - Accent2 8" xfId="1893" hidden="1"/>
    <cellStyle name="40% - Accent2 8" xfId="1732" hidden="1"/>
    <cellStyle name="40% - Accent2 8" xfId="4321" hidden="1"/>
    <cellStyle name="40% - Accent2 8" xfId="4565" hidden="1"/>
    <cellStyle name="40% - Accent2 8" xfId="4724" hidden="1"/>
    <cellStyle name="40% - Accent2 8" xfId="5783" hidden="1"/>
    <cellStyle name="40% - Accent2 8" xfId="1827" hidden="1"/>
    <cellStyle name="40% - Accent2 8" xfId="1874" hidden="1"/>
    <cellStyle name="40% - Accent2 8" xfId="6339" hidden="1"/>
    <cellStyle name="40% - Accent2 8" xfId="6446" hidden="1"/>
    <cellStyle name="40% - Accent2 8" xfId="6645" hidden="1"/>
    <cellStyle name="40% - Accent2 8" xfId="7496" hidden="1"/>
    <cellStyle name="40% - Accent2 8" xfId="7650" hidden="1"/>
    <cellStyle name="40% - Accent2 8" xfId="7833" hidden="1"/>
    <cellStyle name="40% - Accent2 8" xfId="8744" hidden="1"/>
    <cellStyle name="40% - Accent2 8" xfId="8923" hidden="1"/>
    <cellStyle name="40% - Accent2 8" xfId="9847" hidden="1"/>
    <cellStyle name="40% - Accent2 8" xfId="9921" hidden="1"/>
    <cellStyle name="40% - Accent2 8" xfId="9997" hidden="1"/>
    <cellStyle name="40% - Accent2 8" xfId="10075" hidden="1"/>
    <cellStyle name="40% - Accent2 8" xfId="10660" hidden="1"/>
    <cellStyle name="40% - Accent2 8" xfId="10736" hidden="1"/>
    <cellStyle name="40% - Accent2 8" xfId="10815" hidden="1"/>
    <cellStyle name="40% - Accent2 8" xfId="11066" hidden="1"/>
    <cellStyle name="40% - Accent2 8" xfId="10465" hidden="1"/>
    <cellStyle name="40% - Accent2 8" xfId="10408" hidden="1"/>
    <cellStyle name="40% - Accent2 8" xfId="11255" hidden="1"/>
    <cellStyle name="40% - Accent2 8" xfId="11331" hidden="1"/>
    <cellStyle name="40% - Accent2 8" xfId="11409" hidden="1"/>
    <cellStyle name="40% - Accent2 8" xfId="11630" hidden="1"/>
    <cellStyle name="40% - Accent2 8" xfId="10423" hidden="1"/>
    <cellStyle name="40% - Accent2 8" xfId="10449" hidden="1"/>
    <cellStyle name="40% - Accent2 8" xfId="11787" hidden="1"/>
    <cellStyle name="40% - Accent2 8" xfId="11863" hidden="1"/>
    <cellStyle name="40% - Accent2 8" xfId="11941" hidden="1"/>
    <cellStyle name="40% - Accent2 8" xfId="12124" hidden="1"/>
    <cellStyle name="40% - Accent2 8" xfId="12200" hidden="1"/>
    <cellStyle name="40% - Accent2 8" xfId="12278" hidden="1"/>
    <cellStyle name="40% - Accent2 8" xfId="12461" hidden="1"/>
    <cellStyle name="40% - Accent2 8" xfId="12537" hidden="1"/>
    <cellStyle name="40% - Accent2 8" xfId="12639" hidden="1"/>
    <cellStyle name="40% - Accent2 8" xfId="12713" hidden="1"/>
    <cellStyle name="40% - Accent2 8" xfId="12789" hidden="1"/>
    <cellStyle name="40% - Accent2 8" xfId="12867" hidden="1"/>
    <cellStyle name="40% - Accent2 8" xfId="13452" hidden="1"/>
    <cellStyle name="40% - Accent2 8" xfId="13528" hidden="1"/>
    <cellStyle name="40% - Accent2 8" xfId="13607" hidden="1"/>
    <cellStyle name="40% - Accent2 8" xfId="13858" hidden="1"/>
    <cellStyle name="40% - Accent2 8" xfId="13257" hidden="1"/>
    <cellStyle name="40% - Accent2 8" xfId="13200" hidden="1"/>
    <cellStyle name="40% - Accent2 8" xfId="14047" hidden="1"/>
    <cellStyle name="40% - Accent2 8" xfId="14123" hidden="1"/>
    <cellStyle name="40% - Accent2 8" xfId="14201" hidden="1"/>
    <cellStyle name="40% - Accent2 8" xfId="14422" hidden="1"/>
    <cellStyle name="40% - Accent2 8" xfId="13215" hidden="1"/>
    <cellStyle name="40% - Accent2 8" xfId="13241" hidden="1"/>
    <cellStyle name="40% - Accent2 8" xfId="14579" hidden="1"/>
    <cellStyle name="40% - Accent2 8" xfId="14655" hidden="1"/>
    <cellStyle name="40% - Accent2 8" xfId="14733" hidden="1"/>
    <cellStyle name="40% - Accent2 8" xfId="14916" hidden="1"/>
    <cellStyle name="40% - Accent2 8" xfId="14992" hidden="1"/>
    <cellStyle name="40% - Accent2 8" xfId="15070" hidden="1"/>
    <cellStyle name="40% - Accent2 8" xfId="15253" hidden="1"/>
    <cellStyle name="40% - Accent2 8" xfId="15329" hidden="1"/>
    <cellStyle name="40% - Accent2 8" xfId="9611" hidden="1"/>
    <cellStyle name="40% - Accent2 8" xfId="9501" hidden="1"/>
    <cellStyle name="40% - Accent2 8" xfId="9383" hidden="1"/>
    <cellStyle name="40% - Accent2 8" xfId="9275" hidden="1"/>
    <cellStyle name="40% - Accent2 8" xfId="7014" hidden="1"/>
    <cellStyle name="40% - Accent2 8" xfId="6926" hidden="1"/>
    <cellStyle name="40% - Accent2 8" xfId="6832" hidden="1"/>
    <cellStyle name="40% - Accent2 8" xfId="5779" hidden="1"/>
    <cellStyle name="40% - Accent2 8" xfId="7731" hidden="1"/>
    <cellStyle name="40% - Accent2 8" xfId="7962" hidden="1"/>
    <cellStyle name="40% - Accent2 8" xfId="4879" hidden="1"/>
    <cellStyle name="40% - Accent2 8" xfId="4707" hidden="1"/>
    <cellStyle name="40% - Accent2 8" xfId="4509" hidden="1"/>
    <cellStyle name="40% - Accent2 8" xfId="3654" hidden="1"/>
    <cellStyle name="40% - Accent2 8" xfId="7910" hidden="1"/>
    <cellStyle name="40% - Accent2 8" xfId="7806" hidden="1"/>
    <cellStyle name="40% - Accent2 8" xfId="2789" hidden="1"/>
    <cellStyle name="40% - Accent2 8" xfId="2537" hidden="1"/>
    <cellStyle name="40% - Accent2 8" xfId="2365" hidden="1"/>
    <cellStyle name="40% - Accent2 8" xfId="1413" hidden="1"/>
    <cellStyle name="40% - Accent2 8" xfId="1222" hidden="1"/>
    <cellStyle name="40% - Accent2 8" xfId="1065" hidden="1"/>
    <cellStyle name="40% - Accent2 8" xfId="9807" hidden="1"/>
    <cellStyle name="40% - Accent2 8" xfId="15498" hidden="1"/>
    <cellStyle name="40% - Accent2 8" xfId="16188" hidden="1"/>
    <cellStyle name="40% - Accent2 8" xfId="16262" hidden="1"/>
    <cellStyle name="40% - Accent2 8" xfId="16338" hidden="1"/>
    <cellStyle name="40% - Accent2 8" xfId="16416" hidden="1"/>
    <cellStyle name="40% - Accent2 8" xfId="17001" hidden="1"/>
    <cellStyle name="40% - Accent2 8" xfId="17077" hidden="1"/>
    <cellStyle name="40% - Accent2 8" xfId="17156" hidden="1"/>
    <cellStyle name="40% - Accent2 8" xfId="17407" hidden="1"/>
    <cellStyle name="40% - Accent2 8" xfId="16806" hidden="1"/>
    <cellStyle name="40% - Accent2 8" xfId="16749" hidden="1"/>
    <cellStyle name="40% - Accent2 8" xfId="17596" hidden="1"/>
    <cellStyle name="40% - Accent2 8" xfId="17672" hidden="1"/>
    <cellStyle name="40% - Accent2 8" xfId="17750" hidden="1"/>
    <cellStyle name="40% - Accent2 8" xfId="17971" hidden="1"/>
    <cellStyle name="40% - Accent2 8" xfId="16764" hidden="1"/>
    <cellStyle name="40% - Accent2 8" xfId="16790" hidden="1"/>
    <cellStyle name="40% - Accent2 8" xfId="18128" hidden="1"/>
    <cellStyle name="40% - Accent2 8" xfId="18204" hidden="1"/>
    <cellStyle name="40% - Accent2 8" xfId="18282" hidden="1"/>
    <cellStyle name="40% - Accent2 8" xfId="18465" hidden="1"/>
    <cellStyle name="40% - Accent2 8" xfId="18541" hidden="1"/>
    <cellStyle name="40% - Accent2 8" xfId="18619" hidden="1"/>
    <cellStyle name="40% - Accent2 8" xfId="18802" hidden="1"/>
    <cellStyle name="40% - Accent2 8" xfId="18878" hidden="1"/>
    <cellStyle name="40% - Accent2 8" xfId="18980" hidden="1"/>
    <cellStyle name="40% - Accent2 8" xfId="19054" hidden="1"/>
    <cellStyle name="40% - Accent2 8" xfId="19130" hidden="1"/>
    <cellStyle name="40% - Accent2 8" xfId="19208" hidden="1"/>
    <cellStyle name="40% - Accent2 8" xfId="19793" hidden="1"/>
    <cellStyle name="40% - Accent2 8" xfId="19869" hidden="1"/>
    <cellStyle name="40% - Accent2 8" xfId="19948" hidden="1"/>
    <cellStyle name="40% - Accent2 8" xfId="20199" hidden="1"/>
    <cellStyle name="40% - Accent2 8" xfId="19598" hidden="1"/>
    <cellStyle name="40% - Accent2 8" xfId="19541" hidden="1"/>
    <cellStyle name="40% - Accent2 8" xfId="20388" hidden="1"/>
    <cellStyle name="40% - Accent2 8" xfId="20464" hidden="1"/>
    <cellStyle name="40% - Accent2 8" xfId="20542" hidden="1"/>
    <cellStyle name="40% - Accent2 8" xfId="20763" hidden="1"/>
    <cellStyle name="40% - Accent2 8" xfId="19556" hidden="1"/>
    <cellStyle name="40% - Accent2 8" xfId="19582" hidden="1"/>
    <cellStyle name="40% - Accent2 8" xfId="20920" hidden="1"/>
    <cellStyle name="40% - Accent2 8" xfId="20996" hidden="1"/>
    <cellStyle name="40% - Accent2 8" xfId="21074" hidden="1"/>
    <cellStyle name="40% - Accent2 8" xfId="21257" hidden="1"/>
    <cellStyle name="40% - Accent2 8" xfId="21333" hidden="1"/>
    <cellStyle name="40% - Accent2 8" xfId="21411" hidden="1"/>
    <cellStyle name="40% - Accent2 8" xfId="21594" hidden="1"/>
    <cellStyle name="40% - Accent2 8" xfId="21670" hidden="1"/>
    <cellStyle name="40% - Accent2 8" xfId="16003" hidden="1"/>
    <cellStyle name="40% - Accent2 8" xfId="15929" hidden="1"/>
    <cellStyle name="40% - Accent2 8" xfId="15850" hidden="1"/>
    <cellStyle name="40% - Accent2 8" xfId="15766" hidden="1"/>
    <cellStyle name="40% - Accent2 8" xfId="7998" hidden="1"/>
    <cellStyle name="40% - Accent2 8" xfId="7796" hidden="1"/>
    <cellStyle name="40% - Accent2 8" xfId="7546" hidden="1"/>
    <cellStyle name="40% - Accent2 8" xfId="6285" hidden="1"/>
    <cellStyle name="40% - Accent2 8" xfId="8536" hidden="1"/>
    <cellStyle name="40% - Accent2 8" xfId="8857" hidden="1"/>
    <cellStyle name="40% - Accent2 8" xfId="5315" hidden="1"/>
    <cellStyle name="40% - Accent2 8" xfId="5115" hidden="1"/>
    <cellStyle name="40% - Accent2 8" xfId="5009" hidden="1"/>
    <cellStyle name="40% - Accent2 8" xfId="3848" hidden="1"/>
    <cellStyle name="40% - Accent2 8" xfId="8768" hidden="1"/>
    <cellStyle name="40% - Accent2 8" xfId="8696" hidden="1"/>
    <cellStyle name="40% - Accent2 8" xfId="3074" hidden="1"/>
    <cellStyle name="40% - Accent2 8" xfId="2924" hidden="1"/>
    <cellStyle name="40% - Accent2 8" xfId="2767" hidden="1"/>
    <cellStyle name="40% - Accent2 8" xfId="1561" hidden="1"/>
    <cellStyle name="40% - Accent2 8" xfId="1406" hidden="1"/>
    <cellStyle name="40% - Accent2 8" xfId="1142" hidden="1"/>
    <cellStyle name="40% - Accent2 8" xfId="9805" hidden="1"/>
    <cellStyle name="40% - Accent2 8" xfId="21808" hidden="1"/>
    <cellStyle name="40% - Accent2 8" xfId="22339" hidden="1"/>
    <cellStyle name="40% - Accent2 8" xfId="22413" hidden="1"/>
    <cellStyle name="40% - Accent2 8" xfId="22489" hidden="1"/>
    <cellStyle name="40% - Accent2 8" xfId="22567" hidden="1"/>
    <cellStyle name="40% - Accent2 8" xfId="23152" hidden="1"/>
    <cellStyle name="40% - Accent2 8" xfId="23228" hidden="1"/>
    <cellStyle name="40% - Accent2 8" xfId="23307" hidden="1"/>
    <cellStyle name="40% - Accent2 8" xfId="23558" hidden="1"/>
    <cellStyle name="40% - Accent2 8" xfId="22957" hidden="1"/>
    <cellStyle name="40% - Accent2 8" xfId="22900" hidden="1"/>
    <cellStyle name="40% - Accent2 8" xfId="23747" hidden="1"/>
    <cellStyle name="40% - Accent2 8" xfId="23823" hidden="1"/>
    <cellStyle name="40% - Accent2 8" xfId="23901" hidden="1"/>
    <cellStyle name="40% - Accent2 8" xfId="24122" hidden="1"/>
    <cellStyle name="40% - Accent2 8" xfId="22915" hidden="1"/>
    <cellStyle name="40% - Accent2 8" xfId="22941" hidden="1"/>
    <cellStyle name="40% - Accent2 8" xfId="24279" hidden="1"/>
    <cellStyle name="40% - Accent2 8" xfId="24355" hidden="1"/>
    <cellStyle name="40% - Accent2 8" xfId="24433" hidden="1"/>
    <cellStyle name="40% - Accent2 8" xfId="24616" hidden="1"/>
    <cellStyle name="40% - Accent2 8" xfId="24692" hidden="1"/>
    <cellStyle name="40% - Accent2 8" xfId="24770" hidden="1"/>
    <cellStyle name="40% - Accent2 8" xfId="24953" hidden="1"/>
    <cellStyle name="40% - Accent2 8" xfId="25029" hidden="1"/>
    <cellStyle name="40% - Accent2 8" xfId="25131" hidden="1"/>
    <cellStyle name="40% - Accent2 8" xfId="25205" hidden="1"/>
    <cellStyle name="40% - Accent2 8" xfId="25281" hidden="1"/>
    <cellStyle name="40% - Accent2 8" xfId="25359" hidden="1"/>
    <cellStyle name="40% - Accent2 8" xfId="25944" hidden="1"/>
    <cellStyle name="40% - Accent2 8" xfId="26020" hidden="1"/>
    <cellStyle name="40% - Accent2 8" xfId="26099" hidden="1"/>
    <cellStyle name="40% - Accent2 8" xfId="26350" hidden="1"/>
    <cellStyle name="40% - Accent2 8" xfId="25749" hidden="1"/>
    <cellStyle name="40% - Accent2 8" xfId="25692" hidden="1"/>
    <cellStyle name="40% - Accent2 8" xfId="26539" hidden="1"/>
    <cellStyle name="40% - Accent2 8" xfId="26615" hidden="1"/>
    <cellStyle name="40% - Accent2 8" xfId="26693" hidden="1"/>
    <cellStyle name="40% - Accent2 8" xfId="26914" hidden="1"/>
    <cellStyle name="40% - Accent2 8" xfId="25707" hidden="1"/>
    <cellStyle name="40% - Accent2 8" xfId="25733" hidden="1"/>
    <cellStyle name="40% - Accent2 8" xfId="27071" hidden="1"/>
    <cellStyle name="40% - Accent2 8" xfId="27147" hidden="1"/>
    <cellStyle name="40% - Accent2 8" xfId="27225" hidden="1"/>
    <cellStyle name="40% - Accent2 8" xfId="27408" hidden="1"/>
    <cellStyle name="40% - Accent2 8" xfId="27484" hidden="1"/>
    <cellStyle name="40% - Accent2 8" xfId="27562" hidden="1"/>
    <cellStyle name="40% - Accent2 8" xfId="27745" hidden="1"/>
    <cellStyle name="40% - Accent2 8" xfId="27821" hidden="1"/>
    <cellStyle name="40% - Accent2 8" xfId="22256" hidden="1"/>
    <cellStyle name="40% - Accent2 8" xfId="22182" hidden="1"/>
    <cellStyle name="40% - Accent2 8" xfId="22103" hidden="1"/>
    <cellStyle name="40% - Accent2 8" xfId="22019" hidden="1"/>
    <cellStyle name="40% - Accent2 8" xfId="8905" hidden="1"/>
    <cellStyle name="40% - Accent2 8" xfId="8695" hidden="1"/>
    <cellStyle name="40% - Accent2 8" xfId="8461" hidden="1"/>
    <cellStyle name="40% - Accent2 8" xfId="6775" hidden="1"/>
    <cellStyle name="40% - Accent2 8" xfId="9651" hidden="1"/>
    <cellStyle name="40% - Accent2 8" xfId="15467" hidden="1"/>
    <cellStyle name="40% - Accent2 8" xfId="5869" hidden="1"/>
    <cellStyle name="40% - Accent2 8" xfId="5622" hidden="1"/>
    <cellStyle name="40% - Accent2 8" xfId="5525" hidden="1"/>
    <cellStyle name="40% - Accent2 8" xfId="4022" hidden="1"/>
    <cellStyle name="40% - Accent2 8" xfId="15406" hidden="1"/>
    <cellStyle name="40% - Accent2 8" xfId="9770" hidden="1"/>
    <cellStyle name="40% - Accent2 8" xfId="3387" hidden="1"/>
    <cellStyle name="40% - Accent2 8" xfId="3293" hidden="1"/>
    <cellStyle name="40% - Accent2 8" xfId="3077" hidden="1"/>
    <cellStyle name="40% - Accent2 8" xfId="1686" hidden="1"/>
    <cellStyle name="40% - Accent2 8" xfId="1568" hidden="1"/>
    <cellStyle name="40% - Accent2 8" xfId="1287" hidden="1"/>
    <cellStyle name="40% - Accent2 8" xfId="16145" hidden="1"/>
    <cellStyle name="40% - Accent2 8" xfId="27956" hidden="1"/>
    <cellStyle name="40% - Accent2 8" xfId="28058" hidden="1"/>
    <cellStyle name="40% - Accent2 8" xfId="28132" hidden="1"/>
    <cellStyle name="40% - Accent2 8" xfId="28208" hidden="1"/>
    <cellStyle name="40% - Accent2 8" xfId="28286" hidden="1"/>
    <cellStyle name="40% - Accent2 8" xfId="28871" hidden="1"/>
    <cellStyle name="40% - Accent2 8" xfId="28947" hidden="1"/>
    <cellStyle name="40% - Accent2 8" xfId="29026" hidden="1"/>
    <cellStyle name="40% - Accent2 8" xfId="29277" hidden="1"/>
    <cellStyle name="40% - Accent2 8" xfId="28676" hidden="1"/>
    <cellStyle name="40% - Accent2 8" xfId="28619" hidden="1"/>
    <cellStyle name="40% - Accent2 8" xfId="29466" hidden="1"/>
    <cellStyle name="40% - Accent2 8" xfId="29542" hidden="1"/>
    <cellStyle name="40% - Accent2 8" xfId="29620" hidden="1"/>
    <cellStyle name="40% - Accent2 8" xfId="29841" hidden="1"/>
    <cellStyle name="40% - Accent2 8" xfId="28634" hidden="1"/>
    <cellStyle name="40% - Accent2 8" xfId="28660" hidden="1"/>
    <cellStyle name="40% - Accent2 8" xfId="29998" hidden="1"/>
    <cellStyle name="40% - Accent2 8" xfId="30074" hidden="1"/>
    <cellStyle name="40% - Accent2 8" xfId="30152" hidden="1"/>
    <cellStyle name="40% - Accent2 8" xfId="30335" hidden="1"/>
    <cellStyle name="40% - Accent2 8" xfId="30411" hidden="1"/>
    <cellStyle name="40% - Accent2 8" xfId="30489" hidden="1"/>
    <cellStyle name="40% - Accent2 8" xfId="30672" hidden="1"/>
    <cellStyle name="40% - Accent2 8" xfId="30748" hidden="1"/>
    <cellStyle name="40% - Accent2 8" xfId="30850" hidden="1"/>
    <cellStyle name="40% - Accent2 8" xfId="30924" hidden="1"/>
    <cellStyle name="40% - Accent2 8" xfId="31000" hidden="1"/>
    <cellStyle name="40% - Accent2 8" xfId="31078" hidden="1"/>
    <cellStyle name="40% - Accent2 8" xfId="31663" hidden="1"/>
    <cellStyle name="40% - Accent2 8" xfId="31739" hidden="1"/>
    <cellStyle name="40% - Accent2 8" xfId="31818" hidden="1"/>
    <cellStyle name="40% - Accent2 8" xfId="32069" hidden="1"/>
    <cellStyle name="40% - Accent2 8" xfId="31468" hidden="1"/>
    <cellStyle name="40% - Accent2 8" xfId="31411" hidden="1"/>
    <cellStyle name="40% - Accent2 8" xfId="32258" hidden="1"/>
    <cellStyle name="40% - Accent2 8" xfId="32334" hidden="1"/>
    <cellStyle name="40% - Accent2 8" xfId="32412" hidden="1"/>
    <cellStyle name="40% - Accent2 8" xfId="32633" hidden="1"/>
    <cellStyle name="40% - Accent2 8" xfId="31426" hidden="1"/>
    <cellStyle name="40% - Accent2 8" xfId="31452" hidden="1"/>
    <cellStyle name="40% - Accent2 8" xfId="32790" hidden="1"/>
    <cellStyle name="40% - Accent2 8" xfId="32866" hidden="1"/>
    <cellStyle name="40% - Accent2 8" xfId="32944" hidden="1"/>
    <cellStyle name="40% - Accent2 8" xfId="33127" hidden="1"/>
    <cellStyle name="40% - Accent2 8" xfId="33203" hidden="1"/>
    <cellStyle name="40% - Accent2 8" xfId="33281" hidden="1"/>
    <cellStyle name="40% - Accent2 8" xfId="33464" hidden="1"/>
    <cellStyle name="40% - Accent2 8" xfId="33540" hidden="1"/>
    <cellStyle name="40% - Accent2 9" xfId="169" hidden="1"/>
    <cellStyle name="40% - Accent2 9" xfId="249" hidden="1"/>
    <cellStyle name="40% - Accent2 9" xfId="347" hidden="1"/>
    <cellStyle name="40% - Accent2 9" xfId="681" hidden="1"/>
    <cellStyle name="40% - Accent2 9" xfId="2413" hidden="1"/>
    <cellStyle name="40% - Accent2 9" xfId="2564" hidden="1"/>
    <cellStyle name="40% - Accent2 9" xfId="2754" hidden="1"/>
    <cellStyle name="40% - Accent2 9" xfId="3792" hidden="1"/>
    <cellStyle name="40% - Accent2 9" xfId="2216" hidden="1"/>
    <cellStyle name="40% - Accent2 9" xfId="1866" hidden="1"/>
    <cellStyle name="40% - Accent2 9" xfId="4349" hidden="1"/>
    <cellStyle name="40% - Accent2 9" xfId="4579" hidden="1"/>
    <cellStyle name="40% - Accent2 9" xfId="4742" hidden="1"/>
    <cellStyle name="40% - Accent2 9" xfId="5800" hidden="1"/>
    <cellStyle name="40% - Accent2 9" xfId="3096" hidden="1"/>
    <cellStyle name="40% - Accent2 9" xfId="2016" hidden="1"/>
    <cellStyle name="40% - Accent2 9" xfId="6356" hidden="1"/>
    <cellStyle name="40% - Accent2 9" xfId="6463" hidden="1"/>
    <cellStyle name="40% - Accent2 9" xfId="6660" hidden="1"/>
    <cellStyle name="40% - Accent2 9" xfId="7520" hidden="1"/>
    <cellStyle name="40% - Accent2 9" xfId="7671" hidden="1"/>
    <cellStyle name="40% - Accent2 9" xfId="7849" hidden="1"/>
    <cellStyle name="40% - Accent2 9" xfId="8764" hidden="1"/>
    <cellStyle name="40% - Accent2 9" xfId="8940" hidden="1"/>
    <cellStyle name="40% - Accent2 9" xfId="9860" hidden="1"/>
    <cellStyle name="40% - Accent2 9" xfId="9934" hidden="1"/>
    <cellStyle name="40% - Accent2 9" xfId="10010" hidden="1"/>
    <cellStyle name="40% - Accent2 9" xfId="10088" hidden="1"/>
    <cellStyle name="40% - Accent2 9" xfId="10673" hidden="1"/>
    <cellStyle name="40% - Accent2 9" xfId="10749" hidden="1"/>
    <cellStyle name="40% - Accent2 9" xfId="10828" hidden="1"/>
    <cellStyle name="40% - Accent2 9" xfId="11076" hidden="1"/>
    <cellStyle name="40% - Accent2 9" xfId="10568" hidden="1"/>
    <cellStyle name="40% - Accent2 9" xfId="10441" hidden="1"/>
    <cellStyle name="40% - Accent2 9" xfId="11268" hidden="1"/>
    <cellStyle name="40% - Accent2 9" xfId="11344" hidden="1"/>
    <cellStyle name="40% - Accent2 9" xfId="11422" hidden="1"/>
    <cellStyle name="40% - Accent2 9" xfId="11636" hidden="1"/>
    <cellStyle name="40% - Accent2 9" xfId="10921" hidden="1"/>
    <cellStyle name="40% - Accent2 9" xfId="10490" hidden="1"/>
    <cellStyle name="40% - Accent2 9" xfId="11800" hidden="1"/>
    <cellStyle name="40% - Accent2 9" xfId="11876" hidden="1"/>
    <cellStyle name="40% - Accent2 9" xfId="11954" hidden="1"/>
    <cellStyle name="40% - Accent2 9" xfId="12137" hidden="1"/>
    <cellStyle name="40% - Accent2 9" xfId="12213" hidden="1"/>
    <cellStyle name="40% - Accent2 9" xfId="12291" hidden="1"/>
    <cellStyle name="40% - Accent2 9" xfId="12474" hidden="1"/>
    <cellStyle name="40% - Accent2 9" xfId="12550" hidden="1"/>
    <cellStyle name="40% - Accent2 9" xfId="12652" hidden="1"/>
    <cellStyle name="40% - Accent2 9" xfId="12726" hidden="1"/>
    <cellStyle name="40% - Accent2 9" xfId="12802" hidden="1"/>
    <cellStyle name="40% - Accent2 9" xfId="12880" hidden="1"/>
    <cellStyle name="40% - Accent2 9" xfId="13465" hidden="1"/>
    <cellStyle name="40% - Accent2 9" xfId="13541" hidden="1"/>
    <cellStyle name="40% - Accent2 9" xfId="13620" hidden="1"/>
    <cellStyle name="40% - Accent2 9" xfId="13868" hidden="1"/>
    <cellStyle name="40% - Accent2 9" xfId="13360" hidden="1"/>
    <cellStyle name="40% - Accent2 9" xfId="13233" hidden="1"/>
    <cellStyle name="40% - Accent2 9" xfId="14060" hidden="1"/>
    <cellStyle name="40% - Accent2 9" xfId="14136" hidden="1"/>
    <cellStyle name="40% - Accent2 9" xfId="14214" hidden="1"/>
    <cellStyle name="40% - Accent2 9" xfId="14428" hidden="1"/>
    <cellStyle name="40% - Accent2 9" xfId="13713" hidden="1"/>
    <cellStyle name="40% - Accent2 9" xfId="13282" hidden="1"/>
    <cellStyle name="40% - Accent2 9" xfId="14592" hidden="1"/>
    <cellStyle name="40% - Accent2 9" xfId="14668" hidden="1"/>
    <cellStyle name="40% - Accent2 9" xfId="14746" hidden="1"/>
    <cellStyle name="40% - Accent2 9" xfId="14929" hidden="1"/>
    <cellStyle name="40% - Accent2 9" xfId="15005" hidden="1"/>
    <cellStyle name="40% - Accent2 9" xfId="15083" hidden="1"/>
    <cellStyle name="40% - Accent2 9" xfId="15266" hidden="1"/>
    <cellStyle name="40% - Accent2 9" xfId="15342" hidden="1"/>
    <cellStyle name="40% - Accent2 9" xfId="9595" hidden="1"/>
    <cellStyle name="40% - Accent2 9" xfId="9485" hidden="1"/>
    <cellStyle name="40% - Accent2 9" xfId="9367" hidden="1"/>
    <cellStyle name="40% - Accent2 9" xfId="9259" hidden="1"/>
    <cellStyle name="40% - Accent2 9" xfId="6998" hidden="1"/>
    <cellStyle name="40% - Accent2 9" xfId="6911" hidden="1"/>
    <cellStyle name="40% - Accent2 9" xfId="6817" hidden="1"/>
    <cellStyle name="40% - Accent2 9" xfId="5730" hidden="1"/>
    <cellStyle name="40% - Accent2 9" xfId="7358" hidden="1"/>
    <cellStyle name="40% - Accent2 9" xfId="7819" hidden="1"/>
    <cellStyle name="40% - Accent2 9" xfId="4859" hidden="1"/>
    <cellStyle name="40% - Accent2 9" xfId="4689" hidden="1"/>
    <cellStyle name="40% - Accent2 9" xfId="4469" hidden="1"/>
    <cellStyle name="40% - Accent2 9" xfId="3647" hidden="1"/>
    <cellStyle name="40% - Accent2 9" xfId="6416" hidden="1"/>
    <cellStyle name="40% - Accent2 9" xfId="7601" hidden="1"/>
    <cellStyle name="40% - Accent2 9" xfId="2741" hidden="1"/>
    <cellStyle name="40% - Accent2 9" xfId="2520" hidden="1"/>
    <cellStyle name="40% - Accent2 9" xfId="2346" hidden="1"/>
    <cellStyle name="40% - Accent2 9" xfId="1387" hidden="1"/>
    <cellStyle name="40% - Accent2 9" xfId="1198" hidden="1"/>
    <cellStyle name="40% - Accent2 9" xfId="1049" hidden="1"/>
    <cellStyle name="40% - Accent2 9" xfId="15403" hidden="1"/>
    <cellStyle name="40% - Accent2 9" xfId="15515" hidden="1"/>
    <cellStyle name="40% - Accent2 9" xfId="16201" hidden="1"/>
    <cellStyle name="40% - Accent2 9" xfId="16275" hidden="1"/>
    <cellStyle name="40% - Accent2 9" xfId="16351" hidden="1"/>
    <cellStyle name="40% - Accent2 9" xfId="16429" hidden="1"/>
    <cellStyle name="40% - Accent2 9" xfId="17014" hidden="1"/>
    <cellStyle name="40% - Accent2 9" xfId="17090" hidden="1"/>
    <cellStyle name="40% - Accent2 9" xfId="17169" hidden="1"/>
    <cellStyle name="40% - Accent2 9" xfId="17417" hidden="1"/>
    <cellStyle name="40% - Accent2 9" xfId="16909" hidden="1"/>
    <cellStyle name="40% - Accent2 9" xfId="16782" hidden="1"/>
    <cellStyle name="40% - Accent2 9" xfId="17609" hidden="1"/>
    <cellStyle name="40% - Accent2 9" xfId="17685" hidden="1"/>
    <cellStyle name="40% - Accent2 9" xfId="17763" hidden="1"/>
    <cellStyle name="40% - Accent2 9" xfId="17977" hidden="1"/>
    <cellStyle name="40% - Accent2 9" xfId="17262" hidden="1"/>
    <cellStyle name="40% - Accent2 9" xfId="16831" hidden="1"/>
    <cellStyle name="40% - Accent2 9" xfId="18141" hidden="1"/>
    <cellStyle name="40% - Accent2 9" xfId="18217" hidden="1"/>
    <cellStyle name="40% - Accent2 9" xfId="18295" hidden="1"/>
    <cellStyle name="40% - Accent2 9" xfId="18478" hidden="1"/>
    <cellStyle name="40% - Accent2 9" xfId="18554" hidden="1"/>
    <cellStyle name="40% - Accent2 9" xfId="18632" hidden="1"/>
    <cellStyle name="40% - Accent2 9" xfId="18815" hidden="1"/>
    <cellStyle name="40% - Accent2 9" xfId="18891" hidden="1"/>
    <cellStyle name="40% - Accent2 9" xfId="18993" hidden="1"/>
    <cellStyle name="40% - Accent2 9" xfId="19067" hidden="1"/>
    <cellStyle name="40% - Accent2 9" xfId="19143" hidden="1"/>
    <cellStyle name="40% - Accent2 9" xfId="19221" hidden="1"/>
    <cellStyle name="40% - Accent2 9" xfId="19806" hidden="1"/>
    <cellStyle name="40% - Accent2 9" xfId="19882" hidden="1"/>
    <cellStyle name="40% - Accent2 9" xfId="19961" hidden="1"/>
    <cellStyle name="40% - Accent2 9" xfId="20209" hidden="1"/>
    <cellStyle name="40% - Accent2 9" xfId="19701" hidden="1"/>
    <cellStyle name="40% - Accent2 9" xfId="19574" hidden="1"/>
    <cellStyle name="40% - Accent2 9" xfId="20401" hidden="1"/>
    <cellStyle name="40% - Accent2 9" xfId="20477" hidden="1"/>
    <cellStyle name="40% - Accent2 9" xfId="20555" hidden="1"/>
    <cellStyle name="40% - Accent2 9" xfId="20769" hidden="1"/>
    <cellStyle name="40% - Accent2 9" xfId="20054" hidden="1"/>
    <cellStyle name="40% - Accent2 9" xfId="19623" hidden="1"/>
    <cellStyle name="40% - Accent2 9" xfId="20933" hidden="1"/>
    <cellStyle name="40% - Accent2 9" xfId="21009" hidden="1"/>
    <cellStyle name="40% - Accent2 9" xfId="21087" hidden="1"/>
    <cellStyle name="40% - Accent2 9" xfId="21270" hidden="1"/>
    <cellStyle name="40% - Accent2 9" xfId="21346" hidden="1"/>
    <cellStyle name="40% - Accent2 9" xfId="21424" hidden="1"/>
    <cellStyle name="40% - Accent2 9" xfId="21607" hidden="1"/>
    <cellStyle name="40% - Accent2 9" xfId="21683" hidden="1"/>
    <cellStyle name="40% - Accent2 9" xfId="15990" hidden="1"/>
    <cellStyle name="40% - Accent2 9" xfId="15916" hidden="1"/>
    <cellStyle name="40% - Accent2 9" xfId="15836" hidden="1"/>
    <cellStyle name="40% - Accent2 9" xfId="15753" hidden="1"/>
    <cellStyle name="40% - Accent2 9" xfId="7977" hidden="1"/>
    <cellStyle name="40% - Accent2 9" xfId="7776" hidden="1"/>
    <cellStyle name="40% - Accent2 9" xfId="7510" hidden="1"/>
    <cellStyle name="40% - Accent2 9" xfId="6227" hidden="1"/>
    <cellStyle name="40% - Accent2 9" xfId="8211" hidden="1"/>
    <cellStyle name="40% - Accent2 9" xfId="8710" hidden="1"/>
    <cellStyle name="40% - Accent2 9" xfId="5299" hidden="1"/>
    <cellStyle name="40% - Accent2 9" xfId="5097" hidden="1"/>
    <cellStyle name="40% - Accent2 9" xfId="4994" hidden="1"/>
    <cellStyle name="40% - Accent2 9" xfId="3839" hidden="1"/>
    <cellStyle name="40% - Accent2 9" xfId="7161" hidden="1"/>
    <cellStyle name="40% - Accent2 9" xfId="8480" hidden="1"/>
    <cellStyle name="40% - Accent2 9" xfId="3050" hidden="1"/>
    <cellStyle name="40% - Accent2 9" xfId="2908" hidden="1"/>
    <cellStyle name="40% - Accent2 9" xfId="2713" hidden="1"/>
    <cellStyle name="40% - Accent2 9" xfId="1539" hidden="1"/>
    <cellStyle name="40% - Accent2 9" xfId="1373" hidden="1"/>
    <cellStyle name="40% - Accent2 9" xfId="1120" hidden="1"/>
    <cellStyle name="40% - Accent2 9" xfId="21743" hidden="1"/>
    <cellStyle name="40% - Accent2 9" xfId="21822" hidden="1"/>
    <cellStyle name="40% - Accent2 9" xfId="22352" hidden="1"/>
    <cellStyle name="40% - Accent2 9" xfId="22426" hidden="1"/>
    <cellStyle name="40% - Accent2 9" xfId="22502" hidden="1"/>
    <cellStyle name="40% - Accent2 9" xfId="22580" hidden="1"/>
    <cellStyle name="40% - Accent2 9" xfId="23165" hidden="1"/>
    <cellStyle name="40% - Accent2 9" xfId="23241" hidden="1"/>
    <cellStyle name="40% - Accent2 9" xfId="23320" hidden="1"/>
    <cellStyle name="40% - Accent2 9" xfId="23568" hidden="1"/>
    <cellStyle name="40% - Accent2 9" xfId="23060" hidden="1"/>
    <cellStyle name="40% - Accent2 9" xfId="22933" hidden="1"/>
    <cellStyle name="40% - Accent2 9" xfId="23760" hidden="1"/>
    <cellStyle name="40% - Accent2 9" xfId="23836" hidden="1"/>
    <cellStyle name="40% - Accent2 9" xfId="23914" hidden="1"/>
    <cellStyle name="40% - Accent2 9" xfId="24128" hidden="1"/>
    <cellStyle name="40% - Accent2 9" xfId="23413" hidden="1"/>
    <cellStyle name="40% - Accent2 9" xfId="22982" hidden="1"/>
    <cellStyle name="40% - Accent2 9" xfId="24292" hidden="1"/>
    <cellStyle name="40% - Accent2 9" xfId="24368" hidden="1"/>
    <cellStyle name="40% - Accent2 9" xfId="24446" hidden="1"/>
    <cellStyle name="40% - Accent2 9" xfId="24629" hidden="1"/>
    <cellStyle name="40% - Accent2 9" xfId="24705" hidden="1"/>
    <cellStyle name="40% - Accent2 9" xfId="24783" hidden="1"/>
    <cellStyle name="40% - Accent2 9" xfId="24966" hidden="1"/>
    <cellStyle name="40% - Accent2 9" xfId="25042" hidden="1"/>
    <cellStyle name="40% - Accent2 9" xfId="25144" hidden="1"/>
    <cellStyle name="40% - Accent2 9" xfId="25218" hidden="1"/>
    <cellStyle name="40% - Accent2 9" xfId="25294" hidden="1"/>
    <cellStyle name="40% - Accent2 9" xfId="25372" hidden="1"/>
    <cellStyle name="40% - Accent2 9" xfId="25957" hidden="1"/>
    <cellStyle name="40% - Accent2 9" xfId="26033" hidden="1"/>
    <cellStyle name="40% - Accent2 9" xfId="26112" hidden="1"/>
    <cellStyle name="40% - Accent2 9" xfId="26360" hidden="1"/>
    <cellStyle name="40% - Accent2 9" xfId="25852" hidden="1"/>
    <cellStyle name="40% - Accent2 9" xfId="25725" hidden="1"/>
    <cellStyle name="40% - Accent2 9" xfId="26552" hidden="1"/>
    <cellStyle name="40% - Accent2 9" xfId="26628" hidden="1"/>
    <cellStyle name="40% - Accent2 9" xfId="26706" hidden="1"/>
    <cellStyle name="40% - Accent2 9" xfId="26920" hidden="1"/>
    <cellStyle name="40% - Accent2 9" xfId="26205" hidden="1"/>
    <cellStyle name="40% - Accent2 9" xfId="25774" hidden="1"/>
    <cellStyle name="40% - Accent2 9" xfId="27084" hidden="1"/>
    <cellStyle name="40% - Accent2 9" xfId="27160" hidden="1"/>
    <cellStyle name="40% - Accent2 9" xfId="27238" hidden="1"/>
    <cellStyle name="40% - Accent2 9" xfId="27421" hidden="1"/>
    <cellStyle name="40% - Accent2 9" xfId="27497" hidden="1"/>
    <cellStyle name="40% - Accent2 9" xfId="27575" hidden="1"/>
    <cellStyle name="40% - Accent2 9" xfId="27758" hidden="1"/>
    <cellStyle name="40% - Accent2 9" xfId="27834" hidden="1"/>
    <cellStyle name="40% - Accent2 9" xfId="22243" hidden="1"/>
    <cellStyle name="40% - Accent2 9" xfId="22169" hidden="1"/>
    <cellStyle name="40% - Accent2 9" xfId="22089" hidden="1"/>
    <cellStyle name="40% - Accent2 9" xfId="22006" hidden="1"/>
    <cellStyle name="40% - Accent2 9" xfId="8882" hidden="1"/>
    <cellStyle name="40% - Accent2 9" xfId="8677" hidden="1"/>
    <cellStyle name="40% - Accent2 9" xfId="8443" hidden="1"/>
    <cellStyle name="40% - Accent2 9" xfId="6759" hidden="1"/>
    <cellStyle name="40% - Accent2 9" xfId="9280" hidden="1"/>
    <cellStyle name="40% - Accent2 9" xfId="9778" hidden="1"/>
    <cellStyle name="40% - Accent2 9" xfId="5854" hidden="1"/>
    <cellStyle name="40% - Accent2 9" xfId="5607" hidden="1"/>
    <cellStyle name="40% - Accent2 9" xfId="5510" hidden="1"/>
    <cellStyle name="40% - Accent2 9" xfId="4015" hidden="1"/>
    <cellStyle name="40% - Accent2 9" xfId="8083" hidden="1"/>
    <cellStyle name="40% - Accent2 9" xfId="9531" hidden="1"/>
    <cellStyle name="40% - Accent2 9" xfId="3371" hidden="1"/>
    <cellStyle name="40% - Accent2 9" xfId="3177" hidden="1"/>
    <cellStyle name="40% - Accent2 9" xfId="3037" hidden="1"/>
    <cellStyle name="40% - Accent2 9" xfId="1666" hidden="1"/>
    <cellStyle name="40% - Accent2 9" xfId="1535" hidden="1"/>
    <cellStyle name="40% - Accent2 9" xfId="1264" hidden="1"/>
    <cellStyle name="40% - Accent2 9" xfId="27893" hidden="1"/>
    <cellStyle name="40% - Accent2 9" xfId="27969" hidden="1"/>
    <cellStyle name="40% - Accent2 9" xfId="28071" hidden="1"/>
    <cellStyle name="40% - Accent2 9" xfId="28145" hidden="1"/>
    <cellStyle name="40% - Accent2 9" xfId="28221" hidden="1"/>
    <cellStyle name="40% - Accent2 9" xfId="28299" hidden="1"/>
    <cellStyle name="40% - Accent2 9" xfId="28884" hidden="1"/>
    <cellStyle name="40% - Accent2 9" xfId="28960" hidden="1"/>
    <cellStyle name="40% - Accent2 9" xfId="29039" hidden="1"/>
    <cellStyle name="40% - Accent2 9" xfId="29287" hidden="1"/>
    <cellStyle name="40% - Accent2 9" xfId="28779" hidden="1"/>
    <cellStyle name="40% - Accent2 9" xfId="28652" hidden="1"/>
    <cellStyle name="40% - Accent2 9" xfId="29479" hidden="1"/>
    <cellStyle name="40% - Accent2 9" xfId="29555" hidden="1"/>
    <cellStyle name="40% - Accent2 9" xfId="29633" hidden="1"/>
    <cellStyle name="40% - Accent2 9" xfId="29847" hidden="1"/>
    <cellStyle name="40% - Accent2 9" xfId="29132" hidden="1"/>
    <cellStyle name="40% - Accent2 9" xfId="28701" hidden="1"/>
    <cellStyle name="40% - Accent2 9" xfId="30011" hidden="1"/>
    <cellStyle name="40% - Accent2 9" xfId="30087" hidden="1"/>
    <cellStyle name="40% - Accent2 9" xfId="30165" hidden="1"/>
    <cellStyle name="40% - Accent2 9" xfId="30348" hidden="1"/>
    <cellStyle name="40% - Accent2 9" xfId="30424" hidden="1"/>
    <cellStyle name="40% - Accent2 9" xfId="30502" hidden="1"/>
    <cellStyle name="40% - Accent2 9" xfId="30685" hidden="1"/>
    <cellStyle name="40% - Accent2 9" xfId="30761" hidden="1"/>
    <cellStyle name="40% - Accent2 9" xfId="30863" hidden="1"/>
    <cellStyle name="40% - Accent2 9" xfId="30937" hidden="1"/>
    <cellStyle name="40% - Accent2 9" xfId="31013" hidden="1"/>
    <cellStyle name="40% - Accent2 9" xfId="31091" hidden="1"/>
    <cellStyle name="40% - Accent2 9" xfId="31676" hidden="1"/>
    <cellStyle name="40% - Accent2 9" xfId="31752" hidden="1"/>
    <cellStyle name="40% - Accent2 9" xfId="31831" hidden="1"/>
    <cellStyle name="40% - Accent2 9" xfId="32079" hidden="1"/>
    <cellStyle name="40% - Accent2 9" xfId="31571" hidden="1"/>
    <cellStyle name="40% - Accent2 9" xfId="31444" hidden="1"/>
    <cellStyle name="40% - Accent2 9" xfId="32271" hidden="1"/>
    <cellStyle name="40% - Accent2 9" xfId="32347" hidden="1"/>
    <cellStyle name="40% - Accent2 9" xfId="32425" hidden="1"/>
    <cellStyle name="40% - Accent2 9" xfId="32639" hidden="1"/>
    <cellStyle name="40% - Accent2 9" xfId="31924" hidden="1"/>
    <cellStyle name="40% - Accent2 9" xfId="31493" hidden="1"/>
    <cellStyle name="40% - Accent2 9" xfId="32803" hidden="1"/>
    <cellStyle name="40% - Accent2 9" xfId="32879" hidden="1"/>
    <cellStyle name="40% - Accent2 9" xfId="32957" hidden="1"/>
    <cellStyle name="40% - Accent2 9" xfId="33140" hidden="1"/>
    <cellStyle name="40% - Accent2 9" xfId="33216" hidden="1"/>
    <cellStyle name="40% - Accent2 9" xfId="33294" hidden="1"/>
    <cellStyle name="40% - Accent2 9" xfId="33477" hidden="1"/>
    <cellStyle name="40% - Accent2 9" xfId="33553" hidden="1"/>
    <cellStyle name="40% - Accent3" xfId="32" builtinId="39" hidden="1"/>
    <cellStyle name="40% - Accent3" xfId="76" builtinId="39" hidden="1" customBuiltin="1"/>
    <cellStyle name="40% - Accent3 10" xfId="171" hidden="1"/>
    <cellStyle name="40% - Accent3 10" xfId="251" hidden="1"/>
    <cellStyle name="40% - Accent3 10" xfId="351" hidden="1"/>
    <cellStyle name="40% - Accent3 10" xfId="685" hidden="1"/>
    <cellStyle name="40% - Accent3 10" xfId="2415" hidden="1"/>
    <cellStyle name="40% - Accent3 10" xfId="2566" hidden="1"/>
    <cellStyle name="40% - Accent3 10" xfId="2756" hidden="1"/>
    <cellStyle name="40% - Accent3 10" xfId="3808" hidden="1"/>
    <cellStyle name="40% - Accent3 10" xfId="1899" hidden="1"/>
    <cellStyle name="40% - Accent3 10" xfId="2057" hidden="1"/>
    <cellStyle name="40% - Accent3 10" xfId="4353" hidden="1"/>
    <cellStyle name="40% - Accent3 10" xfId="4581" hidden="1"/>
    <cellStyle name="40% - Accent3 10" xfId="4745" hidden="1"/>
    <cellStyle name="40% - Accent3 10" xfId="5831" hidden="1"/>
    <cellStyle name="40% - Accent3 10" xfId="3113" hidden="1"/>
    <cellStyle name="40% - Accent3 10" xfId="2068" hidden="1"/>
    <cellStyle name="40% - Accent3 10" xfId="6359" hidden="1"/>
    <cellStyle name="40% - Accent3 10" xfId="6465" hidden="1"/>
    <cellStyle name="40% - Accent3 10" xfId="6662" hidden="1"/>
    <cellStyle name="40% - Accent3 10" xfId="7523" hidden="1"/>
    <cellStyle name="40% - Accent3 10" xfId="7674" hidden="1"/>
    <cellStyle name="40% - Accent3 10" xfId="7852" hidden="1"/>
    <cellStyle name="40% - Accent3 10" xfId="8766" hidden="1"/>
    <cellStyle name="40% - Accent3 10" xfId="8943" hidden="1"/>
    <cellStyle name="40% - Accent3 10" xfId="9862" hidden="1"/>
    <cellStyle name="40% - Accent3 10" xfId="9936" hidden="1"/>
    <cellStyle name="40% - Accent3 10" xfId="10012" hidden="1"/>
    <cellStyle name="40% - Accent3 10" xfId="10090" hidden="1"/>
    <cellStyle name="40% - Accent3 10" xfId="10675" hidden="1"/>
    <cellStyle name="40% - Accent3 10" xfId="10751" hidden="1"/>
    <cellStyle name="40% - Accent3 10" xfId="10830" hidden="1"/>
    <cellStyle name="40% - Accent3 10" xfId="11088" hidden="1"/>
    <cellStyle name="40% - Accent3 10" xfId="10468" hidden="1"/>
    <cellStyle name="40% - Accent3 10" xfId="10522" hidden="1"/>
    <cellStyle name="40% - Accent3 10" xfId="11270" hidden="1"/>
    <cellStyle name="40% - Accent3 10" xfId="11346" hidden="1"/>
    <cellStyle name="40% - Accent3 10" xfId="11424" hidden="1"/>
    <cellStyle name="40% - Accent3 10" xfId="11646" hidden="1"/>
    <cellStyle name="40% - Accent3 10" xfId="10929" hidden="1"/>
    <cellStyle name="40% - Accent3 10" xfId="10530" hidden="1"/>
    <cellStyle name="40% - Accent3 10" xfId="11802" hidden="1"/>
    <cellStyle name="40% - Accent3 10" xfId="11878" hidden="1"/>
    <cellStyle name="40% - Accent3 10" xfId="11956" hidden="1"/>
    <cellStyle name="40% - Accent3 10" xfId="12139" hidden="1"/>
    <cellStyle name="40% - Accent3 10" xfId="12215" hidden="1"/>
    <cellStyle name="40% - Accent3 10" xfId="12293" hidden="1"/>
    <cellStyle name="40% - Accent3 10" xfId="12476" hidden="1"/>
    <cellStyle name="40% - Accent3 10" xfId="12552" hidden="1"/>
    <cellStyle name="40% - Accent3 10" xfId="12654" hidden="1"/>
    <cellStyle name="40% - Accent3 10" xfId="12728" hidden="1"/>
    <cellStyle name="40% - Accent3 10" xfId="12804" hidden="1"/>
    <cellStyle name="40% - Accent3 10" xfId="12882" hidden="1"/>
    <cellStyle name="40% - Accent3 10" xfId="13467" hidden="1"/>
    <cellStyle name="40% - Accent3 10" xfId="13543" hidden="1"/>
    <cellStyle name="40% - Accent3 10" xfId="13622" hidden="1"/>
    <cellStyle name="40% - Accent3 10" xfId="13880" hidden="1"/>
    <cellStyle name="40% - Accent3 10" xfId="13260" hidden="1"/>
    <cellStyle name="40% - Accent3 10" xfId="13314" hidden="1"/>
    <cellStyle name="40% - Accent3 10" xfId="14062" hidden="1"/>
    <cellStyle name="40% - Accent3 10" xfId="14138" hidden="1"/>
    <cellStyle name="40% - Accent3 10" xfId="14216" hidden="1"/>
    <cellStyle name="40% - Accent3 10" xfId="14438" hidden="1"/>
    <cellStyle name="40% - Accent3 10" xfId="13721" hidden="1"/>
    <cellStyle name="40% - Accent3 10" xfId="13322" hidden="1"/>
    <cellStyle name="40% - Accent3 10" xfId="14594" hidden="1"/>
    <cellStyle name="40% - Accent3 10" xfId="14670" hidden="1"/>
    <cellStyle name="40% - Accent3 10" xfId="14748" hidden="1"/>
    <cellStyle name="40% - Accent3 10" xfId="14931" hidden="1"/>
    <cellStyle name="40% - Accent3 10" xfId="15007" hidden="1"/>
    <cellStyle name="40% - Accent3 10" xfId="15085" hidden="1"/>
    <cellStyle name="40% - Accent3 10" xfId="15268" hidden="1"/>
    <cellStyle name="40% - Accent3 10" xfId="15344" hidden="1"/>
    <cellStyle name="40% - Accent3 10" xfId="9593" hidden="1"/>
    <cellStyle name="40% - Accent3 10" xfId="9482" hidden="1"/>
    <cellStyle name="40% - Accent3 10" xfId="9365" hidden="1"/>
    <cellStyle name="40% - Accent3 10" xfId="9256" hidden="1"/>
    <cellStyle name="40% - Accent3 10" xfId="6995" hidden="1"/>
    <cellStyle name="40% - Accent3 10" xfId="6909" hidden="1"/>
    <cellStyle name="40% - Accent3 10" xfId="6815" hidden="1"/>
    <cellStyle name="40% - Accent3 10" xfId="5665" hidden="1"/>
    <cellStyle name="40% - Accent3 10" xfId="7683" hidden="1"/>
    <cellStyle name="40% - Accent3 10" xfId="7451" hidden="1"/>
    <cellStyle name="40% - Accent3 10" xfId="4856" hidden="1"/>
    <cellStyle name="40% - Accent3 10" xfId="4687" hidden="1"/>
    <cellStyle name="40% - Accent3 10" xfId="4465" hidden="1"/>
    <cellStyle name="40% - Accent3 10" xfId="3637" hidden="1"/>
    <cellStyle name="40% - Accent3 10" xfId="6379" hidden="1"/>
    <cellStyle name="40% - Accent3 10" xfId="7433" hidden="1"/>
    <cellStyle name="40% - Accent3 10" xfId="2739" hidden="1"/>
    <cellStyle name="40% - Accent3 10" xfId="2518" hidden="1"/>
    <cellStyle name="40% - Accent3 10" xfId="2344" hidden="1"/>
    <cellStyle name="40% - Accent3 10" xfId="1384" hidden="1"/>
    <cellStyle name="40% - Accent3 10" xfId="1195" hidden="1"/>
    <cellStyle name="40% - Accent3 10" xfId="959" hidden="1"/>
    <cellStyle name="40% - Accent3 10" xfId="15405" hidden="1"/>
    <cellStyle name="40% - Accent3 10" xfId="15517" hidden="1"/>
    <cellStyle name="40% - Accent3 10" xfId="16203" hidden="1"/>
    <cellStyle name="40% - Accent3 10" xfId="16277" hidden="1"/>
    <cellStyle name="40% - Accent3 10" xfId="16353" hidden="1"/>
    <cellStyle name="40% - Accent3 10" xfId="16431" hidden="1"/>
    <cellStyle name="40% - Accent3 10" xfId="17016" hidden="1"/>
    <cellStyle name="40% - Accent3 10" xfId="17092" hidden="1"/>
    <cellStyle name="40% - Accent3 10" xfId="17171" hidden="1"/>
    <cellStyle name="40% - Accent3 10" xfId="17429" hidden="1"/>
    <cellStyle name="40% - Accent3 10" xfId="16809" hidden="1"/>
    <cellStyle name="40% - Accent3 10" xfId="16863" hidden="1"/>
    <cellStyle name="40% - Accent3 10" xfId="17611" hidden="1"/>
    <cellStyle name="40% - Accent3 10" xfId="17687" hidden="1"/>
    <cellStyle name="40% - Accent3 10" xfId="17765" hidden="1"/>
    <cellStyle name="40% - Accent3 10" xfId="17987" hidden="1"/>
    <cellStyle name="40% - Accent3 10" xfId="17270" hidden="1"/>
    <cellStyle name="40% - Accent3 10" xfId="16871" hidden="1"/>
    <cellStyle name="40% - Accent3 10" xfId="18143" hidden="1"/>
    <cellStyle name="40% - Accent3 10" xfId="18219" hidden="1"/>
    <cellStyle name="40% - Accent3 10" xfId="18297" hidden="1"/>
    <cellStyle name="40% - Accent3 10" xfId="18480" hidden="1"/>
    <cellStyle name="40% - Accent3 10" xfId="18556" hidden="1"/>
    <cellStyle name="40% - Accent3 10" xfId="18634" hidden="1"/>
    <cellStyle name="40% - Accent3 10" xfId="18817" hidden="1"/>
    <cellStyle name="40% - Accent3 10" xfId="18893" hidden="1"/>
    <cellStyle name="40% - Accent3 10" xfId="18995" hidden="1"/>
    <cellStyle name="40% - Accent3 10" xfId="19069" hidden="1"/>
    <cellStyle name="40% - Accent3 10" xfId="19145" hidden="1"/>
    <cellStyle name="40% - Accent3 10" xfId="19223" hidden="1"/>
    <cellStyle name="40% - Accent3 10" xfId="19808" hidden="1"/>
    <cellStyle name="40% - Accent3 10" xfId="19884" hidden="1"/>
    <cellStyle name="40% - Accent3 10" xfId="19963" hidden="1"/>
    <cellStyle name="40% - Accent3 10" xfId="20221" hidden="1"/>
    <cellStyle name="40% - Accent3 10" xfId="19601" hidden="1"/>
    <cellStyle name="40% - Accent3 10" xfId="19655" hidden="1"/>
    <cellStyle name="40% - Accent3 10" xfId="20403" hidden="1"/>
    <cellStyle name="40% - Accent3 10" xfId="20479" hidden="1"/>
    <cellStyle name="40% - Accent3 10" xfId="20557" hidden="1"/>
    <cellStyle name="40% - Accent3 10" xfId="20779" hidden="1"/>
    <cellStyle name="40% - Accent3 10" xfId="20062" hidden="1"/>
    <cellStyle name="40% - Accent3 10" xfId="19663" hidden="1"/>
    <cellStyle name="40% - Accent3 10" xfId="20935" hidden="1"/>
    <cellStyle name="40% - Accent3 10" xfId="21011" hidden="1"/>
    <cellStyle name="40% - Accent3 10" xfId="21089" hidden="1"/>
    <cellStyle name="40% - Accent3 10" xfId="21272" hidden="1"/>
    <cellStyle name="40% - Accent3 10" xfId="21348" hidden="1"/>
    <cellStyle name="40% - Accent3 10" xfId="21426" hidden="1"/>
    <cellStyle name="40% - Accent3 10" xfId="21609" hidden="1"/>
    <cellStyle name="40% - Accent3 10" xfId="21685" hidden="1"/>
    <cellStyle name="40% - Accent3 10" xfId="15988" hidden="1"/>
    <cellStyle name="40% - Accent3 10" xfId="15914" hidden="1"/>
    <cellStyle name="40% - Accent3 10" xfId="15834" hidden="1"/>
    <cellStyle name="40% - Accent3 10" xfId="15751" hidden="1"/>
    <cellStyle name="40% - Accent3 10" xfId="7975" hidden="1"/>
    <cellStyle name="40% - Accent3 10" xfId="7773" hidden="1"/>
    <cellStyle name="40% - Accent3 10" xfId="7506" hidden="1"/>
    <cellStyle name="40% - Accent3 10" xfId="6160" hidden="1"/>
    <cellStyle name="40% - Accent3 10" xfId="8522" hidden="1"/>
    <cellStyle name="40% - Accent3 10" xfId="8395" hidden="1"/>
    <cellStyle name="40% - Accent3 10" xfId="5296" hidden="1"/>
    <cellStyle name="40% - Accent3 10" xfId="5095" hidden="1"/>
    <cellStyle name="40% - Accent3 10" xfId="4992" hidden="1"/>
    <cellStyle name="40% - Accent3 10" xfId="3818" hidden="1"/>
    <cellStyle name="40% - Accent3 10" xfId="7047" hidden="1"/>
    <cellStyle name="40% - Accent3 10" xfId="8382" hidden="1"/>
    <cellStyle name="40% - Accent3 10" xfId="3048" hidden="1"/>
    <cellStyle name="40% - Accent3 10" xfId="2906" hidden="1"/>
    <cellStyle name="40% - Accent3 10" xfId="2708" hidden="1"/>
    <cellStyle name="40% - Accent3 10" xfId="1536" hidden="1"/>
    <cellStyle name="40% - Accent3 10" xfId="1371" hidden="1"/>
    <cellStyle name="40% - Accent3 10" xfId="1117" hidden="1"/>
    <cellStyle name="40% - Accent3 10" xfId="21745" hidden="1"/>
    <cellStyle name="40% - Accent3 10" xfId="21824" hidden="1"/>
    <cellStyle name="40% - Accent3 10" xfId="22354" hidden="1"/>
    <cellStyle name="40% - Accent3 10" xfId="22428" hidden="1"/>
    <cellStyle name="40% - Accent3 10" xfId="22504" hidden="1"/>
    <cellStyle name="40% - Accent3 10" xfId="22582" hidden="1"/>
    <cellStyle name="40% - Accent3 10" xfId="23167" hidden="1"/>
    <cellStyle name="40% - Accent3 10" xfId="23243" hidden="1"/>
    <cellStyle name="40% - Accent3 10" xfId="23322" hidden="1"/>
    <cellStyle name="40% - Accent3 10" xfId="23580" hidden="1"/>
    <cellStyle name="40% - Accent3 10" xfId="22960" hidden="1"/>
    <cellStyle name="40% - Accent3 10" xfId="23014" hidden="1"/>
    <cellStyle name="40% - Accent3 10" xfId="23762" hidden="1"/>
    <cellStyle name="40% - Accent3 10" xfId="23838" hidden="1"/>
    <cellStyle name="40% - Accent3 10" xfId="23916" hidden="1"/>
    <cellStyle name="40% - Accent3 10" xfId="24138" hidden="1"/>
    <cellStyle name="40% - Accent3 10" xfId="23421" hidden="1"/>
    <cellStyle name="40% - Accent3 10" xfId="23022" hidden="1"/>
    <cellStyle name="40% - Accent3 10" xfId="24294" hidden="1"/>
    <cellStyle name="40% - Accent3 10" xfId="24370" hidden="1"/>
    <cellStyle name="40% - Accent3 10" xfId="24448" hidden="1"/>
    <cellStyle name="40% - Accent3 10" xfId="24631" hidden="1"/>
    <cellStyle name="40% - Accent3 10" xfId="24707" hidden="1"/>
    <cellStyle name="40% - Accent3 10" xfId="24785" hidden="1"/>
    <cellStyle name="40% - Accent3 10" xfId="24968" hidden="1"/>
    <cellStyle name="40% - Accent3 10" xfId="25044" hidden="1"/>
    <cellStyle name="40% - Accent3 10" xfId="25146" hidden="1"/>
    <cellStyle name="40% - Accent3 10" xfId="25220" hidden="1"/>
    <cellStyle name="40% - Accent3 10" xfId="25296" hidden="1"/>
    <cellStyle name="40% - Accent3 10" xfId="25374" hidden="1"/>
    <cellStyle name="40% - Accent3 10" xfId="25959" hidden="1"/>
    <cellStyle name="40% - Accent3 10" xfId="26035" hidden="1"/>
    <cellStyle name="40% - Accent3 10" xfId="26114" hidden="1"/>
    <cellStyle name="40% - Accent3 10" xfId="26372" hidden="1"/>
    <cellStyle name="40% - Accent3 10" xfId="25752" hidden="1"/>
    <cellStyle name="40% - Accent3 10" xfId="25806" hidden="1"/>
    <cellStyle name="40% - Accent3 10" xfId="26554" hidden="1"/>
    <cellStyle name="40% - Accent3 10" xfId="26630" hidden="1"/>
    <cellStyle name="40% - Accent3 10" xfId="26708" hidden="1"/>
    <cellStyle name="40% - Accent3 10" xfId="26930" hidden="1"/>
    <cellStyle name="40% - Accent3 10" xfId="26213" hidden="1"/>
    <cellStyle name="40% - Accent3 10" xfId="25814" hidden="1"/>
    <cellStyle name="40% - Accent3 10" xfId="27086" hidden="1"/>
    <cellStyle name="40% - Accent3 10" xfId="27162" hidden="1"/>
    <cellStyle name="40% - Accent3 10" xfId="27240" hidden="1"/>
    <cellStyle name="40% - Accent3 10" xfId="27423" hidden="1"/>
    <cellStyle name="40% - Accent3 10" xfId="27499" hidden="1"/>
    <cellStyle name="40% - Accent3 10" xfId="27577" hidden="1"/>
    <cellStyle name="40% - Accent3 10" xfId="27760" hidden="1"/>
    <cellStyle name="40% - Accent3 10" xfId="27836" hidden="1"/>
    <cellStyle name="40% - Accent3 10" xfId="22241" hidden="1"/>
    <cellStyle name="40% - Accent3 10" xfId="22167" hidden="1"/>
    <cellStyle name="40% - Accent3 10" xfId="22087" hidden="1"/>
    <cellStyle name="40% - Accent3 10" xfId="22004" hidden="1"/>
    <cellStyle name="40% - Accent3 10" xfId="8878" hidden="1"/>
    <cellStyle name="40% - Accent3 10" xfId="8675" hidden="1"/>
    <cellStyle name="40% - Accent3 10" xfId="8441" hidden="1"/>
    <cellStyle name="40% - Accent3 10" xfId="6734" hidden="1"/>
    <cellStyle name="40% - Accent3 10" xfId="9621" hidden="1"/>
    <cellStyle name="40% - Accent3 10" xfId="9428" hidden="1"/>
    <cellStyle name="40% - Accent3 10" xfId="5852" hidden="1"/>
    <cellStyle name="40% - Accent3 10" xfId="5604" hidden="1"/>
    <cellStyle name="40% - Accent3 10" xfId="5508" hidden="1"/>
    <cellStyle name="40% - Accent3 10" xfId="4004" hidden="1"/>
    <cellStyle name="40% - Accent3 10" xfId="8056" hidden="1"/>
    <cellStyle name="40% - Accent3 10" xfId="9413" hidden="1"/>
    <cellStyle name="40% - Accent3 10" xfId="3368" hidden="1"/>
    <cellStyle name="40% - Accent3 10" xfId="3175" hidden="1"/>
    <cellStyle name="40% - Accent3 10" xfId="3032" hidden="1"/>
    <cellStyle name="40% - Accent3 10" xfId="1662" hidden="1"/>
    <cellStyle name="40% - Accent3 10" xfId="1529" hidden="1"/>
    <cellStyle name="40% - Accent3 10" xfId="1259" hidden="1"/>
    <cellStyle name="40% - Accent3 10" xfId="27895" hidden="1"/>
    <cellStyle name="40% - Accent3 10" xfId="27971" hidden="1"/>
    <cellStyle name="40% - Accent3 10" xfId="28073" hidden="1"/>
    <cellStyle name="40% - Accent3 10" xfId="28147" hidden="1"/>
    <cellStyle name="40% - Accent3 10" xfId="28223" hidden="1"/>
    <cellStyle name="40% - Accent3 10" xfId="28301" hidden="1"/>
    <cellStyle name="40% - Accent3 10" xfId="28886" hidden="1"/>
    <cellStyle name="40% - Accent3 10" xfId="28962" hidden="1"/>
    <cellStyle name="40% - Accent3 10" xfId="29041" hidden="1"/>
    <cellStyle name="40% - Accent3 10" xfId="29299" hidden="1"/>
    <cellStyle name="40% - Accent3 10" xfId="28679" hidden="1"/>
    <cellStyle name="40% - Accent3 10" xfId="28733" hidden="1"/>
    <cellStyle name="40% - Accent3 10" xfId="29481" hidden="1"/>
    <cellStyle name="40% - Accent3 10" xfId="29557" hidden="1"/>
    <cellStyle name="40% - Accent3 10" xfId="29635" hidden="1"/>
    <cellStyle name="40% - Accent3 10" xfId="29857" hidden="1"/>
    <cellStyle name="40% - Accent3 10" xfId="29140" hidden="1"/>
    <cellStyle name="40% - Accent3 10" xfId="28741" hidden="1"/>
    <cellStyle name="40% - Accent3 10" xfId="30013" hidden="1"/>
    <cellStyle name="40% - Accent3 10" xfId="30089" hidden="1"/>
    <cellStyle name="40% - Accent3 10" xfId="30167" hidden="1"/>
    <cellStyle name="40% - Accent3 10" xfId="30350" hidden="1"/>
    <cellStyle name="40% - Accent3 10" xfId="30426" hidden="1"/>
    <cellStyle name="40% - Accent3 10" xfId="30504" hidden="1"/>
    <cellStyle name="40% - Accent3 10" xfId="30687" hidden="1"/>
    <cellStyle name="40% - Accent3 10" xfId="30763" hidden="1"/>
    <cellStyle name="40% - Accent3 10" xfId="30865" hidden="1"/>
    <cellStyle name="40% - Accent3 10" xfId="30939" hidden="1"/>
    <cellStyle name="40% - Accent3 10" xfId="31015" hidden="1"/>
    <cellStyle name="40% - Accent3 10" xfId="31093" hidden="1"/>
    <cellStyle name="40% - Accent3 10" xfId="31678" hidden="1"/>
    <cellStyle name="40% - Accent3 10" xfId="31754" hidden="1"/>
    <cellStyle name="40% - Accent3 10" xfId="31833" hidden="1"/>
    <cellStyle name="40% - Accent3 10" xfId="32091" hidden="1"/>
    <cellStyle name="40% - Accent3 10" xfId="31471" hidden="1"/>
    <cellStyle name="40% - Accent3 10" xfId="31525" hidden="1"/>
    <cellStyle name="40% - Accent3 10" xfId="32273" hidden="1"/>
    <cellStyle name="40% - Accent3 10" xfId="32349" hidden="1"/>
    <cellStyle name="40% - Accent3 10" xfId="32427" hidden="1"/>
    <cellStyle name="40% - Accent3 10" xfId="32649" hidden="1"/>
    <cellStyle name="40% - Accent3 10" xfId="31932" hidden="1"/>
    <cellStyle name="40% - Accent3 10" xfId="31533" hidden="1"/>
    <cellStyle name="40% - Accent3 10" xfId="32805" hidden="1"/>
    <cellStyle name="40% - Accent3 10" xfId="32881" hidden="1"/>
    <cellStyle name="40% - Accent3 10" xfId="32959" hidden="1"/>
    <cellStyle name="40% - Accent3 10" xfId="33142" hidden="1"/>
    <cellStyle name="40% - Accent3 10" xfId="33218" hidden="1"/>
    <cellStyle name="40% - Accent3 10" xfId="33296" hidden="1"/>
    <cellStyle name="40% - Accent3 10" xfId="33479" hidden="1"/>
    <cellStyle name="40% - Accent3 10" xfId="33555" hidden="1"/>
    <cellStyle name="40% - Accent3 11" xfId="184" hidden="1"/>
    <cellStyle name="40% - Accent3 11" xfId="264" hidden="1"/>
    <cellStyle name="40% - Accent3 11" xfId="387" hidden="1"/>
    <cellStyle name="40% - Accent3 11" xfId="714" hidden="1"/>
    <cellStyle name="40% - Accent3 11" xfId="2431" hidden="1"/>
    <cellStyle name="40% - Accent3 11" xfId="2583" hidden="1"/>
    <cellStyle name="40% - Accent3 11" xfId="2784" hidden="1"/>
    <cellStyle name="40% - Accent3 11" xfId="2065" hidden="1"/>
    <cellStyle name="40% - Accent3 11" xfId="1920" hidden="1"/>
    <cellStyle name="40% - Accent3 11" xfId="1865" hidden="1"/>
    <cellStyle name="40% - Accent3 11" xfId="4389" hidden="1"/>
    <cellStyle name="40% - Accent3 11" xfId="4600" hidden="1"/>
    <cellStyle name="40% - Accent3 11" xfId="4764" hidden="1"/>
    <cellStyle name="40% - Accent3 11" xfId="1632" hidden="1"/>
    <cellStyle name="40% - Accent3 11" xfId="2860" hidden="1"/>
    <cellStyle name="40% - Accent3 11" xfId="2816" hidden="1"/>
    <cellStyle name="40% - Accent3 11" xfId="6374" hidden="1"/>
    <cellStyle name="40% - Accent3 11" xfId="6479" hidden="1"/>
    <cellStyle name="40% - Accent3 11" xfId="6676" hidden="1"/>
    <cellStyle name="40% - Accent3 11" xfId="7548" hidden="1"/>
    <cellStyle name="40% - Accent3 11" xfId="7691" hidden="1"/>
    <cellStyle name="40% - Accent3 11" xfId="7870" hidden="1"/>
    <cellStyle name="40% - Accent3 11" xfId="8786" hidden="1"/>
    <cellStyle name="40% - Accent3 11" xfId="8960" hidden="1"/>
    <cellStyle name="40% - Accent3 11" xfId="9875" hidden="1"/>
    <cellStyle name="40% - Accent3 11" xfId="9949" hidden="1"/>
    <cellStyle name="40% - Accent3 11" xfId="10025" hidden="1"/>
    <cellStyle name="40% - Accent3 11" xfId="10103" hidden="1"/>
    <cellStyle name="40% - Accent3 11" xfId="10688" hidden="1"/>
    <cellStyle name="40% - Accent3 11" xfId="10764" hidden="1"/>
    <cellStyle name="40% - Accent3 11" xfId="10843" hidden="1"/>
    <cellStyle name="40% - Accent3 11" xfId="10528" hidden="1"/>
    <cellStyle name="40% - Accent3 11" xfId="10476" hidden="1"/>
    <cellStyle name="40% - Accent3 11" xfId="10440" hidden="1"/>
    <cellStyle name="40% - Accent3 11" xfId="11283" hidden="1"/>
    <cellStyle name="40% - Accent3 11" xfId="11359" hidden="1"/>
    <cellStyle name="40% - Accent3 11" xfId="11437" hidden="1"/>
    <cellStyle name="40% - Accent3 11" xfId="10362" hidden="1"/>
    <cellStyle name="40% - Accent3 11" xfId="10880" hidden="1"/>
    <cellStyle name="40% - Accent3 11" xfId="10863" hidden="1"/>
    <cellStyle name="40% - Accent3 11" xfId="11815" hidden="1"/>
    <cellStyle name="40% - Accent3 11" xfId="11891" hidden="1"/>
    <cellStyle name="40% - Accent3 11" xfId="11969" hidden="1"/>
    <cellStyle name="40% - Accent3 11" xfId="12152" hidden="1"/>
    <cellStyle name="40% - Accent3 11" xfId="12228" hidden="1"/>
    <cellStyle name="40% - Accent3 11" xfId="12306" hidden="1"/>
    <cellStyle name="40% - Accent3 11" xfId="12489" hidden="1"/>
    <cellStyle name="40% - Accent3 11" xfId="12565" hidden="1"/>
    <cellStyle name="40% - Accent3 11" xfId="12667" hidden="1"/>
    <cellStyle name="40% - Accent3 11" xfId="12741" hidden="1"/>
    <cellStyle name="40% - Accent3 11" xfId="12817" hidden="1"/>
    <cellStyle name="40% - Accent3 11" xfId="12895" hidden="1"/>
    <cellStyle name="40% - Accent3 11" xfId="13480" hidden="1"/>
    <cellStyle name="40% - Accent3 11" xfId="13556" hidden="1"/>
    <cellStyle name="40% - Accent3 11" xfId="13635" hidden="1"/>
    <cellStyle name="40% - Accent3 11" xfId="13320" hidden="1"/>
    <cellStyle name="40% - Accent3 11" xfId="13268" hidden="1"/>
    <cellStyle name="40% - Accent3 11" xfId="13232" hidden="1"/>
    <cellStyle name="40% - Accent3 11" xfId="14075" hidden="1"/>
    <cellStyle name="40% - Accent3 11" xfId="14151" hidden="1"/>
    <cellStyle name="40% - Accent3 11" xfId="14229" hidden="1"/>
    <cellStyle name="40% - Accent3 11" xfId="13154" hidden="1"/>
    <cellStyle name="40% - Accent3 11" xfId="13672" hidden="1"/>
    <cellStyle name="40% - Accent3 11" xfId="13655" hidden="1"/>
    <cellStyle name="40% - Accent3 11" xfId="14607" hidden="1"/>
    <cellStyle name="40% - Accent3 11" xfId="14683" hidden="1"/>
    <cellStyle name="40% - Accent3 11" xfId="14761" hidden="1"/>
    <cellStyle name="40% - Accent3 11" xfId="14944" hidden="1"/>
    <cellStyle name="40% - Accent3 11" xfId="15020" hidden="1"/>
    <cellStyle name="40% - Accent3 11" xfId="15098" hidden="1"/>
    <cellStyle name="40% - Accent3 11" xfId="15281" hidden="1"/>
    <cellStyle name="40% - Accent3 11" xfId="15357" hidden="1"/>
    <cellStyle name="40% - Accent3 11" xfId="9576" hidden="1"/>
    <cellStyle name="40% - Accent3 11" xfId="9462" hidden="1"/>
    <cellStyle name="40% - Accent3 11" xfId="9351" hidden="1"/>
    <cellStyle name="40% - Accent3 11" xfId="9235" hidden="1"/>
    <cellStyle name="40% - Accent3 11" xfId="6982" hidden="1"/>
    <cellStyle name="40% - Accent3 11" xfId="6895" hidden="1"/>
    <cellStyle name="40% - Accent3 11" xfId="6801" hidden="1"/>
    <cellStyle name="40% - Accent3 11" xfId="7437" hidden="1"/>
    <cellStyle name="40% - Accent3 11" xfId="7637" hidden="1"/>
    <cellStyle name="40% - Accent3 11" xfId="7820" hidden="1"/>
    <cellStyle name="40% - Accent3 11" xfId="4836" hidden="1"/>
    <cellStyle name="40% - Accent3 11" xfId="4670" hidden="1"/>
    <cellStyle name="40% - Accent3 11" xfId="4409" hidden="1"/>
    <cellStyle name="40% - Accent3 11" xfId="8099" hidden="1"/>
    <cellStyle name="40% - Accent3 11" xfId="6729" hidden="1"/>
    <cellStyle name="40% - Accent3 11" xfId="6778" hidden="1"/>
    <cellStyle name="40% - Accent3 11" xfId="2703" hidden="1"/>
    <cellStyle name="40% - Accent3 11" xfId="2502" hidden="1"/>
    <cellStyle name="40% - Accent3 11" xfId="2323" hidden="1"/>
    <cellStyle name="40% - Accent3 11" xfId="1360" hidden="1"/>
    <cellStyle name="40% - Accent3 11" xfId="1177" hidden="1"/>
    <cellStyle name="40% - Accent3 11" xfId="934" hidden="1"/>
    <cellStyle name="40% - Accent3 11" xfId="15423" hidden="1"/>
    <cellStyle name="40% - Accent3 11" xfId="15532" hidden="1"/>
    <cellStyle name="40% - Accent3 11" xfId="16216" hidden="1"/>
    <cellStyle name="40% - Accent3 11" xfId="16290" hidden="1"/>
    <cellStyle name="40% - Accent3 11" xfId="16366" hidden="1"/>
    <cellStyle name="40% - Accent3 11" xfId="16444" hidden="1"/>
    <cellStyle name="40% - Accent3 11" xfId="17029" hidden="1"/>
    <cellStyle name="40% - Accent3 11" xfId="17105" hidden="1"/>
    <cellStyle name="40% - Accent3 11" xfId="17184" hidden="1"/>
    <cellStyle name="40% - Accent3 11" xfId="16869" hidden="1"/>
    <cellStyle name="40% - Accent3 11" xfId="16817" hidden="1"/>
    <cellStyle name="40% - Accent3 11" xfId="16781" hidden="1"/>
    <cellStyle name="40% - Accent3 11" xfId="17624" hidden="1"/>
    <cellStyle name="40% - Accent3 11" xfId="17700" hidden="1"/>
    <cellStyle name="40% - Accent3 11" xfId="17778" hidden="1"/>
    <cellStyle name="40% - Accent3 11" xfId="16703" hidden="1"/>
    <cellStyle name="40% - Accent3 11" xfId="17221" hidden="1"/>
    <cellStyle name="40% - Accent3 11" xfId="17204" hidden="1"/>
    <cellStyle name="40% - Accent3 11" xfId="18156" hidden="1"/>
    <cellStyle name="40% - Accent3 11" xfId="18232" hidden="1"/>
    <cellStyle name="40% - Accent3 11" xfId="18310" hidden="1"/>
    <cellStyle name="40% - Accent3 11" xfId="18493" hidden="1"/>
    <cellStyle name="40% - Accent3 11" xfId="18569" hidden="1"/>
    <cellStyle name="40% - Accent3 11" xfId="18647" hidden="1"/>
    <cellStyle name="40% - Accent3 11" xfId="18830" hidden="1"/>
    <cellStyle name="40% - Accent3 11" xfId="18906" hidden="1"/>
    <cellStyle name="40% - Accent3 11" xfId="19008" hidden="1"/>
    <cellStyle name="40% - Accent3 11" xfId="19082" hidden="1"/>
    <cellStyle name="40% - Accent3 11" xfId="19158" hidden="1"/>
    <cellStyle name="40% - Accent3 11" xfId="19236" hidden="1"/>
    <cellStyle name="40% - Accent3 11" xfId="19821" hidden="1"/>
    <cellStyle name="40% - Accent3 11" xfId="19897" hidden="1"/>
    <cellStyle name="40% - Accent3 11" xfId="19976" hidden="1"/>
    <cellStyle name="40% - Accent3 11" xfId="19661" hidden="1"/>
    <cellStyle name="40% - Accent3 11" xfId="19609" hidden="1"/>
    <cellStyle name="40% - Accent3 11" xfId="19573" hidden="1"/>
    <cellStyle name="40% - Accent3 11" xfId="20416" hidden="1"/>
    <cellStyle name="40% - Accent3 11" xfId="20492" hidden="1"/>
    <cellStyle name="40% - Accent3 11" xfId="20570" hidden="1"/>
    <cellStyle name="40% - Accent3 11" xfId="19495" hidden="1"/>
    <cellStyle name="40% - Accent3 11" xfId="20013" hidden="1"/>
    <cellStyle name="40% - Accent3 11" xfId="19996" hidden="1"/>
    <cellStyle name="40% - Accent3 11" xfId="20948" hidden="1"/>
    <cellStyle name="40% - Accent3 11" xfId="21024" hidden="1"/>
    <cellStyle name="40% - Accent3 11" xfId="21102" hidden="1"/>
    <cellStyle name="40% - Accent3 11" xfId="21285" hidden="1"/>
    <cellStyle name="40% - Accent3 11" xfId="21361" hidden="1"/>
    <cellStyle name="40% - Accent3 11" xfId="21439" hidden="1"/>
    <cellStyle name="40% - Accent3 11" xfId="21622" hidden="1"/>
    <cellStyle name="40% - Accent3 11" xfId="21698" hidden="1"/>
    <cellStyle name="40% - Accent3 11" xfId="15975" hidden="1"/>
    <cellStyle name="40% - Accent3 11" xfId="15901" hidden="1"/>
    <cellStyle name="40% - Accent3 11" xfId="15820" hidden="1"/>
    <cellStyle name="40% - Accent3 11" xfId="15735" hidden="1"/>
    <cellStyle name="40% - Accent3 11" xfId="7954" hidden="1"/>
    <cellStyle name="40% - Accent3 11" xfId="7750" hidden="1"/>
    <cellStyle name="40% - Accent3 11" xfId="7469" hidden="1"/>
    <cellStyle name="40% - Accent3 11" xfId="8384" hidden="1"/>
    <cellStyle name="40% - Accent3 11" xfId="8503" hidden="1"/>
    <cellStyle name="40% - Accent3 11" xfId="8711" hidden="1"/>
    <cellStyle name="40% - Accent3 11" xfId="5283" hidden="1"/>
    <cellStyle name="40% - Accent3 11" xfId="5082" hidden="1"/>
    <cellStyle name="40% - Accent3 11" xfId="4975" hidden="1"/>
    <cellStyle name="40% - Accent3 11" xfId="9030" hidden="1"/>
    <cellStyle name="40% - Accent3 11" xfId="7388" hidden="1"/>
    <cellStyle name="40% - Accent3 11" xfId="7436" hidden="1"/>
    <cellStyle name="40% - Accent3 11" xfId="3018" hidden="1"/>
    <cellStyle name="40% - Accent3 11" xfId="2889" hidden="1"/>
    <cellStyle name="40% - Accent3 11" xfId="2661" hidden="1"/>
    <cellStyle name="40% - Accent3 11" xfId="1514" hidden="1"/>
    <cellStyle name="40% - Accent3 11" xfId="1328" hidden="1"/>
    <cellStyle name="40% - Accent3 11" xfId="1099" hidden="1"/>
    <cellStyle name="40% - Accent3 11" xfId="21758" hidden="1"/>
    <cellStyle name="40% - Accent3 11" xfId="21838" hidden="1"/>
    <cellStyle name="40% - Accent3 11" xfId="22367" hidden="1"/>
    <cellStyle name="40% - Accent3 11" xfId="22441" hidden="1"/>
    <cellStyle name="40% - Accent3 11" xfId="22517" hidden="1"/>
    <cellStyle name="40% - Accent3 11" xfId="22595" hidden="1"/>
    <cellStyle name="40% - Accent3 11" xfId="23180" hidden="1"/>
    <cellStyle name="40% - Accent3 11" xfId="23256" hidden="1"/>
    <cellStyle name="40% - Accent3 11" xfId="23335" hidden="1"/>
    <cellStyle name="40% - Accent3 11" xfId="23020" hidden="1"/>
    <cellStyle name="40% - Accent3 11" xfId="22968" hidden="1"/>
    <cellStyle name="40% - Accent3 11" xfId="22932" hidden="1"/>
    <cellStyle name="40% - Accent3 11" xfId="23775" hidden="1"/>
    <cellStyle name="40% - Accent3 11" xfId="23851" hidden="1"/>
    <cellStyle name="40% - Accent3 11" xfId="23929" hidden="1"/>
    <cellStyle name="40% - Accent3 11" xfId="22854" hidden="1"/>
    <cellStyle name="40% - Accent3 11" xfId="23372" hidden="1"/>
    <cellStyle name="40% - Accent3 11" xfId="23355" hidden="1"/>
    <cellStyle name="40% - Accent3 11" xfId="24307" hidden="1"/>
    <cellStyle name="40% - Accent3 11" xfId="24383" hidden="1"/>
    <cellStyle name="40% - Accent3 11" xfId="24461" hidden="1"/>
    <cellStyle name="40% - Accent3 11" xfId="24644" hidden="1"/>
    <cellStyle name="40% - Accent3 11" xfId="24720" hidden="1"/>
    <cellStyle name="40% - Accent3 11" xfId="24798" hidden="1"/>
    <cellStyle name="40% - Accent3 11" xfId="24981" hidden="1"/>
    <cellStyle name="40% - Accent3 11" xfId="25057" hidden="1"/>
    <cellStyle name="40% - Accent3 11" xfId="25159" hidden="1"/>
    <cellStyle name="40% - Accent3 11" xfId="25233" hidden="1"/>
    <cellStyle name="40% - Accent3 11" xfId="25309" hidden="1"/>
    <cellStyle name="40% - Accent3 11" xfId="25387" hidden="1"/>
    <cellStyle name="40% - Accent3 11" xfId="25972" hidden="1"/>
    <cellStyle name="40% - Accent3 11" xfId="26048" hidden="1"/>
    <cellStyle name="40% - Accent3 11" xfId="26127" hidden="1"/>
    <cellStyle name="40% - Accent3 11" xfId="25812" hidden="1"/>
    <cellStyle name="40% - Accent3 11" xfId="25760" hidden="1"/>
    <cellStyle name="40% - Accent3 11" xfId="25724" hidden="1"/>
    <cellStyle name="40% - Accent3 11" xfId="26567" hidden="1"/>
    <cellStyle name="40% - Accent3 11" xfId="26643" hidden="1"/>
    <cellStyle name="40% - Accent3 11" xfId="26721" hidden="1"/>
    <cellStyle name="40% - Accent3 11" xfId="25646" hidden="1"/>
    <cellStyle name="40% - Accent3 11" xfId="26164" hidden="1"/>
    <cellStyle name="40% - Accent3 11" xfId="26147" hidden="1"/>
    <cellStyle name="40% - Accent3 11" xfId="27099" hidden="1"/>
    <cellStyle name="40% - Accent3 11" xfId="27175" hidden="1"/>
    <cellStyle name="40% - Accent3 11" xfId="27253" hidden="1"/>
    <cellStyle name="40% - Accent3 11" xfId="27436" hidden="1"/>
    <cellStyle name="40% - Accent3 11" xfId="27512" hidden="1"/>
    <cellStyle name="40% - Accent3 11" xfId="27590" hidden="1"/>
    <cellStyle name="40% - Accent3 11" xfId="27773" hidden="1"/>
    <cellStyle name="40% - Accent3 11" xfId="27849" hidden="1"/>
    <cellStyle name="40% - Accent3 11" xfId="22228" hidden="1"/>
    <cellStyle name="40% - Accent3 11" xfId="22154" hidden="1"/>
    <cellStyle name="40% - Accent3 11" xfId="22073" hidden="1"/>
    <cellStyle name="40% - Accent3 11" xfId="21990" hidden="1"/>
    <cellStyle name="40% - Accent3 11" xfId="8856" hidden="1"/>
    <cellStyle name="40% - Accent3 11" xfId="8557" hidden="1"/>
    <cellStyle name="40% - Accent3 11" xfId="8417" hidden="1"/>
    <cellStyle name="40% - Accent3 11" xfId="9417" hidden="1"/>
    <cellStyle name="40% - Accent3 11" xfId="9578" hidden="1"/>
    <cellStyle name="40% - Accent3 11" xfId="9779" hidden="1"/>
    <cellStyle name="40% - Accent3 11" xfId="5832" hidden="1"/>
    <cellStyle name="40% - Accent3 11" xfId="5589" hidden="1"/>
    <cellStyle name="40% - Accent3 11" xfId="5493" hidden="1"/>
    <cellStyle name="40% - Accent3 11" xfId="15583" hidden="1"/>
    <cellStyle name="40% - Accent3 11" xfId="8243" hidden="1"/>
    <cellStyle name="40% - Accent3 11" xfId="8385" hidden="1"/>
    <cellStyle name="40% - Accent3 11" xfId="3352" hidden="1"/>
    <cellStyle name="40% - Accent3 11" xfId="3159" hidden="1"/>
    <cellStyle name="40% - Accent3 11" xfId="2995" hidden="1"/>
    <cellStyle name="40% - Accent3 11" xfId="1648" hidden="1"/>
    <cellStyle name="40% - Accent3 11" xfId="1499" hidden="1"/>
    <cellStyle name="40% - Accent3 11" xfId="1238" hidden="1"/>
    <cellStyle name="40% - Accent3 11" xfId="27908" hidden="1"/>
    <cellStyle name="40% - Accent3 11" xfId="27984" hidden="1"/>
    <cellStyle name="40% - Accent3 11" xfId="28086" hidden="1"/>
    <cellStyle name="40% - Accent3 11" xfId="28160" hidden="1"/>
    <cellStyle name="40% - Accent3 11" xfId="28236" hidden="1"/>
    <cellStyle name="40% - Accent3 11" xfId="28314" hidden="1"/>
    <cellStyle name="40% - Accent3 11" xfId="28899" hidden="1"/>
    <cellStyle name="40% - Accent3 11" xfId="28975" hidden="1"/>
    <cellStyle name="40% - Accent3 11" xfId="29054" hidden="1"/>
    <cellStyle name="40% - Accent3 11" xfId="28739" hidden="1"/>
    <cellStyle name="40% - Accent3 11" xfId="28687" hidden="1"/>
    <cellStyle name="40% - Accent3 11" xfId="28651" hidden="1"/>
    <cellStyle name="40% - Accent3 11" xfId="29494" hidden="1"/>
    <cellStyle name="40% - Accent3 11" xfId="29570" hidden="1"/>
    <cellStyle name="40% - Accent3 11" xfId="29648" hidden="1"/>
    <cellStyle name="40% - Accent3 11" xfId="28573" hidden="1"/>
    <cellStyle name="40% - Accent3 11" xfId="29091" hidden="1"/>
    <cellStyle name="40% - Accent3 11" xfId="29074" hidden="1"/>
    <cellStyle name="40% - Accent3 11" xfId="30026" hidden="1"/>
    <cellStyle name="40% - Accent3 11" xfId="30102" hidden="1"/>
    <cellStyle name="40% - Accent3 11" xfId="30180" hidden="1"/>
    <cellStyle name="40% - Accent3 11" xfId="30363" hidden="1"/>
    <cellStyle name="40% - Accent3 11" xfId="30439" hidden="1"/>
    <cellStyle name="40% - Accent3 11" xfId="30517" hidden="1"/>
    <cellStyle name="40% - Accent3 11" xfId="30700" hidden="1"/>
    <cellStyle name="40% - Accent3 11" xfId="30776" hidden="1"/>
    <cellStyle name="40% - Accent3 11" xfId="30878" hidden="1"/>
    <cellStyle name="40% - Accent3 11" xfId="30952" hidden="1"/>
    <cellStyle name="40% - Accent3 11" xfId="31028" hidden="1"/>
    <cellStyle name="40% - Accent3 11" xfId="31106" hidden="1"/>
    <cellStyle name="40% - Accent3 11" xfId="31691" hidden="1"/>
    <cellStyle name="40% - Accent3 11" xfId="31767" hidden="1"/>
    <cellStyle name="40% - Accent3 11" xfId="31846" hidden="1"/>
    <cellStyle name="40% - Accent3 11" xfId="31531" hidden="1"/>
    <cellStyle name="40% - Accent3 11" xfId="31479" hidden="1"/>
    <cellStyle name="40% - Accent3 11" xfId="31443" hidden="1"/>
    <cellStyle name="40% - Accent3 11" xfId="32286" hidden="1"/>
    <cellStyle name="40% - Accent3 11" xfId="32362" hidden="1"/>
    <cellStyle name="40% - Accent3 11" xfId="32440" hidden="1"/>
    <cellStyle name="40% - Accent3 11" xfId="31365" hidden="1"/>
    <cellStyle name="40% - Accent3 11" xfId="31883" hidden="1"/>
    <cellStyle name="40% - Accent3 11" xfId="31866" hidden="1"/>
    <cellStyle name="40% - Accent3 11" xfId="32818" hidden="1"/>
    <cellStyle name="40% - Accent3 11" xfId="32894" hidden="1"/>
    <cellStyle name="40% - Accent3 11" xfId="32972" hidden="1"/>
    <cellStyle name="40% - Accent3 11" xfId="33155" hidden="1"/>
    <cellStyle name="40% - Accent3 11" xfId="33231" hidden="1"/>
    <cellStyle name="40% - Accent3 11" xfId="33309" hidden="1"/>
    <cellStyle name="40% - Accent3 11" xfId="33492" hidden="1"/>
    <cellStyle name="40% - Accent3 11" xfId="33568" hidden="1"/>
    <cellStyle name="40% - Accent3 12" xfId="200" hidden="1"/>
    <cellStyle name="40% - Accent3 12" xfId="278" hidden="1"/>
    <cellStyle name="40% - Accent3 12" xfId="421" hidden="1"/>
    <cellStyle name="40% - Accent3 12" xfId="734" hidden="1"/>
    <cellStyle name="40% - Accent3 12" xfId="2448" hidden="1"/>
    <cellStyle name="40% - Accent3 12" xfId="2600" hidden="1"/>
    <cellStyle name="40% - Accent3 12" xfId="2808" hidden="1"/>
    <cellStyle name="40% - Accent3 12" xfId="3817" hidden="1"/>
    <cellStyle name="40% - Accent3 12" xfId="2234" hidden="1"/>
    <cellStyle name="40% - Accent3 12" xfId="2025" hidden="1"/>
    <cellStyle name="40% - Accent3 12" xfId="4424" hidden="1"/>
    <cellStyle name="40% - Accent3 12" xfId="4617" hidden="1"/>
    <cellStyle name="40% - Accent3 12" xfId="4778" hidden="1"/>
    <cellStyle name="40% - Accent3 12" xfId="5842" hidden="1"/>
    <cellStyle name="40% - Accent3 12" xfId="3889" hidden="1"/>
    <cellStyle name="40% - Accent3 12" xfId="2623" hidden="1"/>
    <cellStyle name="40% - Accent3 12" xfId="6390" hidden="1"/>
    <cellStyle name="40% - Accent3 12" xfId="6494" hidden="1"/>
    <cellStyle name="40% - Accent3 12" xfId="6692" hidden="1"/>
    <cellStyle name="40% - Accent3 12" xfId="7570" hidden="1"/>
    <cellStyle name="40% - Accent3 12" xfId="7712" hidden="1"/>
    <cellStyle name="40% - Accent3 12" xfId="7887" hidden="1"/>
    <cellStyle name="40% - Accent3 12" xfId="8809" hidden="1"/>
    <cellStyle name="40% - Accent3 12" xfId="8978" hidden="1"/>
    <cellStyle name="40% - Accent3 12" xfId="9888" hidden="1"/>
    <cellStyle name="40% - Accent3 12" xfId="9963" hidden="1"/>
    <cellStyle name="40% - Accent3 12" xfId="10038" hidden="1"/>
    <cellStyle name="40% - Accent3 12" xfId="10116" hidden="1"/>
    <cellStyle name="40% - Accent3 12" xfId="10702" hidden="1"/>
    <cellStyle name="40% - Accent3 12" xfId="10777" hidden="1"/>
    <cellStyle name="40% - Accent3 12" xfId="10856" hidden="1"/>
    <cellStyle name="40% - Accent3 12" xfId="11092" hidden="1"/>
    <cellStyle name="40% - Accent3 12" xfId="10583" hidden="1"/>
    <cellStyle name="40% - Accent3 12" xfId="10493" hidden="1"/>
    <cellStyle name="40% - Accent3 12" xfId="11297" hidden="1"/>
    <cellStyle name="40% - Accent3 12" xfId="11372" hidden="1"/>
    <cellStyle name="40% - Accent3 12" xfId="11450" hidden="1"/>
    <cellStyle name="40% - Accent3 12" xfId="11650" hidden="1"/>
    <cellStyle name="40% - Accent3 12" xfId="11111" hidden="1"/>
    <cellStyle name="40% - Accent3 12" xfId="10794" hidden="1"/>
    <cellStyle name="40% - Accent3 12" xfId="11829" hidden="1"/>
    <cellStyle name="40% - Accent3 12" xfId="11904" hidden="1"/>
    <cellStyle name="40% - Accent3 12" xfId="11982" hidden="1"/>
    <cellStyle name="40% - Accent3 12" xfId="12166" hidden="1"/>
    <cellStyle name="40% - Accent3 12" xfId="12241" hidden="1"/>
    <cellStyle name="40% - Accent3 12" xfId="12319" hidden="1"/>
    <cellStyle name="40% - Accent3 12" xfId="12503" hidden="1"/>
    <cellStyle name="40% - Accent3 12" xfId="12578" hidden="1"/>
    <cellStyle name="40% - Accent3 12" xfId="12680" hidden="1"/>
    <cellStyle name="40% - Accent3 12" xfId="12755" hidden="1"/>
    <cellStyle name="40% - Accent3 12" xfId="12830" hidden="1"/>
    <cellStyle name="40% - Accent3 12" xfId="12908" hidden="1"/>
    <cellStyle name="40% - Accent3 12" xfId="13494" hidden="1"/>
    <cellStyle name="40% - Accent3 12" xfId="13569" hidden="1"/>
    <cellStyle name="40% - Accent3 12" xfId="13648" hidden="1"/>
    <cellStyle name="40% - Accent3 12" xfId="13884" hidden="1"/>
    <cellStyle name="40% - Accent3 12" xfId="13375" hidden="1"/>
    <cellStyle name="40% - Accent3 12" xfId="13285" hidden="1"/>
    <cellStyle name="40% - Accent3 12" xfId="14089" hidden="1"/>
    <cellStyle name="40% - Accent3 12" xfId="14164" hidden="1"/>
    <cellStyle name="40% - Accent3 12" xfId="14242" hidden="1"/>
    <cellStyle name="40% - Accent3 12" xfId="14442" hidden="1"/>
    <cellStyle name="40% - Accent3 12" xfId="13903" hidden="1"/>
    <cellStyle name="40% - Accent3 12" xfId="13586" hidden="1"/>
    <cellStyle name="40% - Accent3 12" xfId="14621" hidden="1"/>
    <cellStyle name="40% - Accent3 12" xfId="14696" hidden="1"/>
    <cellStyle name="40% - Accent3 12" xfId="14774" hidden="1"/>
    <cellStyle name="40% - Accent3 12" xfId="14958" hidden="1"/>
    <cellStyle name="40% - Accent3 12" xfId="15033" hidden="1"/>
    <cellStyle name="40% - Accent3 12" xfId="15111" hidden="1"/>
    <cellStyle name="40% - Accent3 12" xfId="15295" hidden="1"/>
    <cellStyle name="40% - Accent3 12" xfId="15370" hidden="1"/>
    <cellStyle name="40% - Accent3 12" xfId="9560" hidden="1"/>
    <cellStyle name="40% - Accent3 12" xfId="9447" hidden="1"/>
    <cellStyle name="40% - Accent3 12" xfId="9335" hidden="1"/>
    <cellStyle name="40% - Accent3 12" xfId="9217" hidden="1"/>
    <cellStyle name="40% - Accent3 12" xfId="6966" hidden="1"/>
    <cellStyle name="40% - Accent3 12" xfId="6881" hidden="1"/>
    <cellStyle name="40% - Accent3 12" xfId="6786" hidden="1"/>
    <cellStyle name="40% - Accent3 12" xfId="5650" hidden="1"/>
    <cellStyle name="40% - Accent3 12" xfId="7333" hidden="1"/>
    <cellStyle name="40% - Accent3 12" xfId="7593" hidden="1"/>
    <cellStyle name="40% - Accent3 12" xfId="4817" hidden="1"/>
    <cellStyle name="40% - Accent3 12" xfId="4652" hidden="1"/>
    <cellStyle name="40% - Accent3 12" xfId="4355" hidden="1"/>
    <cellStyle name="40% - Accent3 12" xfId="3633" hidden="1"/>
    <cellStyle name="40% - Accent3 12" xfId="5550" hidden="1"/>
    <cellStyle name="40% - Accent3 12" xfId="6862" hidden="1"/>
    <cellStyle name="40% - Accent3 12" xfId="2677" hidden="1"/>
    <cellStyle name="40% - Accent3 12" xfId="2485" hidden="1"/>
    <cellStyle name="40% - Accent3 12" xfId="2309" hidden="1"/>
    <cellStyle name="40% - Accent3 12" xfId="1339" hidden="1"/>
    <cellStyle name="40% - Accent3 12" xfId="1161" hidden="1"/>
    <cellStyle name="40% - Accent3 12" xfId="920" hidden="1"/>
    <cellStyle name="40% - Accent3 12" xfId="15441" hidden="1"/>
    <cellStyle name="40% - Accent3 12" xfId="15549" hidden="1"/>
    <cellStyle name="40% - Accent3 12" xfId="16229" hidden="1"/>
    <cellStyle name="40% - Accent3 12" xfId="16304" hidden="1"/>
    <cellStyle name="40% - Accent3 12" xfId="16379" hidden="1"/>
    <cellStyle name="40% - Accent3 12" xfId="16457" hidden="1"/>
    <cellStyle name="40% - Accent3 12" xfId="17043" hidden="1"/>
    <cellStyle name="40% - Accent3 12" xfId="17118" hidden="1"/>
    <cellStyle name="40% - Accent3 12" xfId="17197" hidden="1"/>
    <cellStyle name="40% - Accent3 12" xfId="17433" hidden="1"/>
    <cellStyle name="40% - Accent3 12" xfId="16924" hidden="1"/>
    <cellStyle name="40% - Accent3 12" xfId="16834" hidden="1"/>
    <cellStyle name="40% - Accent3 12" xfId="17638" hidden="1"/>
    <cellStyle name="40% - Accent3 12" xfId="17713" hidden="1"/>
    <cellStyle name="40% - Accent3 12" xfId="17791" hidden="1"/>
    <cellStyle name="40% - Accent3 12" xfId="17991" hidden="1"/>
    <cellStyle name="40% - Accent3 12" xfId="17452" hidden="1"/>
    <cellStyle name="40% - Accent3 12" xfId="17135" hidden="1"/>
    <cellStyle name="40% - Accent3 12" xfId="18170" hidden="1"/>
    <cellStyle name="40% - Accent3 12" xfId="18245" hidden="1"/>
    <cellStyle name="40% - Accent3 12" xfId="18323" hidden="1"/>
    <cellStyle name="40% - Accent3 12" xfId="18507" hidden="1"/>
    <cellStyle name="40% - Accent3 12" xfId="18582" hidden="1"/>
    <cellStyle name="40% - Accent3 12" xfId="18660" hidden="1"/>
    <cellStyle name="40% - Accent3 12" xfId="18844" hidden="1"/>
    <cellStyle name="40% - Accent3 12" xfId="18919" hidden="1"/>
    <cellStyle name="40% - Accent3 12" xfId="19021" hidden="1"/>
    <cellStyle name="40% - Accent3 12" xfId="19096" hidden="1"/>
    <cellStyle name="40% - Accent3 12" xfId="19171" hidden="1"/>
    <cellStyle name="40% - Accent3 12" xfId="19249" hidden="1"/>
    <cellStyle name="40% - Accent3 12" xfId="19835" hidden="1"/>
    <cellStyle name="40% - Accent3 12" xfId="19910" hidden="1"/>
    <cellStyle name="40% - Accent3 12" xfId="19989" hidden="1"/>
    <cellStyle name="40% - Accent3 12" xfId="20225" hidden="1"/>
    <cellStyle name="40% - Accent3 12" xfId="19716" hidden="1"/>
    <cellStyle name="40% - Accent3 12" xfId="19626" hidden="1"/>
    <cellStyle name="40% - Accent3 12" xfId="20430" hidden="1"/>
    <cellStyle name="40% - Accent3 12" xfId="20505" hidden="1"/>
    <cellStyle name="40% - Accent3 12" xfId="20583" hidden="1"/>
    <cellStyle name="40% - Accent3 12" xfId="20783" hidden="1"/>
    <cellStyle name="40% - Accent3 12" xfId="20244" hidden="1"/>
    <cellStyle name="40% - Accent3 12" xfId="19927" hidden="1"/>
    <cellStyle name="40% - Accent3 12" xfId="20962" hidden="1"/>
    <cellStyle name="40% - Accent3 12" xfId="21037" hidden="1"/>
    <cellStyle name="40% - Accent3 12" xfId="21115" hidden="1"/>
    <cellStyle name="40% - Accent3 12" xfId="21299" hidden="1"/>
    <cellStyle name="40% - Accent3 12" xfId="21374" hidden="1"/>
    <cellStyle name="40% - Accent3 12" xfId="21452" hidden="1"/>
    <cellStyle name="40% - Accent3 12" xfId="21636" hidden="1"/>
    <cellStyle name="40% - Accent3 12" xfId="21711" hidden="1"/>
    <cellStyle name="40% - Accent3 12" xfId="15962" hidden="1"/>
    <cellStyle name="40% - Accent3 12" xfId="15887" hidden="1"/>
    <cellStyle name="40% - Accent3 12" xfId="15807" hidden="1"/>
    <cellStyle name="40% - Accent3 12" xfId="15721" hidden="1"/>
    <cellStyle name="40% - Accent3 12" xfId="7934" hidden="1"/>
    <cellStyle name="40% - Accent3 12" xfId="7719" hidden="1"/>
    <cellStyle name="40% - Accent3 12" xfId="7448" hidden="1"/>
    <cellStyle name="40% - Accent3 12" xfId="6156" hidden="1"/>
    <cellStyle name="40% - Accent3 12" xfId="8185" hidden="1"/>
    <cellStyle name="40% - Accent3 12" xfId="8475" hidden="1"/>
    <cellStyle name="40% - Accent3 12" xfId="5268" hidden="1"/>
    <cellStyle name="40% - Accent3 12" xfId="5069" hidden="1"/>
    <cellStyle name="40% - Accent3 12" xfId="4961" hidden="1"/>
    <cellStyle name="40% - Accent3 12" xfId="3807" hidden="1"/>
    <cellStyle name="40% - Accent3 12" xfId="5922" hidden="1"/>
    <cellStyle name="40% - Accent3 12" xfId="7654" hidden="1"/>
    <cellStyle name="40% - Accent3 12" xfId="2996" hidden="1"/>
    <cellStyle name="40% - Accent3 12" xfId="2871" hidden="1"/>
    <cellStyle name="40% - Accent3 12" xfId="2637" hidden="1"/>
    <cellStyle name="40% - Accent3 12" xfId="1491" hidden="1"/>
    <cellStyle name="40% - Accent3 12" xfId="1305" hidden="1"/>
    <cellStyle name="40% - Accent3 12" xfId="1083" hidden="1"/>
    <cellStyle name="40% - Accent3 12" xfId="21772" hidden="1"/>
    <cellStyle name="40% - Accent3 12" xfId="21851" hidden="1"/>
    <cellStyle name="40% - Accent3 12" xfId="22380" hidden="1"/>
    <cellStyle name="40% - Accent3 12" xfId="22455" hidden="1"/>
    <cellStyle name="40% - Accent3 12" xfId="22530" hidden="1"/>
    <cellStyle name="40% - Accent3 12" xfId="22608" hidden="1"/>
    <cellStyle name="40% - Accent3 12" xfId="23194" hidden="1"/>
    <cellStyle name="40% - Accent3 12" xfId="23269" hidden="1"/>
    <cellStyle name="40% - Accent3 12" xfId="23348" hidden="1"/>
    <cellStyle name="40% - Accent3 12" xfId="23584" hidden="1"/>
    <cellStyle name="40% - Accent3 12" xfId="23075" hidden="1"/>
    <cellStyle name="40% - Accent3 12" xfId="22985" hidden="1"/>
    <cellStyle name="40% - Accent3 12" xfId="23789" hidden="1"/>
    <cellStyle name="40% - Accent3 12" xfId="23864" hidden="1"/>
    <cellStyle name="40% - Accent3 12" xfId="23942" hidden="1"/>
    <cellStyle name="40% - Accent3 12" xfId="24142" hidden="1"/>
    <cellStyle name="40% - Accent3 12" xfId="23603" hidden="1"/>
    <cellStyle name="40% - Accent3 12" xfId="23286" hidden="1"/>
    <cellStyle name="40% - Accent3 12" xfId="24321" hidden="1"/>
    <cellStyle name="40% - Accent3 12" xfId="24396" hidden="1"/>
    <cellStyle name="40% - Accent3 12" xfId="24474" hidden="1"/>
    <cellStyle name="40% - Accent3 12" xfId="24658" hidden="1"/>
    <cellStyle name="40% - Accent3 12" xfId="24733" hidden="1"/>
    <cellStyle name="40% - Accent3 12" xfId="24811" hidden="1"/>
    <cellStyle name="40% - Accent3 12" xfId="24995" hidden="1"/>
    <cellStyle name="40% - Accent3 12" xfId="25070" hidden="1"/>
    <cellStyle name="40% - Accent3 12" xfId="25172" hidden="1"/>
    <cellStyle name="40% - Accent3 12" xfId="25247" hidden="1"/>
    <cellStyle name="40% - Accent3 12" xfId="25322" hidden="1"/>
    <cellStyle name="40% - Accent3 12" xfId="25400" hidden="1"/>
    <cellStyle name="40% - Accent3 12" xfId="25986" hidden="1"/>
    <cellStyle name="40% - Accent3 12" xfId="26061" hidden="1"/>
    <cellStyle name="40% - Accent3 12" xfId="26140" hidden="1"/>
    <cellStyle name="40% - Accent3 12" xfId="26376" hidden="1"/>
    <cellStyle name="40% - Accent3 12" xfId="25867" hidden="1"/>
    <cellStyle name="40% - Accent3 12" xfId="25777" hidden="1"/>
    <cellStyle name="40% - Accent3 12" xfId="26581" hidden="1"/>
    <cellStyle name="40% - Accent3 12" xfId="26656" hidden="1"/>
    <cellStyle name="40% - Accent3 12" xfId="26734" hidden="1"/>
    <cellStyle name="40% - Accent3 12" xfId="26934" hidden="1"/>
    <cellStyle name="40% - Accent3 12" xfId="26395" hidden="1"/>
    <cellStyle name="40% - Accent3 12" xfId="26078" hidden="1"/>
    <cellStyle name="40% - Accent3 12" xfId="27113" hidden="1"/>
    <cellStyle name="40% - Accent3 12" xfId="27188" hidden="1"/>
    <cellStyle name="40% - Accent3 12" xfId="27266" hidden="1"/>
    <cellStyle name="40% - Accent3 12" xfId="27450" hidden="1"/>
    <cellStyle name="40% - Accent3 12" xfId="27525" hidden="1"/>
    <cellStyle name="40% - Accent3 12" xfId="27603" hidden="1"/>
    <cellStyle name="40% - Accent3 12" xfId="27787" hidden="1"/>
    <cellStyle name="40% - Accent3 12" xfId="27862" hidden="1"/>
    <cellStyle name="40% - Accent3 12" xfId="22215" hidden="1"/>
    <cellStyle name="40% - Accent3 12" xfId="22140" hidden="1"/>
    <cellStyle name="40% - Accent3 12" xfId="22060" hidden="1"/>
    <cellStyle name="40% - Accent3 12" xfId="21977" hidden="1"/>
    <cellStyle name="40% - Accent3 12" xfId="8830" hidden="1"/>
    <cellStyle name="40% - Accent3 12" xfId="8538" hidden="1"/>
    <cellStyle name="40% - Accent3 12" xfId="8401" hidden="1"/>
    <cellStyle name="40% - Accent3 12" xfId="6724" hidden="1"/>
    <cellStyle name="40% - Accent3 12" xfId="9209" hidden="1"/>
    <cellStyle name="40% - Accent3 12" xfId="9528" hidden="1"/>
    <cellStyle name="40% - Accent3 12" xfId="5811" hidden="1"/>
    <cellStyle name="40% - Accent3 12" xfId="5574" hidden="1"/>
    <cellStyle name="40% - Accent3 12" xfId="5480" hidden="1"/>
    <cellStyle name="40% - Accent3 12" xfId="3996" hidden="1"/>
    <cellStyle name="40% - Accent3 12" xfId="6434" hidden="1"/>
    <cellStyle name="40% - Accent3 12" xfId="8514" hidden="1"/>
    <cellStyle name="40% - Accent3 12" xfId="3334" hidden="1"/>
    <cellStyle name="40% - Accent3 12" xfId="3146" hidden="1"/>
    <cellStyle name="40% - Accent3 12" xfId="2967" hidden="1"/>
    <cellStyle name="40% - Accent3 12" xfId="1630" hidden="1"/>
    <cellStyle name="40% - Accent3 12" xfId="1463" hidden="1"/>
    <cellStyle name="40% - Accent3 12" xfId="1207" hidden="1"/>
    <cellStyle name="40% - Accent3 12" xfId="27922" hidden="1"/>
    <cellStyle name="40% - Accent3 12" xfId="27997" hidden="1"/>
    <cellStyle name="40% - Accent3 12" xfId="28099" hidden="1"/>
    <cellStyle name="40% - Accent3 12" xfId="28174" hidden="1"/>
    <cellStyle name="40% - Accent3 12" xfId="28249" hidden="1"/>
    <cellStyle name="40% - Accent3 12" xfId="28327" hidden="1"/>
    <cellStyle name="40% - Accent3 12" xfId="28913" hidden="1"/>
    <cellStyle name="40% - Accent3 12" xfId="28988" hidden="1"/>
    <cellStyle name="40% - Accent3 12" xfId="29067" hidden="1"/>
    <cellStyle name="40% - Accent3 12" xfId="29303" hidden="1"/>
    <cellStyle name="40% - Accent3 12" xfId="28794" hidden="1"/>
    <cellStyle name="40% - Accent3 12" xfId="28704" hidden="1"/>
    <cellStyle name="40% - Accent3 12" xfId="29508" hidden="1"/>
    <cellStyle name="40% - Accent3 12" xfId="29583" hidden="1"/>
    <cellStyle name="40% - Accent3 12" xfId="29661" hidden="1"/>
    <cellStyle name="40% - Accent3 12" xfId="29861" hidden="1"/>
    <cellStyle name="40% - Accent3 12" xfId="29322" hidden="1"/>
    <cellStyle name="40% - Accent3 12" xfId="29005" hidden="1"/>
    <cellStyle name="40% - Accent3 12" xfId="30040" hidden="1"/>
    <cellStyle name="40% - Accent3 12" xfId="30115" hidden="1"/>
    <cellStyle name="40% - Accent3 12" xfId="30193" hidden="1"/>
    <cellStyle name="40% - Accent3 12" xfId="30377" hidden="1"/>
    <cellStyle name="40% - Accent3 12" xfId="30452" hidden="1"/>
    <cellStyle name="40% - Accent3 12" xfId="30530" hidden="1"/>
    <cellStyle name="40% - Accent3 12" xfId="30714" hidden="1"/>
    <cellStyle name="40% - Accent3 12" xfId="30789" hidden="1"/>
    <cellStyle name="40% - Accent3 12" xfId="30891" hidden="1"/>
    <cellStyle name="40% - Accent3 12" xfId="30966" hidden="1"/>
    <cellStyle name="40% - Accent3 12" xfId="31041" hidden="1"/>
    <cellStyle name="40% - Accent3 12" xfId="31119" hidden="1"/>
    <cellStyle name="40% - Accent3 12" xfId="31705" hidden="1"/>
    <cellStyle name="40% - Accent3 12" xfId="31780" hidden="1"/>
    <cellStyle name="40% - Accent3 12" xfId="31859" hidden="1"/>
    <cellStyle name="40% - Accent3 12" xfId="32095" hidden="1"/>
    <cellStyle name="40% - Accent3 12" xfId="31586" hidden="1"/>
    <cellStyle name="40% - Accent3 12" xfId="31496" hidden="1"/>
    <cellStyle name="40% - Accent3 12" xfId="32300" hidden="1"/>
    <cellStyle name="40% - Accent3 12" xfId="32375" hidden="1"/>
    <cellStyle name="40% - Accent3 12" xfId="32453" hidden="1"/>
    <cellStyle name="40% - Accent3 12" xfId="32653" hidden="1"/>
    <cellStyle name="40% - Accent3 12" xfId="32114" hidden="1"/>
    <cellStyle name="40% - Accent3 12" xfId="31797" hidden="1"/>
    <cellStyle name="40% - Accent3 12" xfId="32832" hidden="1"/>
    <cellStyle name="40% - Accent3 12" xfId="32907" hidden="1"/>
    <cellStyle name="40% - Accent3 12" xfId="32985" hidden="1"/>
    <cellStyle name="40% - Accent3 12" xfId="33169" hidden="1"/>
    <cellStyle name="40% - Accent3 12" xfId="33244" hidden="1"/>
    <cellStyle name="40% - Accent3 12" xfId="33322" hidden="1"/>
    <cellStyle name="40% - Accent3 12" xfId="33506" hidden="1"/>
    <cellStyle name="40% - Accent3 12" xfId="33581" hidden="1"/>
    <cellStyle name="40% - Accent3 13" xfId="747" hidden="1"/>
    <cellStyle name="40% - Accent3 13" xfId="951" hidden="1"/>
    <cellStyle name="40% - Accent3 13" xfId="3520" hidden="1"/>
    <cellStyle name="40% - Accent3 13" xfId="4035" hidden="1"/>
    <cellStyle name="40% - Accent3 13" xfId="5354" hidden="1"/>
    <cellStyle name="40% - Accent3 13" xfId="6051" hidden="1"/>
    <cellStyle name="40% - Accent3 13" xfId="7067" hidden="1"/>
    <cellStyle name="40% - Accent3 13" xfId="8270" hidden="1"/>
    <cellStyle name="40% - Accent3 13" xfId="10129" hidden="1"/>
    <cellStyle name="40% - Accent3 13" xfId="10244" hidden="1"/>
    <cellStyle name="40% - Accent3 13" xfId="10967" hidden="1"/>
    <cellStyle name="40% - Accent3 13" xfId="11140" hidden="1"/>
    <cellStyle name="40% - Accent3 13" xfId="11533" hidden="1"/>
    <cellStyle name="40% - Accent3 13" xfId="11681" hidden="1"/>
    <cellStyle name="40% - Accent3 13" xfId="12019" hidden="1"/>
    <cellStyle name="40% - Accent3 13" xfId="12356" hidden="1"/>
    <cellStyle name="40% - Accent3 13" xfId="12921" hidden="1"/>
    <cellStyle name="40% - Accent3 13" xfId="13036" hidden="1"/>
    <cellStyle name="40% - Accent3 13" xfId="13759" hidden="1"/>
    <cellStyle name="40% - Accent3 13" xfId="13932" hidden="1"/>
    <cellStyle name="40% - Accent3 13" xfId="14325" hidden="1"/>
    <cellStyle name="40% - Accent3 13" xfId="14473" hidden="1"/>
    <cellStyle name="40% - Accent3 13" xfId="14811" hidden="1"/>
    <cellStyle name="40% - Accent3 13" xfId="15148" hidden="1"/>
    <cellStyle name="40% - Accent3 13" xfId="9200" hidden="1"/>
    <cellStyle name="40% - Accent3 13" xfId="8658" hidden="1"/>
    <cellStyle name="40% - Accent3 13" xfId="6027" hidden="1"/>
    <cellStyle name="40% - Accent3 13" xfId="5236" hidden="1"/>
    <cellStyle name="40% - Accent3 13" xfId="3954" hidden="1"/>
    <cellStyle name="40% - Accent3 13" xfId="3276" hidden="1"/>
    <cellStyle name="40% - Accent3 13" xfId="1841" hidden="1"/>
    <cellStyle name="40% - Accent3 13" xfId="472" hidden="1"/>
    <cellStyle name="40% - Accent3 13" xfId="16470" hidden="1"/>
    <cellStyle name="40% - Accent3 13" xfId="16585" hidden="1"/>
    <cellStyle name="40% - Accent3 13" xfId="17308" hidden="1"/>
    <cellStyle name="40% - Accent3 13" xfId="17481" hidden="1"/>
    <cellStyle name="40% - Accent3 13" xfId="17874" hidden="1"/>
    <cellStyle name="40% - Accent3 13" xfId="18022" hidden="1"/>
    <cellStyle name="40% - Accent3 13" xfId="18360" hidden="1"/>
    <cellStyle name="40% - Accent3 13" xfId="18697" hidden="1"/>
    <cellStyle name="40% - Accent3 13" xfId="19262" hidden="1"/>
    <cellStyle name="40% - Accent3 13" xfId="19377" hidden="1"/>
    <cellStyle name="40% - Accent3 13" xfId="20100" hidden="1"/>
    <cellStyle name="40% - Accent3 13" xfId="20273" hidden="1"/>
    <cellStyle name="40% - Accent3 13" xfId="20666" hidden="1"/>
    <cellStyle name="40% - Accent3 13" xfId="20814" hidden="1"/>
    <cellStyle name="40% - Accent3 13" xfId="21152" hidden="1"/>
    <cellStyle name="40% - Accent3 13" xfId="21489" hidden="1"/>
    <cellStyle name="40% - Accent3 13" xfId="15708" hidden="1"/>
    <cellStyle name="40% - Accent3 13" xfId="9752" hidden="1"/>
    <cellStyle name="40% - Accent3 13" xfId="6613" hidden="1"/>
    <cellStyle name="40% - Accent3 13" xfId="5769" hidden="1"/>
    <cellStyle name="40% - Accent3 13" xfId="4221" hidden="1"/>
    <cellStyle name="40% - Accent3 13" xfId="3503" hidden="1"/>
    <cellStyle name="40% - Accent3 13" xfId="2014" hidden="1"/>
    <cellStyle name="40% - Accent3 13" xfId="576" hidden="1"/>
    <cellStyle name="40% - Accent3 13" xfId="22621" hidden="1"/>
    <cellStyle name="40% - Accent3 13" xfId="22736" hidden="1"/>
    <cellStyle name="40% - Accent3 13" xfId="23459" hidden="1"/>
    <cellStyle name="40% - Accent3 13" xfId="23632" hidden="1"/>
    <cellStyle name="40% - Accent3 13" xfId="24025" hidden="1"/>
    <cellStyle name="40% - Accent3 13" xfId="24173" hidden="1"/>
    <cellStyle name="40% - Accent3 13" xfId="24511" hidden="1"/>
    <cellStyle name="40% - Accent3 13" xfId="24848" hidden="1"/>
    <cellStyle name="40% - Accent3 13" xfId="25413" hidden="1"/>
    <cellStyle name="40% - Accent3 13" xfId="25528" hidden="1"/>
    <cellStyle name="40% - Accent3 13" xfId="26251" hidden="1"/>
    <cellStyle name="40% - Accent3 13" xfId="26424" hidden="1"/>
    <cellStyle name="40% - Accent3 13" xfId="26817" hidden="1"/>
    <cellStyle name="40% - Accent3 13" xfId="26965" hidden="1"/>
    <cellStyle name="40% - Accent3 13" xfId="27303" hidden="1"/>
    <cellStyle name="40% - Accent3 13" xfId="27640" hidden="1"/>
    <cellStyle name="40% - Accent3 13" xfId="21964" hidden="1"/>
    <cellStyle name="40% - Accent3 13" xfId="16132" hidden="1"/>
    <cellStyle name="40% - Accent3 13" xfId="7315" hidden="1"/>
    <cellStyle name="40% - Accent3 13" xfId="6278" hidden="1"/>
    <cellStyle name="40% - Accent3 13" xfId="4533" hidden="1"/>
    <cellStyle name="40% - Accent3 13" xfId="3758" hidden="1"/>
    <cellStyle name="40% - Accent3 13" xfId="2195" hidden="1"/>
    <cellStyle name="40% - Accent3 13" xfId="715" hidden="1"/>
    <cellStyle name="40% - Accent3 13" xfId="28340" hidden="1"/>
    <cellStyle name="40% - Accent3 13" xfId="28455" hidden="1"/>
    <cellStyle name="40% - Accent3 13" xfId="29178" hidden="1"/>
    <cellStyle name="40% - Accent3 13" xfId="29351" hidden="1"/>
    <cellStyle name="40% - Accent3 13" xfId="29744" hidden="1"/>
    <cellStyle name="40% - Accent3 13" xfId="29892" hidden="1"/>
    <cellStyle name="40% - Accent3 13" xfId="30230" hidden="1"/>
    <cellStyle name="40% - Accent3 13" xfId="30567" hidden="1"/>
    <cellStyle name="40% - Accent3 13" xfId="31132" hidden="1"/>
    <cellStyle name="40% - Accent3 13" xfId="31247" hidden="1"/>
    <cellStyle name="40% - Accent3 13" xfId="31970" hidden="1"/>
    <cellStyle name="40% - Accent3 13" xfId="32143" hidden="1"/>
    <cellStyle name="40% - Accent3 13" xfId="32536" hidden="1"/>
    <cellStyle name="40% - Accent3 13" xfId="32684" hidden="1"/>
    <cellStyle name="40% - Accent3 13" xfId="33022" hidden="1"/>
    <cellStyle name="40% - Accent3 13" xfId="33359" hidden="1"/>
    <cellStyle name="40% - Accent3 3 2 3 2" xfId="833" hidden="1"/>
    <cellStyle name="40% - Accent3 3 2 3 2" xfId="1041" hidden="1"/>
    <cellStyle name="40% - Accent3 3 2 3 2" xfId="3605" hidden="1"/>
    <cellStyle name="40% - Accent3 3 2 3 2" xfId="4120" hidden="1"/>
    <cellStyle name="40% - Accent3 3 2 3 2" xfId="5439" hidden="1"/>
    <cellStyle name="40% - Accent3 3 2 3 2" xfId="6136" hidden="1"/>
    <cellStyle name="40% - Accent3 3 2 3 2" xfId="7153" hidden="1"/>
    <cellStyle name="40% - Accent3 3 2 3 2" xfId="8357" hidden="1"/>
    <cellStyle name="40% - Accent3 3 2 3 2" xfId="10214" hidden="1"/>
    <cellStyle name="40% - Accent3 3 2 3 2" xfId="10329" hidden="1"/>
    <cellStyle name="40% - Accent3 3 2 3 2" xfId="11052" hidden="1"/>
    <cellStyle name="40% - Accent3 3 2 3 2" xfId="11225" hidden="1"/>
    <cellStyle name="40% - Accent3 3 2 3 2" xfId="11618" hidden="1"/>
    <cellStyle name="40% - Accent3 3 2 3 2" xfId="11766" hidden="1"/>
    <cellStyle name="40% - Accent3 3 2 3 2" xfId="12104" hidden="1"/>
    <cellStyle name="40% - Accent3 3 2 3 2" xfId="12441" hidden="1"/>
    <cellStyle name="40% - Accent3 3 2 3 2" xfId="13006" hidden="1"/>
    <cellStyle name="40% - Accent3 3 2 3 2" xfId="13121" hidden="1"/>
    <cellStyle name="40% - Accent3 3 2 3 2" xfId="13844" hidden="1"/>
    <cellStyle name="40% - Accent3 3 2 3 2" xfId="14017" hidden="1"/>
    <cellStyle name="40% - Accent3 3 2 3 2" xfId="14410" hidden="1"/>
    <cellStyle name="40% - Accent3 3 2 3 2" xfId="14558" hidden="1"/>
    <cellStyle name="40% - Accent3 3 2 3 2" xfId="14896" hidden="1"/>
    <cellStyle name="40% - Accent3 3 2 3 2" xfId="15233" hidden="1"/>
    <cellStyle name="40% - Accent3 3 2 3 2" xfId="9113" hidden="1"/>
    <cellStyle name="40% - Accent3 3 2 3 2" xfId="8569" hidden="1"/>
    <cellStyle name="40% - Accent3 3 2 3 2" xfId="5941" hidden="1"/>
    <cellStyle name="40% - Accent3 3 2 3 2" xfId="5149" hidden="1"/>
    <cellStyle name="40% - Accent3 3 2 3 2" xfId="3864" hidden="1"/>
    <cellStyle name="40% - Accent3 3 2 3 2" xfId="3185" hidden="1"/>
    <cellStyle name="40% - Accent3 3 2 3 2" xfId="1742" hidden="1"/>
    <cellStyle name="40% - Accent3 3 2 3 2" xfId="334" hidden="1"/>
    <cellStyle name="40% - Accent3 3 2 3 2" xfId="16555" hidden="1"/>
    <cellStyle name="40% - Accent3 3 2 3 2" xfId="16670" hidden="1"/>
    <cellStyle name="40% - Accent3 3 2 3 2" xfId="17393" hidden="1"/>
    <cellStyle name="40% - Accent3 3 2 3 2" xfId="17566" hidden="1"/>
    <cellStyle name="40% - Accent3 3 2 3 2" xfId="17959" hidden="1"/>
    <cellStyle name="40% - Accent3 3 2 3 2" xfId="18107" hidden="1"/>
    <cellStyle name="40% - Accent3 3 2 3 2" xfId="18445" hidden="1"/>
    <cellStyle name="40% - Accent3 3 2 3 2" xfId="18782" hidden="1"/>
    <cellStyle name="40% - Accent3 3 2 3 2" xfId="19347" hidden="1"/>
    <cellStyle name="40% - Accent3 3 2 3 2" xfId="19462" hidden="1"/>
    <cellStyle name="40% - Accent3 3 2 3 2" xfId="20185" hidden="1"/>
    <cellStyle name="40% - Accent3 3 2 3 2" xfId="20358" hidden="1"/>
    <cellStyle name="40% - Accent3 3 2 3 2" xfId="20751" hidden="1"/>
    <cellStyle name="40% - Accent3 3 2 3 2" xfId="20899" hidden="1"/>
    <cellStyle name="40% - Accent3 3 2 3 2" xfId="21237" hidden="1"/>
    <cellStyle name="40% - Accent3 3 2 3 2" xfId="21574" hidden="1"/>
    <cellStyle name="40% - Accent3 3 2 3 2" xfId="15621" hidden="1"/>
    <cellStyle name="40% - Accent3 3 2 3 2" xfId="9666" hidden="1"/>
    <cellStyle name="40% - Accent3 3 2 3 2" xfId="6512" hidden="1"/>
    <cellStyle name="40% - Accent3 3 2 3 2" xfId="5662" hidden="1"/>
    <cellStyle name="40% - Accent3 3 2 3 2" xfId="4135" hidden="1"/>
    <cellStyle name="40% - Accent3 3 2 3 2" xfId="3413" hidden="1"/>
    <cellStyle name="40% - Accent3 3 2 3 2" xfId="1915" hidden="1"/>
    <cellStyle name="40% - Accent3 3 2 3 2" xfId="465" hidden="1"/>
    <cellStyle name="40% - Accent3 3 2 3 2" xfId="22706" hidden="1"/>
    <cellStyle name="40% - Accent3 3 2 3 2" xfId="22821" hidden="1"/>
    <cellStyle name="40% - Accent3 3 2 3 2" xfId="23544" hidden="1"/>
    <cellStyle name="40% - Accent3 3 2 3 2" xfId="23717" hidden="1"/>
    <cellStyle name="40% - Accent3 3 2 3 2" xfId="24110" hidden="1"/>
    <cellStyle name="40% - Accent3 3 2 3 2" xfId="24258" hidden="1"/>
    <cellStyle name="40% - Accent3 3 2 3 2" xfId="24596" hidden="1"/>
    <cellStyle name="40% - Accent3 3 2 3 2" xfId="24933" hidden="1"/>
    <cellStyle name="40% - Accent3 3 2 3 2" xfId="25498" hidden="1"/>
    <cellStyle name="40% - Accent3 3 2 3 2" xfId="25613" hidden="1"/>
    <cellStyle name="40% - Accent3 3 2 3 2" xfId="26336" hidden="1"/>
    <cellStyle name="40% - Accent3 3 2 3 2" xfId="26509" hidden="1"/>
    <cellStyle name="40% - Accent3 3 2 3 2" xfId="26902" hidden="1"/>
    <cellStyle name="40% - Accent3 3 2 3 2" xfId="27050" hidden="1"/>
    <cellStyle name="40% - Accent3 3 2 3 2" xfId="27388" hidden="1"/>
    <cellStyle name="40% - Accent3 3 2 3 2" xfId="27725" hidden="1"/>
    <cellStyle name="40% - Accent3 3 2 3 2" xfId="21877" hidden="1"/>
    <cellStyle name="40% - Accent3 3 2 3 2" xfId="16047" hidden="1"/>
    <cellStyle name="40% - Accent3 3 2 3 2" xfId="7214" hidden="1"/>
    <cellStyle name="40% - Accent3 3 2 3 2" xfId="6169" hidden="1"/>
    <cellStyle name="40% - Accent3 3 2 3 2" xfId="4339" hidden="1"/>
    <cellStyle name="40% - Accent3 3 2 3 2" xfId="3670" hidden="1"/>
    <cellStyle name="40% - Accent3 3 2 3 2" xfId="2102" hidden="1"/>
    <cellStyle name="40% - Accent3 3 2 3 2" xfId="590" hidden="1"/>
    <cellStyle name="40% - Accent3 3 2 3 2" xfId="28425" hidden="1"/>
    <cellStyle name="40% - Accent3 3 2 3 2" xfId="28540" hidden="1"/>
    <cellStyle name="40% - Accent3 3 2 3 2" xfId="29263" hidden="1"/>
    <cellStyle name="40% - Accent3 3 2 3 2" xfId="29436" hidden="1"/>
    <cellStyle name="40% - Accent3 3 2 3 2" xfId="29829" hidden="1"/>
    <cellStyle name="40% - Accent3 3 2 3 2" xfId="29977" hidden="1"/>
    <cellStyle name="40% - Accent3 3 2 3 2" xfId="30315" hidden="1"/>
    <cellStyle name="40% - Accent3 3 2 3 2" xfId="30652" hidden="1"/>
    <cellStyle name="40% - Accent3 3 2 3 2" xfId="31217" hidden="1"/>
    <cellStyle name="40% - Accent3 3 2 3 2" xfId="31332" hidden="1"/>
    <cellStyle name="40% - Accent3 3 2 3 2" xfId="32055" hidden="1"/>
    <cellStyle name="40% - Accent3 3 2 3 2" xfId="32228" hidden="1"/>
    <cellStyle name="40% - Accent3 3 2 3 2" xfId="32621" hidden="1"/>
    <cellStyle name="40% - Accent3 3 2 3 2" xfId="32769" hidden="1"/>
    <cellStyle name="40% - Accent3 3 2 3 2" xfId="33107" hidden="1"/>
    <cellStyle name="40% - Accent3 3 2 3 2" xfId="33444" hidden="1"/>
    <cellStyle name="40% - Accent3 3 2 4 2" xfId="800" hidden="1"/>
    <cellStyle name="40% - Accent3 3 2 4 2" xfId="1008" hidden="1"/>
    <cellStyle name="40% - Accent3 3 2 4 2" xfId="3572" hidden="1"/>
    <cellStyle name="40% - Accent3 3 2 4 2" xfId="4087" hidden="1"/>
    <cellStyle name="40% - Accent3 3 2 4 2" xfId="5406" hidden="1"/>
    <cellStyle name="40% - Accent3 3 2 4 2" xfId="6103" hidden="1"/>
    <cellStyle name="40% - Accent3 3 2 4 2" xfId="7120" hidden="1"/>
    <cellStyle name="40% - Accent3 3 2 4 2" xfId="8324" hidden="1"/>
    <cellStyle name="40% - Accent3 3 2 4 2" xfId="10181" hidden="1"/>
    <cellStyle name="40% - Accent3 3 2 4 2" xfId="10296" hidden="1"/>
    <cellStyle name="40% - Accent3 3 2 4 2" xfId="11019" hidden="1"/>
    <cellStyle name="40% - Accent3 3 2 4 2" xfId="11192" hidden="1"/>
    <cellStyle name="40% - Accent3 3 2 4 2" xfId="11585" hidden="1"/>
    <cellStyle name="40% - Accent3 3 2 4 2" xfId="11733" hidden="1"/>
    <cellStyle name="40% - Accent3 3 2 4 2" xfId="12071" hidden="1"/>
    <cellStyle name="40% - Accent3 3 2 4 2" xfId="12408" hidden="1"/>
    <cellStyle name="40% - Accent3 3 2 4 2" xfId="12973" hidden="1"/>
    <cellStyle name="40% - Accent3 3 2 4 2" xfId="13088" hidden="1"/>
    <cellStyle name="40% - Accent3 3 2 4 2" xfId="13811" hidden="1"/>
    <cellStyle name="40% - Accent3 3 2 4 2" xfId="13984" hidden="1"/>
    <cellStyle name="40% - Accent3 3 2 4 2" xfId="14377" hidden="1"/>
    <cellStyle name="40% - Accent3 3 2 4 2" xfId="14525" hidden="1"/>
    <cellStyle name="40% - Accent3 3 2 4 2" xfId="14863" hidden="1"/>
    <cellStyle name="40% - Accent3 3 2 4 2" xfId="15200" hidden="1"/>
    <cellStyle name="40% - Accent3 3 2 4 2" xfId="9147" hidden="1"/>
    <cellStyle name="40% - Accent3 3 2 4 2" xfId="8602" hidden="1"/>
    <cellStyle name="40% - Accent3 3 2 4 2" xfId="5974" hidden="1"/>
    <cellStyle name="40% - Accent3 3 2 4 2" xfId="5183" hidden="1"/>
    <cellStyle name="40% - Accent3 3 2 4 2" xfId="3900" hidden="1"/>
    <cellStyle name="40% - Accent3 3 2 4 2" xfId="3220" hidden="1"/>
    <cellStyle name="40% - Accent3 3 2 4 2" xfId="1778" hidden="1"/>
    <cellStyle name="40% - Accent3 3 2 4 2" xfId="385" hidden="1"/>
    <cellStyle name="40% - Accent3 3 2 4 2" xfId="16522" hidden="1"/>
    <cellStyle name="40% - Accent3 3 2 4 2" xfId="16637" hidden="1"/>
    <cellStyle name="40% - Accent3 3 2 4 2" xfId="17360" hidden="1"/>
    <cellStyle name="40% - Accent3 3 2 4 2" xfId="17533" hidden="1"/>
    <cellStyle name="40% - Accent3 3 2 4 2" xfId="17926" hidden="1"/>
    <cellStyle name="40% - Accent3 3 2 4 2" xfId="18074" hidden="1"/>
    <cellStyle name="40% - Accent3 3 2 4 2" xfId="18412" hidden="1"/>
    <cellStyle name="40% - Accent3 3 2 4 2" xfId="18749" hidden="1"/>
    <cellStyle name="40% - Accent3 3 2 4 2" xfId="19314" hidden="1"/>
    <cellStyle name="40% - Accent3 3 2 4 2" xfId="19429" hidden="1"/>
    <cellStyle name="40% - Accent3 3 2 4 2" xfId="20152" hidden="1"/>
    <cellStyle name="40% - Accent3 3 2 4 2" xfId="20325" hidden="1"/>
    <cellStyle name="40% - Accent3 3 2 4 2" xfId="20718" hidden="1"/>
    <cellStyle name="40% - Accent3 3 2 4 2" xfId="20866" hidden="1"/>
    <cellStyle name="40% - Accent3 3 2 4 2" xfId="21204" hidden="1"/>
    <cellStyle name="40% - Accent3 3 2 4 2" xfId="21541" hidden="1"/>
    <cellStyle name="40% - Accent3 3 2 4 2" xfId="15655" hidden="1"/>
    <cellStyle name="40% - Accent3 3 2 4 2" xfId="9699" hidden="1"/>
    <cellStyle name="40% - Accent3 3 2 4 2" xfId="6552" hidden="1"/>
    <cellStyle name="40% - Accent3 3 2 4 2" xfId="5702" hidden="1"/>
    <cellStyle name="40% - Accent3 3 2 4 2" xfId="4169" hidden="1"/>
    <cellStyle name="40% - Accent3 3 2 4 2" xfId="3447" hidden="1"/>
    <cellStyle name="40% - Accent3 3 2 4 2" xfId="1956" hidden="1"/>
    <cellStyle name="40% - Accent3 3 2 4 2" xfId="516" hidden="1"/>
    <cellStyle name="40% - Accent3 3 2 4 2" xfId="22673" hidden="1"/>
    <cellStyle name="40% - Accent3 3 2 4 2" xfId="22788" hidden="1"/>
    <cellStyle name="40% - Accent3 3 2 4 2" xfId="23511" hidden="1"/>
    <cellStyle name="40% - Accent3 3 2 4 2" xfId="23684" hidden="1"/>
    <cellStyle name="40% - Accent3 3 2 4 2" xfId="24077" hidden="1"/>
    <cellStyle name="40% - Accent3 3 2 4 2" xfId="24225" hidden="1"/>
    <cellStyle name="40% - Accent3 3 2 4 2" xfId="24563" hidden="1"/>
    <cellStyle name="40% - Accent3 3 2 4 2" xfId="24900" hidden="1"/>
    <cellStyle name="40% - Accent3 3 2 4 2" xfId="25465" hidden="1"/>
    <cellStyle name="40% - Accent3 3 2 4 2" xfId="25580" hidden="1"/>
    <cellStyle name="40% - Accent3 3 2 4 2" xfId="26303" hidden="1"/>
    <cellStyle name="40% - Accent3 3 2 4 2" xfId="26476" hidden="1"/>
    <cellStyle name="40% - Accent3 3 2 4 2" xfId="26869" hidden="1"/>
    <cellStyle name="40% - Accent3 3 2 4 2" xfId="27017" hidden="1"/>
    <cellStyle name="40% - Accent3 3 2 4 2" xfId="27355" hidden="1"/>
    <cellStyle name="40% - Accent3 3 2 4 2" xfId="27692" hidden="1"/>
    <cellStyle name="40% - Accent3 3 2 4 2" xfId="21911" hidden="1"/>
    <cellStyle name="40% - Accent3 3 2 4 2" xfId="16080" hidden="1"/>
    <cellStyle name="40% - Accent3 3 2 4 2" xfId="7258" hidden="1"/>
    <cellStyle name="40% - Accent3 3 2 4 2" xfId="6212" hidden="1"/>
    <cellStyle name="40% - Accent3 3 2 4 2" xfId="4437" hidden="1"/>
    <cellStyle name="40% - Accent3 3 2 4 2" xfId="3705" hidden="1"/>
    <cellStyle name="40% - Accent3 3 2 4 2" xfId="2139" hidden="1"/>
    <cellStyle name="40% - Accent3 3 2 4 2" xfId="626" hidden="1"/>
    <cellStyle name="40% - Accent3 3 2 4 2" xfId="28392" hidden="1"/>
    <cellStyle name="40% - Accent3 3 2 4 2" xfId="28507" hidden="1"/>
    <cellStyle name="40% - Accent3 3 2 4 2" xfId="29230" hidden="1"/>
    <cellStyle name="40% - Accent3 3 2 4 2" xfId="29403" hidden="1"/>
    <cellStyle name="40% - Accent3 3 2 4 2" xfId="29796" hidden="1"/>
    <cellStyle name="40% - Accent3 3 2 4 2" xfId="29944" hidden="1"/>
    <cellStyle name="40% - Accent3 3 2 4 2" xfId="30282" hidden="1"/>
    <cellStyle name="40% - Accent3 3 2 4 2" xfId="30619" hidden="1"/>
    <cellStyle name="40% - Accent3 3 2 4 2" xfId="31184" hidden="1"/>
    <cellStyle name="40% - Accent3 3 2 4 2" xfId="31299" hidden="1"/>
    <cellStyle name="40% - Accent3 3 2 4 2" xfId="32022" hidden="1"/>
    <cellStyle name="40% - Accent3 3 2 4 2" xfId="32195" hidden="1"/>
    <cellStyle name="40% - Accent3 3 2 4 2" xfId="32588" hidden="1"/>
    <cellStyle name="40% - Accent3 3 2 4 2" xfId="32736" hidden="1"/>
    <cellStyle name="40% - Accent3 3 2 4 2" xfId="33074" hidden="1"/>
    <cellStyle name="40% - Accent3 3 2 4 2" xfId="33411" hidden="1"/>
    <cellStyle name="40% - Accent3 3 3 3 2" xfId="799" hidden="1"/>
    <cellStyle name="40% - Accent3 3 3 3 2" xfId="1007" hidden="1"/>
    <cellStyle name="40% - Accent3 3 3 3 2" xfId="3571" hidden="1"/>
    <cellStyle name="40% - Accent3 3 3 3 2" xfId="4086" hidden="1"/>
    <cellStyle name="40% - Accent3 3 3 3 2" xfId="5405" hidden="1"/>
    <cellStyle name="40% - Accent3 3 3 3 2" xfId="6102" hidden="1"/>
    <cellStyle name="40% - Accent3 3 3 3 2" xfId="7119" hidden="1"/>
    <cellStyle name="40% - Accent3 3 3 3 2" xfId="8323" hidden="1"/>
    <cellStyle name="40% - Accent3 3 3 3 2" xfId="10180" hidden="1"/>
    <cellStyle name="40% - Accent3 3 3 3 2" xfId="10295" hidden="1"/>
    <cellStyle name="40% - Accent3 3 3 3 2" xfId="11018" hidden="1"/>
    <cellStyle name="40% - Accent3 3 3 3 2" xfId="11191" hidden="1"/>
    <cellStyle name="40% - Accent3 3 3 3 2" xfId="11584" hidden="1"/>
    <cellStyle name="40% - Accent3 3 3 3 2" xfId="11732" hidden="1"/>
    <cellStyle name="40% - Accent3 3 3 3 2" xfId="12070" hidden="1"/>
    <cellStyle name="40% - Accent3 3 3 3 2" xfId="12407" hidden="1"/>
    <cellStyle name="40% - Accent3 3 3 3 2" xfId="12972" hidden="1"/>
    <cellStyle name="40% - Accent3 3 3 3 2" xfId="13087" hidden="1"/>
    <cellStyle name="40% - Accent3 3 3 3 2" xfId="13810" hidden="1"/>
    <cellStyle name="40% - Accent3 3 3 3 2" xfId="13983" hidden="1"/>
    <cellStyle name="40% - Accent3 3 3 3 2" xfId="14376" hidden="1"/>
    <cellStyle name="40% - Accent3 3 3 3 2" xfId="14524" hidden="1"/>
    <cellStyle name="40% - Accent3 3 3 3 2" xfId="14862" hidden="1"/>
    <cellStyle name="40% - Accent3 3 3 3 2" xfId="15199" hidden="1"/>
    <cellStyle name="40% - Accent3 3 3 3 2" xfId="9148" hidden="1"/>
    <cellStyle name="40% - Accent3 3 3 3 2" xfId="8603" hidden="1"/>
    <cellStyle name="40% - Accent3 3 3 3 2" xfId="5975" hidden="1"/>
    <cellStyle name="40% - Accent3 3 3 3 2" xfId="5184" hidden="1"/>
    <cellStyle name="40% - Accent3 3 3 3 2" xfId="3901" hidden="1"/>
    <cellStyle name="40% - Accent3 3 3 3 2" xfId="3221" hidden="1"/>
    <cellStyle name="40% - Accent3 3 3 3 2" xfId="1779" hidden="1"/>
    <cellStyle name="40% - Accent3 3 3 3 2" xfId="388" hidden="1"/>
    <cellStyle name="40% - Accent3 3 3 3 2" xfId="16521" hidden="1"/>
    <cellStyle name="40% - Accent3 3 3 3 2" xfId="16636" hidden="1"/>
    <cellStyle name="40% - Accent3 3 3 3 2" xfId="17359" hidden="1"/>
    <cellStyle name="40% - Accent3 3 3 3 2" xfId="17532" hidden="1"/>
    <cellStyle name="40% - Accent3 3 3 3 2" xfId="17925" hidden="1"/>
    <cellStyle name="40% - Accent3 3 3 3 2" xfId="18073" hidden="1"/>
    <cellStyle name="40% - Accent3 3 3 3 2" xfId="18411" hidden="1"/>
    <cellStyle name="40% - Accent3 3 3 3 2" xfId="18748" hidden="1"/>
    <cellStyle name="40% - Accent3 3 3 3 2" xfId="19313" hidden="1"/>
    <cellStyle name="40% - Accent3 3 3 3 2" xfId="19428" hidden="1"/>
    <cellStyle name="40% - Accent3 3 3 3 2" xfId="20151" hidden="1"/>
    <cellStyle name="40% - Accent3 3 3 3 2" xfId="20324" hidden="1"/>
    <cellStyle name="40% - Accent3 3 3 3 2" xfId="20717" hidden="1"/>
    <cellStyle name="40% - Accent3 3 3 3 2" xfId="20865" hidden="1"/>
    <cellStyle name="40% - Accent3 3 3 3 2" xfId="21203" hidden="1"/>
    <cellStyle name="40% - Accent3 3 3 3 2" xfId="21540" hidden="1"/>
    <cellStyle name="40% - Accent3 3 3 3 2" xfId="15656" hidden="1"/>
    <cellStyle name="40% - Accent3 3 3 3 2" xfId="9700" hidden="1"/>
    <cellStyle name="40% - Accent3 3 3 3 2" xfId="6553" hidden="1"/>
    <cellStyle name="40% - Accent3 3 3 3 2" xfId="5703" hidden="1"/>
    <cellStyle name="40% - Accent3 3 3 3 2" xfId="4170" hidden="1"/>
    <cellStyle name="40% - Accent3 3 3 3 2" xfId="3448" hidden="1"/>
    <cellStyle name="40% - Accent3 3 3 3 2" xfId="1958" hidden="1"/>
    <cellStyle name="40% - Accent3 3 3 3 2" xfId="518" hidden="1"/>
    <cellStyle name="40% - Accent3 3 3 3 2" xfId="22672" hidden="1"/>
    <cellStyle name="40% - Accent3 3 3 3 2" xfId="22787" hidden="1"/>
    <cellStyle name="40% - Accent3 3 3 3 2" xfId="23510" hidden="1"/>
    <cellStyle name="40% - Accent3 3 3 3 2" xfId="23683" hidden="1"/>
    <cellStyle name="40% - Accent3 3 3 3 2" xfId="24076" hidden="1"/>
    <cellStyle name="40% - Accent3 3 3 3 2" xfId="24224" hidden="1"/>
    <cellStyle name="40% - Accent3 3 3 3 2" xfId="24562" hidden="1"/>
    <cellStyle name="40% - Accent3 3 3 3 2" xfId="24899" hidden="1"/>
    <cellStyle name="40% - Accent3 3 3 3 2" xfId="25464" hidden="1"/>
    <cellStyle name="40% - Accent3 3 3 3 2" xfId="25579" hidden="1"/>
    <cellStyle name="40% - Accent3 3 3 3 2" xfId="26302" hidden="1"/>
    <cellStyle name="40% - Accent3 3 3 3 2" xfId="26475" hidden="1"/>
    <cellStyle name="40% - Accent3 3 3 3 2" xfId="26868" hidden="1"/>
    <cellStyle name="40% - Accent3 3 3 3 2" xfId="27016" hidden="1"/>
    <cellStyle name="40% - Accent3 3 3 3 2" xfId="27354" hidden="1"/>
    <cellStyle name="40% - Accent3 3 3 3 2" xfId="27691" hidden="1"/>
    <cellStyle name="40% - Accent3 3 3 3 2" xfId="21912" hidden="1"/>
    <cellStyle name="40% - Accent3 3 3 3 2" xfId="16081" hidden="1"/>
    <cellStyle name="40% - Accent3 3 3 3 2" xfId="7259" hidden="1"/>
    <cellStyle name="40% - Accent3 3 3 3 2" xfId="6213" hidden="1"/>
    <cellStyle name="40% - Accent3 3 3 3 2" xfId="4439" hidden="1"/>
    <cellStyle name="40% - Accent3 3 3 3 2" xfId="3706" hidden="1"/>
    <cellStyle name="40% - Accent3 3 3 3 2" xfId="2140" hidden="1"/>
    <cellStyle name="40% - Accent3 3 3 3 2" xfId="628" hidden="1"/>
    <cellStyle name="40% - Accent3 3 3 3 2" xfId="28391" hidden="1"/>
    <cellStyle name="40% - Accent3 3 3 3 2" xfId="28506" hidden="1"/>
    <cellStyle name="40% - Accent3 3 3 3 2" xfId="29229" hidden="1"/>
    <cellStyle name="40% - Accent3 3 3 3 2" xfId="29402" hidden="1"/>
    <cellStyle name="40% - Accent3 3 3 3 2" xfId="29795" hidden="1"/>
    <cellStyle name="40% - Accent3 3 3 3 2" xfId="29943" hidden="1"/>
    <cellStyle name="40% - Accent3 3 3 3 2" xfId="30281" hidden="1"/>
    <cellStyle name="40% - Accent3 3 3 3 2" xfId="30618" hidden="1"/>
    <cellStyle name="40% - Accent3 3 3 3 2" xfId="31183" hidden="1"/>
    <cellStyle name="40% - Accent3 3 3 3 2" xfId="31298" hidden="1"/>
    <cellStyle name="40% - Accent3 3 3 3 2" xfId="32021" hidden="1"/>
    <cellStyle name="40% - Accent3 3 3 3 2" xfId="32194" hidden="1"/>
    <cellStyle name="40% - Accent3 3 3 3 2" xfId="32587" hidden="1"/>
    <cellStyle name="40% - Accent3 3 3 3 2" xfId="32735" hidden="1"/>
    <cellStyle name="40% - Accent3 3 3 3 2" xfId="33073" hidden="1"/>
    <cellStyle name="40% - Accent3 3 3 3 2" xfId="33410" hidden="1"/>
    <cellStyle name="40% - Accent3 4 2 3 2" xfId="834" hidden="1"/>
    <cellStyle name="40% - Accent3 4 2 3 2" xfId="1042" hidden="1"/>
    <cellStyle name="40% - Accent3 4 2 3 2" xfId="3606" hidden="1"/>
    <cellStyle name="40% - Accent3 4 2 3 2" xfId="4121" hidden="1"/>
    <cellStyle name="40% - Accent3 4 2 3 2" xfId="5440" hidden="1"/>
    <cellStyle name="40% - Accent3 4 2 3 2" xfId="6137" hidden="1"/>
    <cellStyle name="40% - Accent3 4 2 3 2" xfId="7154" hidden="1"/>
    <cellStyle name="40% - Accent3 4 2 3 2" xfId="8358" hidden="1"/>
    <cellStyle name="40% - Accent3 4 2 3 2" xfId="10215" hidden="1"/>
    <cellStyle name="40% - Accent3 4 2 3 2" xfId="10330" hidden="1"/>
    <cellStyle name="40% - Accent3 4 2 3 2" xfId="11053" hidden="1"/>
    <cellStyle name="40% - Accent3 4 2 3 2" xfId="11226" hidden="1"/>
    <cellStyle name="40% - Accent3 4 2 3 2" xfId="11619" hidden="1"/>
    <cellStyle name="40% - Accent3 4 2 3 2" xfId="11767" hidden="1"/>
    <cellStyle name="40% - Accent3 4 2 3 2" xfId="12105" hidden="1"/>
    <cellStyle name="40% - Accent3 4 2 3 2" xfId="12442" hidden="1"/>
    <cellStyle name="40% - Accent3 4 2 3 2" xfId="13007" hidden="1"/>
    <cellStyle name="40% - Accent3 4 2 3 2" xfId="13122" hidden="1"/>
    <cellStyle name="40% - Accent3 4 2 3 2" xfId="13845" hidden="1"/>
    <cellStyle name="40% - Accent3 4 2 3 2" xfId="14018" hidden="1"/>
    <cellStyle name="40% - Accent3 4 2 3 2" xfId="14411" hidden="1"/>
    <cellStyle name="40% - Accent3 4 2 3 2" xfId="14559" hidden="1"/>
    <cellStyle name="40% - Accent3 4 2 3 2" xfId="14897" hidden="1"/>
    <cellStyle name="40% - Accent3 4 2 3 2" xfId="15234" hidden="1"/>
    <cellStyle name="40% - Accent3 4 2 3 2" xfId="9112" hidden="1"/>
    <cellStyle name="40% - Accent3 4 2 3 2" xfId="8568" hidden="1"/>
    <cellStyle name="40% - Accent3 4 2 3 2" xfId="5940" hidden="1"/>
    <cellStyle name="40% - Accent3 4 2 3 2" xfId="5148" hidden="1"/>
    <cellStyle name="40% - Accent3 4 2 3 2" xfId="3863" hidden="1"/>
    <cellStyle name="40% - Accent3 4 2 3 2" xfId="3184" hidden="1"/>
    <cellStyle name="40% - Accent3 4 2 3 2" xfId="1741" hidden="1"/>
    <cellStyle name="40% - Accent3 4 2 3 2" xfId="333" hidden="1"/>
    <cellStyle name="40% - Accent3 4 2 3 2" xfId="16556" hidden="1"/>
    <cellStyle name="40% - Accent3 4 2 3 2" xfId="16671" hidden="1"/>
    <cellStyle name="40% - Accent3 4 2 3 2" xfId="17394" hidden="1"/>
    <cellStyle name="40% - Accent3 4 2 3 2" xfId="17567" hidden="1"/>
    <cellStyle name="40% - Accent3 4 2 3 2" xfId="17960" hidden="1"/>
    <cellStyle name="40% - Accent3 4 2 3 2" xfId="18108" hidden="1"/>
    <cellStyle name="40% - Accent3 4 2 3 2" xfId="18446" hidden="1"/>
    <cellStyle name="40% - Accent3 4 2 3 2" xfId="18783" hidden="1"/>
    <cellStyle name="40% - Accent3 4 2 3 2" xfId="19348" hidden="1"/>
    <cellStyle name="40% - Accent3 4 2 3 2" xfId="19463" hidden="1"/>
    <cellStyle name="40% - Accent3 4 2 3 2" xfId="20186" hidden="1"/>
    <cellStyle name="40% - Accent3 4 2 3 2" xfId="20359" hidden="1"/>
    <cellStyle name="40% - Accent3 4 2 3 2" xfId="20752" hidden="1"/>
    <cellStyle name="40% - Accent3 4 2 3 2" xfId="20900" hidden="1"/>
    <cellStyle name="40% - Accent3 4 2 3 2" xfId="21238" hidden="1"/>
    <cellStyle name="40% - Accent3 4 2 3 2" xfId="21575" hidden="1"/>
    <cellStyle name="40% - Accent3 4 2 3 2" xfId="15620" hidden="1"/>
    <cellStyle name="40% - Accent3 4 2 3 2" xfId="9665" hidden="1"/>
    <cellStyle name="40% - Accent3 4 2 3 2" xfId="6511" hidden="1"/>
    <cellStyle name="40% - Accent3 4 2 3 2" xfId="5661" hidden="1"/>
    <cellStyle name="40% - Accent3 4 2 3 2" xfId="4134" hidden="1"/>
    <cellStyle name="40% - Accent3 4 2 3 2" xfId="3412" hidden="1"/>
    <cellStyle name="40% - Accent3 4 2 3 2" xfId="1913" hidden="1"/>
    <cellStyle name="40% - Accent3 4 2 3 2" xfId="464" hidden="1"/>
    <cellStyle name="40% - Accent3 4 2 3 2" xfId="22707" hidden="1"/>
    <cellStyle name="40% - Accent3 4 2 3 2" xfId="22822" hidden="1"/>
    <cellStyle name="40% - Accent3 4 2 3 2" xfId="23545" hidden="1"/>
    <cellStyle name="40% - Accent3 4 2 3 2" xfId="23718" hidden="1"/>
    <cellStyle name="40% - Accent3 4 2 3 2" xfId="24111" hidden="1"/>
    <cellStyle name="40% - Accent3 4 2 3 2" xfId="24259" hidden="1"/>
    <cellStyle name="40% - Accent3 4 2 3 2" xfId="24597" hidden="1"/>
    <cellStyle name="40% - Accent3 4 2 3 2" xfId="24934" hidden="1"/>
    <cellStyle name="40% - Accent3 4 2 3 2" xfId="25499" hidden="1"/>
    <cellStyle name="40% - Accent3 4 2 3 2" xfId="25614" hidden="1"/>
    <cellStyle name="40% - Accent3 4 2 3 2" xfId="26337" hidden="1"/>
    <cellStyle name="40% - Accent3 4 2 3 2" xfId="26510" hidden="1"/>
    <cellStyle name="40% - Accent3 4 2 3 2" xfId="26903" hidden="1"/>
    <cellStyle name="40% - Accent3 4 2 3 2" xfId="27051" hidden="1"/>
    <cellStyle name="40% - Accent3 4 2 3 2" xfId="27389" hidden="1"/>
    <cellStyle name="40% - Accent3 4 2 3 2" xfId="27726" hidden="1"/>
    <cellStyle name="40% - Accent3 4 2 3 2" xfId="21876" hidden="1"/>
    <cellStyle name="40% - Accent3 4 2 3 2" xfId="16046" hidden="1"/>
    <cellStyle name="40% - Accent3 4 2 3 2" xfId="7213" hidden="1"/>
    <cellStyle name="40% - Accent3 4 2 3 2" xfId="6168" hidden="1"/>
    <cellStyle name="40% - Accent3 4 2 3 2" xfId="4338" hidden="1"/>
    <cellStyle name="40% - Accent3 4 2 3 2" xfId="3669" hidden="1"/>
    <cellStyle name="40% - Accent3 4 2 3 2" xfId="2101" hidden="1"/>
    <cellStyle name="40% - Accent3 4 2 3 2" xfId="589" hidden="1"/>
    <cellStyle name="40% - Accent3 4 2 3 2" xfId="28426" hidden="1"/>
    <cellStyle name="40% - Accent3 4 2 3 2" xfId="28541" hidden="1"/>
    <cellStyle name="40% - Accent3 4 2 3 2" xfId="29264" hidden="1"/>
    <cellStyle name="40% - Accent3 4 2 3 2" xfId="29437" hidden="1"/>
    <cellStyle name="40% - Accent3 4 2 3 2" xfId="29830" hidden="1"/>
    <cellStyle name="40% - Accent3 4 2 3 2" xfId="29978" hidden="1"/>
    <cellStyle name="40% - Accent3 4 2 3 2" xfId="30316" hidden="1"/>
    <cellStyle name="40% - Accent3 4 2 3 2" xfId="30653" hidden="1"/>
    <cellStyle name="40% - Accent3 4 2 3 2" xfId="31218" hidden="1"/>
    <cellStyle name="40% - Accent3 4 2 3 2" xfId="31333" hidden="1"/>
    <cellStyle name="40% - Accent3 4 2 3 2" xfId="32056" hidden="1"/>
    <cellStyle name="40% - Accent3 4 2 3 2" xfId="32229" hidden="1"/>
    <cellStyle name="40% - Accent3 4 2 3 2" xfId="32622" hidden="1"/>
    <cellStyle name="40% - Accent3 4 2 3 2" xfId="32770" hidden="1"/>
    <cellStyle name="40% - Accent3 4 2 3 2" xfId="33108" hidden="1"/>
    <cellStyle name="40% - Accent3 4 2 3 2" xfId="33445" hidden="1"/>
    <cellStyle name="40% - Accent3 4 2 4 2" xfId="802" hidden="1"/>
    <cellStyle name="40% - Accent3 4 2 4 2" xfId="1010" hidden="1"/>
    <cellStyle name="40% - Accent3 4 2 4 2" xfId="3574" hidden="1"/>
    <cellStyle name="40% - Accent3 4 2 4 2" xfId="4089" hidden="1"/>
    <cellStyle name="40% - Accent3 4 2 4 2" xfId="5408" hidden="1"/>
    <cellStyle name="40% - Accent3 4 2 4 2" xfId="6105" hidden="1"/>
    <cellStyle name="40% - Accent3 4 2 4 2" xfId="7122" hidden="1"/>
    <cellStyle name="40% - Accent3 4 2 4 2" xfId="8326" hidden="1"/>
    <cellStyle name="40% - Accent3 4 2 4 2" xfId="10183" hidden="1"/>
    <cellStyle name="40% - Accent3 4 2 4 2" xfId="10298" hidden="1"/>
    <cellStyle name="40% - Accent3 4 2 4 2" xfId="11021" hidden="1"/>
    <cellStyle name="40% - Accent3 4 2 4 2" xfId="11194" hidden="1"/>
    <cellStyle name="40% - Accent3 4 2 4 2" xfId="11587" hidden="1"/>
    <cellStyle name="40% - Accent3 4 2 4 2" xfId="11735" hidden="1"/>
    <cellStyle name="40% - Accent3 4 2 4 2" xfId="12073" hidden="1"/>
    <cellStyle name="40% - Accent3 4 2 4 2" xfId="12410" hidden="1"/>
    <cellStyle name="40% - Accent3 4 2 4 2" xfId="12975" hidden="1"/>
    <cellStyle name="40% - Accent3 4 2 4 2" xfId="13090" hidden="1"/>
    <cellStyle name="40% - Accent3 4 2 4 2" xfId="13813" hidden="1"/>
    <cellStyle name="40% - Accent3 4 2 4 2" xfId="13986" hidden="1"/>
    <cellStyle name="40% - Accent3 4 2 4 2" xfId="14379" hidden="1"/>
    <cellStyle name="40% - Accent3 4 2 4 2" xfId="14527" hidden="1"/>
    <cellStyle name="40% - Accent3 4 2 4 2" xfId="14865" hidden="1"/>
    <cellStyle name="40% - Accent3 4 2 4 2" xfId="15202" hidden="1"/>
    <cellStyle name="40% - Accent3 4 2 4 2" xfId="9145" hidden="1"/>
    <cellStyle name="40% - Accent3 4 2 4 2" xfId="8600" hidden="1"/>
    <cellStyle name="40% - Accent3 4 2 4 2" xfId="5972" hidden="1"/>
    <cellStyle name="40% - Accent3 4 2 4 2" xfId="5181" hidden="1"/>
    <cellStyle name="40% - Accent3 4 2 4 2" xfId="3898" hidden="1"/>
    <cellStyle name="40% - Accent3 4 2 4 2" xfId="3218" hidden="1"/>
    <cellStyle name="40% - Accent3 4 2 4 2" xfId="1776" hidden="1"/>
    <cellStyle name="40% - Accent3 4 2 4 2" xfId="381" hidden="1"/>
    <cellStyle name="40% - Accent3 4 2 4 2" xfId="16524" hidden="1"/>
    <cellStyle name="40% - Accent3 4 2 4 2" xfId="16639" hidden="1"/>
    <cellStyle name="40% - Accent3 4 2 4 2" xfId="17362" hidden="1"/>
    <cellStyle name="40% - Accent3 4 2 4 2" xfId="17535" hidden="1"/>
    <cellStyle name="40% - Accent3 4 2 4 2" xfId="17928" hidden="1"/>
    <cellStyle name="40% - Accent3 4 2 4 2" xfId="18076" hidden="1"/>
    <cellStyle name="40% - Accent3 4 2 4 2" xfId="18414" hidden="1"/>
    <cellStyle name="40% - Accent3 4 2 4 2" xfId="18751" hidden="1"/>
    <cellStyle name="40% - Accent3 4 2 4 2" xfId="19316" hidden="1"/>
    <cellStyle name="40% - Accent3 4 2 4 2" xfId="19431" hidden="1"/>
    <cellStyle name="40% - Accent3 4 2 4 2" xfId="20154" hidden="1"/>
    <cellStyle name="40% - Accent3 4 2 4 2" xfId="20327" hidden="1"/>
    <cellStyle name="40% - Accent3 4 2 4 2" xfId="20720" hidden="1"/>
    <cellStyle name="40% - Accent3 4 2 4 2" xfId="20868" hidden="1"/>
    <cellStyle name="40% - Accent3 4 2 4 2" xfId="21206" hidden="1"/>
    <cellStyle name="40% - Accent3 4 2 4 2" xfId="21543" hidden="1"/>
    <cellStyle name="40% - Accent3 4 2 4 2" xfId="15653" hidden="1"/>
    <cellStyle name="40% - Accent3 4 2 4 2" xfId="9697" hidden="1"/>
    <cellStyle name="40% - Accent3 4 2 4 2" xfId="6550" hidden="1"/>
    <cellStyle name="40% - Accent3 4 2 4 2" xfId="5700" hidden="1"/>
    <cellStyle name="40% - Accent3 4 2 4 2" xfId="4167" hidden="1"/>
    <cellStyle name="40% - Accent3 4 2 4 2" xfId="3445" hidden="1"/>
    <cellStyle name="40% - Accent3 4 2 4 2" xfId="1953" hidden="1"/>
    <cellStyle name="40% - Accent3 4 2 4 2" xfId="514" hidden="1"/>
    <cellStyle name="40% - Accent3 4 2 4 2" xfId="22675" hidden="1"/>
    <cellStyle name="40% - Accent3 4 2 4 2" xfId="22790" hidden="1"/>
    <cellStyle name="40% - Accent3 4 2 4 2" xfId="23513" hidden="1"/>
    <cellStyle name="40% - Accent3 4 2 4 2" xfId="23686" hidden="1"/>
    <cellStyle name="40% - Accent3 4 2 4 2" xfId="24079" hidden="1"/>
    <cellStyle name="40% - Accent3 4 2 4 2" xfId="24227" hidden="1"/>
    <cellStyle name="40% - Accent3 4 2 4 2" xfId="24565" hidden="1"/>
    <cellStyle name="40% - Accent3 4 2 4 2" xfId="24902" hidden="1"/>
    <cellStyle name="40% - Accent3 4 2 4 2" xfId="25467" hidden="1"/>
    <cellStyle name="40% - Accent3 4 2 4 2" xfId="25582" hidden="1"/>
    <cellStyle name="40% - Accent3 4 2 4 2" xfId="26305" hidden="1"/>
    <cellStyle name="40% - Accent3 4 2 4 2" xfId="26478" hidden="1"/>
    <cellStyle name="40% - Accent3 4 2 4 2" xfId="26871" hidden="1"/>
    <cellStyle name="40% - Accent3 4 2 4 2" xfId="27019" hidden="1"/>
    <cellStyle name="40% - Accent3 4 2 4 2" xfId="27357" hidden="1"/>
    <cellStyle name="40% - Accent3 4 2 4 2" xfId="27694" hidden="1"/>
    <cellStyle name="40% - Accent3 4 2 4 2" xfId="21909" hidden="1"/>
    <cellStyle name="40% - Accent3 4 2 4 2" xfId="16078" hidden="1"/>
    <cellStyle name="40% - Accent3 4 2 4 2" xfId="7256" hidden="1"/>
    <cellStyle name="40% - Accent3 4 2 4 2" xfId="6210" hidden="1"/>
    <cellStyle name="40% - Accent3 4 2 4 2" xfId="4433" hidden="1"/>
    <cellStyle name="40% - Accent3 4 2 4 2" xfId="3703" hidden="1"/>
    <cellStyle name="40% - Accent3 4 2 4 2" xfId="2137" hidden="1"/>
    <cellStyle name="40% - Accent3 4 2 4 2" xfId="624" hidden="1"/>
    <cellStyle name="40% - Accent3 4 2 4 2" xfId="28394" hidden="1"/>
    <cellStyle name="40% - Accent3 4 2 4 2" xfId="28509" hidden="1"/>
    <cellStyle name="40% - Accent3 4 2 4 2" xfId="29232" hidden="1"/>
    <cellStyle name="40% - Accent3 4 2 4 2" xfId="29405" hidden="1"/>
    <cellStyle name="40% - Accent3 4 2 4 2" xfId="29798" hidden="1"/>
    <cellStyle name="40% - Accent3 4 2 4 2" xfId="29946" hidden="1"/>
    <cellStyle name="40% - Accent3 4 2 4 2" xfId="30284" hidden="1"/>
    <cellStyle name="40% - Accent3 4 2 4 2" xfId="30621" hidden="1"/>
    <cellStyle name="40% - Accent3 4 2 4 2" xfId="31186" hidden="1"/>
    <cellStyle name="40% - Accent3 4 2 4 2" xfId="31301" hidden="1"/>
    <cellStyle name="40% - Accent3 4 2 4 2" xfId="32024" hidden="1"/>
    <cellStyle name="40% - Accent3 4 2 4 2" xfId="32197" hidden="1"/>
    <cellStyle name="40% - Accent3 4 2 4 2" xfId="32590" hidden="1"/>
    <cellStyle name="40% - Accent3 4 2 4 2" xfId="32738" hidden="1"/>
    <cellStyle name="40% - Accent3 4 2 4 2" xfId="33076" hidden="1"/>
    <cellStyle name="40% - Accent3 4 2 4 2" xfId="33413" hidden="1"/>
    <cellStyle name="40% - Accent3 4 3 3 2" xfId="801" hidden="1"/>
    <cellStyle name="40% - Accent3 4 3 3 2" xfId="1009" hidden="1"/>
    <cellStyle name="40% - Accent3 4 3 3 2" xfId="3573" hidden="1"/>
    <cellStyle name="40% - Accent3 4 3 3 2" xfId="4088" hidden="1"/>
    <cellStyle name="40% - Accent3 4 3 3 2" xfId="5407" hidden="1"/>
    <cellStyle name="40% - Accent3 4 3 3 2" xfId="6104" hidden="1"/>
    <cellStyle name="40% - Accent3 4 3 3 2" xfId="7121" hidden="1"/>
    <cellStyle name="40% - Accent3 4 3 3 2" xfId="8325" hidden="1"/>
    <cellStyle name="40% - Accent3 4 3 3 2" xfId="10182" hidden="1"/>
    <cellStyle name="40% - Accent3 4 3 3 2" xfId="10297" hidden="1"/>
    <cellStyle name="40% - Accent3 4 3 3 2" xfId="11020" hidden="1"/>
    <cellStyle name="40% - Accent3 4 3 3 2" xfId="11193" hidden="1"/>
    <cellStyle name="40% - Accent3 4 3 3 2" xfId="11586" hidden="1"/>
    <cellStyle name="40% - Accent3 4 3 3 2" xfId="11734" hidden="1"/>
    <cellStyle name="40% - Accent3 4 3 3 2" xfId="12072" hidden="1"/>
    <cellStyle name="40% - Accent3 4 3 3 2" xfId="12409" hidden="1"/>
    <cellStyle name="40% - Accent3 4 3 3 2" xfId="12974" hidden="1"/>
    <cellStyle name="40% - Accent3 4 3 3 2" xfId="13089" hidden="1"/>
    <cellStyle name="40% - Accent3 4 3 3 2" xfId="13812" hidden="1"/>
    <cellStyle name="40% - Accent3 4 3 3 2" xfId="13985" hidden="1"/>
    <cellStyle name="40% - Accent3 4 3 3 2" xfId="14378" hidden="1"/>
    <cellStyle name="40% - Accent3 4 3 3 2" xfId="14526" hidden="1"/>
    <cellStyle name="40% - Accent3 4 3 3 2" xfId="14864" hidden="1"/>
    <cellStyle name="40% - Accent3 4 3 3 2" xfId="15201" hidden="1"/>
    <cellStyle name="40% - Accent3 4 3 3 2" xfId="9146" hidden="1"/>
    <cellStyle name="40% - Accent3 4 3 3 2" xfId="8601" hidden="1"/>
    <cellStyle name="40% - Accent3 4 3 3 2" xfId="5973" hidden="1"/>
    <cellStyle name="40% - Accent3 4 3 3 2" xfId="5182" hidden="1"/>
    <cellStyle name="40% - Accent3 4 3 3 2" xfId="3899" hidden="1"/>
    <cellStyle name="40% - Accent3 4 3 3 2" xfId="3219" hidden="1"/>
    <cellStyle name="40% - Accent3 4 3 3 2" xfId="1777" hidden="1"/>
    <cellStyle name="40% - Accent3 4 3 3 2" xfId="384" hidden="1"/>
    <cellStyle name="40% - Accent3 4 3 3 2" xfId="16523" hidden="1"/>
    <cellStyle name="40% - Accent3 4 3 3 2" xfId="16638" hidden="1"/>
    <cellStyle name="40% - Accent3 4 3 3 2" xfId="17361" hidden="1"/>
    <cellStyle name="40% - Accent3 4 3 3 2" xfId="17534" hidden="1"/>
    <cellStyle name="40% - Accent3 4 3 3 2" xfId="17927" hidden="1"/>
    <cellStyle name="40% - Accent3 4 3 3 2" xfId="18075" hidden="1"/>
    <cellStyle name="40% - Accent3 4 3 3 2" xfId="18413" hidden="1"/>
    <cellStyle name="40% - Accent3 4 3 3 2" xfId="18750" hidden="1"/>
    <cellStyle name="40% - Accent3 4 3 3 2" xfId="19315" hidden="1"/>
    <cellStyle name="40% - Accent3 4 3 3 2" xfId="19430" hidden="1"/>
    <cellStyle name="40% - Accent3 4 3 3 2" xfId="20153" hidden="1"/>
    <cellStyle name="40% - Accent3 4 3 3 2" xfId="20326" hidden="1"/>
    <cellStyle name="40% - Accent3 4 3 3 2" xfId="20719" hidden="1"/>
    <cellStyle name="40% - Accent3 4 3 3 2" xfId="20867" hidden="1"/>
    <cellStyle name="40% - Accent3 4 3 3 2" xfId="21205" hidden="1"/>
    <cellStyle name="40% - Accent3 4 3 3 2" xfId="21542" hidden="1"/>
    <cellStyle name="40% - Accent3 4 3 3 2" xfId="15654" hidden="1"/>
    <cellStyle name="40% - Accent3 4 3 3 2" xfId="9698" hidden="1"/>
    <cellStyle name="40% - Accent3 4 3 3 2" xfId="6551" hidden="1"/>
    <cellStyle name="40% - Accent3 4 3 3 2" xfId="5701" hidden="1"/>
    <cellStyle name="40% - Accent3 4 3 3 2" xfId="4168" hidden="1"/>
    <cellStyle name="40% - Accent3 4 3 3 2" xfId="3446" hidden="1"/>
    <cellStyle name="40% - Accent3 4 3 3 2" xfId="1955" hidden="1"/>
    <cellStyle name="40% - Accent3 4 3 3 2" xfId="515" hidden="1"/>
    <cellStyle name="40% - Accent3 4 3 3 2" xfId="22674" hidden="1"/>
    <cellStyle name="40% - Accent3 4 3 3 2" xfId="22789" hidden="1"/>
    <cellStyle name="40% - Accent3 4 3 3 2" xfId="23512" hidden="1"/>
    <cellStyle name="40% - Accent3 4 3 3 2" xfId="23685" hidden="1"/>
    <cellStyle name="40% - Accent3 4 3 3 2" xfId="24078" hidden="1"/>
    <cellStyle name="40% - Accent3 4 3 3 2" xfId="24226" hidden="1"/>
    <cellStyle name="40% - Accent3 4 3 3 2" xfId="24564" hidden="1"/>
    <cellStyle name="40% - Accent3 4 3 3 2" xfId="24901" hidden="1"/>
    <cellStyle name="40% - Accent3 4 3 3 2" xfId="25466" hidden="1"/>
    <cellStyle name="40% - Accent3 4 3 3 2" xfId="25581" hidden="1"/>
    <cellStyle name="40% - Accent3 4 3 3 2" xfId="26304" hidden="1"/>
    <cellStyle name="40% - Accent3 4 3 3 2" xfId="26477" hidden="1"/>
    <cellStyle name="40% - Accent3 4 3 3 2" xfId="26870" hidden="1"/>
    <cellStyle name="40% - Accent3 4 3 3 2" xfId="27018" hidden="1"/>
    <cellStyle name="40% - Accent3 4 3 3 2" xfId="27356" hidden="1"/>
    <cellStyle name="40% - Accent3 4 3 3 2" xfId="27693" hidden="1"/>
    <cellStyle name="40% - Accent3 4 3 3 2" xfId="21910" hidden="1"/>
    <cellStyle name="40% - Accent3 4 3 3 2" xfId="16079" hidden="1"/>
    <cellStyle name="40% - Accent3 4 3 3 2" xfId="7257" hidden="1"/>
    <cellStyle name="40% - Accent3 4 3 3 2" xfId="6211" hidden="1"/>
    <cellStyle name="40% - Accent3 4 3 3 2" xfId="4434" hidden="1"/>
    <cellStyle name="40% - Accent3 4 3 3 2" xfId="3704" hidden="1"/>
    <cellStyle name="40% - Accent3 4 3 3 2" xfId="2138" hidden="1"/>
    <cellStyle name="40% - Accent3 4 3 3 2" xfId="625" hidden="1"/>
    <cellStyle name="40% - Accent3 4 3 3 2" xfId="28393" hidden="1"/>
    <cellStyle name="40% - Accent3 4 3 3 2" xfId="28508" hidden="1"/>
    <cellStyle name="40% - Accent3 4 3 3 2" xfId="29231" hidden="1"/>
    <cellStyle name="40% - Accent3 4 3 3 2" xfId="29404" hidden="1"/>
    <cellStyle name="40% - Accent3 4 3 3 2" xfId="29797" hidden="1"/>
    <cellStyle name="40% - Accent3 4 3 3 2" xfId="29945" hidden="1"/>
    <cellStyle name="40% - Accent3 4 3 3 2" xfId="30283" hidden="1"/>
    <cellStyle name="40% - Accent3 4 3 3 2" xfId="30620" hidden="1"/>
    <cellStyle name="40% - Accent3 4 3 3 2" xfId="31185" hidden="1"/>
    <cellStyle name="40% - Accent3 4 3 3 2" xfId="31300" hidden="1"/>
    <cellStyle name="40% - Accent3 4 3 3 2" xfId="32023" hidden="1"/>
    <cellStyle name="40% - Accent3 4 3 3 2" xfId="32196" hidden="1"/>
    <cellStyle name="40% - Accent3 4 3 3 2" xfId="32589" hidden="1"/>
    <cellStyle name="40% - Accent3 4 3 3 2" xfId="32737" hidden="1"/>
    <cellStyle name="40% - Accent3 4 3 3 2" xfId="33075" hidden="1"/>
    <cellStyle name="40% - Accent3 4 3 3 2" xfId="33412" hidden="1"/>
    <cellStyle name="40% - Accent3 5 2" xfId="762" hidden="1"/>
    <cellStyle name="40% - Accent3 5 2" xfId="970" hidden="1"/>
    <cellStyle name="40% - Accent3 5 2" xfId="3534" hidden="1"/>
    <cellStyle name="40% - Accent3 5 2" xfId="4049" hidden="1"/>
    <cellStyle name="40% - Accent3 5 2" xfId="5368" hidden="1"/>
    <cellStyle name="40% - Accent3 5 2" xfId="6065" hidden="1"/>
    <cellStyle name="40% - Accent3 5 2" xfId="7082" hidden="1"/>
    <cellStyle name="40% - Accent3 5 2" xfId="8286" hidden="1"/>
    <cellStyle name="40% - Accent3 5 2" xfId="10143" hidden="1"/>
    <cellStyle name="40% - Accent3 5 2" xfId="10258" hidden="1"/>
    <cellStyle name="40% - Accent3 5 2" xfId="10981" hidden="1"/>
    <cellStyle name="40% - Accent3 5 2" xfId="11154" hidden="1"/>
    <cellStyle name="40% - Accent3 5 2" xfId="11547" hidden="1"/>
    <cellStyle name="40% - Accent3 5 2" xfId="11695" hidden="1"/>
    <cellStyle name="40% - Accent3 5 2" xfId="12033" hidden="1"/>
    <cellStyle name="40% - Accent3 5 2" xfId="12370" hidden="1"/>
    <cellStyle name="40% - Accent3 5 2" xfId="12935" hidden="1"/>
    <cellStyle name="40% - Accent3 5 2" xfId="13050" hidden="1"/>
    <cellStyle name="40% - Accent3 5 2" xfId="13773" hidden="1"/>
    <cellStyle name="40% - Accent3 5 2" xfId="13946" hidden="1"/>
    <cellStyle name="40% - Accent3 5 2" xfId="14339" hidden="1"/>
    <cellStyle name="40% - Accent3 5 2" xfId="14487" hidden="1"/>
    <cellStyle name="40% - Accent3 5 2" xfId="14825" hidden="1"/>
    <cellStyle name="40% - Accent3 5 2" xfId="15162" hidden="1"/>
    <cellStyle name="40% - Accent3 5 2" xfId="9185" hidden="1"/>
    <cellStyle name="40% - Accent3 5 2" xfId="8640" hidden="1"/>
    <cellStyle name="40% - Accent3 5 2" xfId="6013" hidden="1"/>
    <cellStyle name="40% - Accent3 5 2" xfId="5221" hidden="1"/>
    <cellStyle name="40% - Accent3 5 2" xfId="3940" hidden="1"/>
    <cellStyle name="40% - Accent3 5 2" xfId="3258" hidden="1"/>
    <cellStyle name="40% - Accent3 5 2" xfId="1825" hidden="1"/>
    <cellStyle name="40% - Accent3 5 2" xfId="447" hidden="1"/>
    <cellStyle name="40% - Accent3 5 2" xfId="16484" hidden="1"/>
    <cellStyle name="40% - Accent3 5 2" xfId="16599" hidden="1"/>
    <cellStyle name="40% - Accent3 5 2" xfId="17322" hidden="1"/>
    <cellStyle name="40% - Accent3 5 2" xfId="17495" hidden="1"/>
    <cellStyle name="40% - Accent3 5 2" xfId="17888" hidden="1"/>
    <cellStyle name="40% - Accent3 5 2" xfId="18036" hidden="1"/>
    <cellStyle name="40% - Accent3 5 2" xfId="18374" hidden="1"/>
    <cellStyle name="40% - Accent3 5 2" xfId="18711" hidden="1"/>
    <cellStyle name="40% - Accent3 5 2" xfId="19276" hidden="1"/>
    <cellStyle name="40% - Accent3 5 2" xfId="19391" hidden="1"/>
    <cellStyle name="40% - Accent3 5 2" xfId="20114" hidden="1"/>
    <cellStyle name="40% - Accent3 5 2" xfId="20287" hidden="1"/>
    <cellStyle name="40% - Accent3 5 2" xfId="20680" hidden="1"/>
    <cellStyle name="40% - Accent3 5 2" xfId="20828" hidden="1"/>
    <cellStyle name="40% - Accent3 5 2" xfId="21166" hidden="1"/>
    <cellStyle name="40% - Accent3 5 2" xfId="21503" hidden="1"/>
    <cellStyle name="40% - Accent3 5 2" xfId="15693" hidden="1"/>
    <cellStyle name="40% - Accent3 5 2" xfId="9737" hidden="1"/>
    <cellStyle name="40% - Accent3 5 2" xfId="6596" hidden="1"/>
    <cellStyle name="40% - Accent3 5 2" xfId="5750" hidden="1"/>
    <cellStyle name="40% - Accent3 5 2" xfId="4207" hidden="1"/>
    <cellStyle name="40% - Accent3 5 2" xfId="3488" hidden="1"/>
    <cellStyle name="40% - Accent3 5 2" xfId="1999" hidden="1"/>
    <cellStyle name="40% - Accent3 5 2" xfId="559" hidden="1"/>
    <cellStyle name="40% - Accent3 5 2" xfId="22635" hidden="1"/>
    <cellStyle name="40% - Accent3 5 2" xfId="22750" hidden="1"/>
    <cellStyle name="40% - Accent3 5 2" xfId="23473" hidden="1"/>
    <cellStyle name="40% - Accent3 5 2" xfId="23646" hidden="1"/>
    <cellStyle name="40% - Accent3 5 2" xfId="24039" hidden="1"/>
    <cellStyle name="40% - Accent3 5 2" xfId="24187" hidden="1"/>
    <cellStyle name="40% - Accent3 5 2" xfId="24525" hidden="1"/>
    <cellStyle name="40% - Accent3 5 2" xfId="24862" hidden="1"/>
    <cellStyle name="40% - Accent3 5 2" xfId="25427" hidden="1"/>
    <cellStyle name="40% - Accent3 5 2" xfId="25542" hidden="1"/>
    <cellStyle name="40% - Accent3 5 2" xfId="26265" hidden="1"/>
    <cellStyle name="40% - Accent3 5 2" xfId="26438" hidden="1"/>
    <cellStyle name="40% - Accent3 5 2" xfId="26831" hidden="1"/>
    <cellStyle name="40% - Accent3 5 2" xfId="26979" hidden="1"/>
    <cellStyle name="40% - Accent3 5 2" xfId="27317" hidden="1"/>
    <cellStyle name="40% - Accent3 5 2" xfId="27654" hidden="1"/>
    <cellStyle name="40% - Accent3 5 2" xfId="21949" hidden="1"/>
    <cellStyle name="40% - Accent3 5 2" xfId="16118" hidden="1"/>
    <cellStyle name="40% - Accent3 5 2" xfId="7299" hidden="1"/>
    <cellStyle name="40% - Accent3 5 2" xfId="6259" hidden="1"/>
    <cellStyle name="40% - Accent3 5 2" xfId="4508" hidden="1"/>
    <cellStyle name="40% - Accent3 5 2" xfId="3744" hidden="1"/>
    <cellStyle name="40% - Accent3 5 2" xfId="2179" hidden="1"/>
    <cellStyle name="40% - Accent3 5 2" xfId="690" hidden="1"/>
    <cellStyle name="40% - Accent3 5 2" xfId="28354" hidden="1"/>
    <cellStyle name="40% - Accent3 5 2" xfId="28469" hidden="1"/>
    <cellStyle name="40% - Accent3 5 2" xfId="29192" hidden="1"/>
    <cellStyle name="40% - Accent3 5 2" xfId="29365" hidden="1"/>
    <cellStyle name="40% - Accent3 5 2" xfId="29758" hidden="1"/>
    <cellStyle name="40% - Accent3 5 2" xfId="29906" hidden="1"/>
    <cellStyle name="40% - Accent3 5 2" xfId="30244" hidden="1"/>
    <cellStyle name="40% - Accent3 5 2" xfId="30581" hidden="1"/>
    <cellStyle name="40% - Accent3 5 2" xfId="31146" hidden="1"/>
    <cellStyle name="40% - Accent3 5 2" xfId="31261" hidden="1"/>
    <cellStyle name="40% - Accent3 5 2" xfId="31984" hidden="1"/>
    <cellStyle name="40% - Accent3 5 2" xfId="32157" hidden="1"/>
    <cellStyle name="40% - Accent3 5 2" xfId="32550" hidden="1"/>
    <cellStyle name="40% - Accent3 5 2" xfId="32698" hidden="1"/>
    <cellStyle name="40% - Accent3 5 2" xfId="33036" hidden="1"/>
    <cellStyle name="40% - Accent3 5 2" xfId="33373" hidden="1"/>
    <cellStyle name="40% - Accent3 7" xfId="129" hidden="1"/>
    <cellStyle name="40% - Accent3 7" xfId="209" hidden="1"/>
    <cellStyle name="40% - Accent3 7" xfId="290" hidden="1"/>
    <cellStyle name="40% - Accent3 7" xfId="476" hidden="1"/>
    <cellStyle name="40% - Accent3 7" xfId="2330" hidden="1"/>
    <cellStyle name="40% - Accent3 7" xfId="2465" hidden="1"/>
    <cellStyle name="40% - Accent3 7" xfId="2621" hidden="1"/>
    <cellStyle name="40% - Accent3 7" xfId="2053" hidden="1"/>
    <cellStyle name="40% - Accent3 7" xfId="1901" hidden="1"/>
    <cellStyle name="40% - Accent3 7" xfId="1869" hidden="1"/>
    <cellStyle name="40% - Accent3 7" xfId="3842" hidden="1"/>
    <cellStyle name="40% - Accent3 7" xfId="4457" hidden="1"/>
    <cellStyle name="40% - Accent3 7" xfId="4643" hidden="1"/>
    <cellStyle name="40% - Accent3 7" xfId="1712" hidden="1"/>
    <cellStyle name="40% - Accent3 7" xfId="2052" hidden="1"/>
    <cellStyle name="40% - Accent3 7" xfId="2090" hidden="1"/>
    <cellStyle name="40% - Accent3 7" xfId="5866" hidden="1"/>
    <cellStyle name="40% - Accent3 7" xfId="6404" hidden="1"/>
    <cellStyle name="40% - Accent3 7" xfId="6546" hidden="1"/>
    <cellStyle name="40% - Accent3 7" xfId="6779" hidden="1"/>
    <cellStyle name="40% - Accent3 7" xfId="7587" hidden="1"/>
    <cellStyle name="40% - Accent3 7" xfId="7746" hidden="1"/>
    <cellStyle name="40% - Accent3 7" xfId="8010" hidden="1"/>
    <cellStyle name="40% - Accent3 7" xfId="8833" hidden="1"/>
    <cellStyle name="40% - Accent3 7" xfId="9820" hidden="1"/>
    <cellStyle name="40% - Accent3 7" xfId="9897" hidden="1"/>
    <cellStyle name="40% - Accent3 7" xfId="9975" hidden="1"/>
    <cellStyle name="40% - Accent3 7" xfId="10053" hidden="1"/>
    <cellStyle name="40% - Accent3 7" xfId="10635" hidden="1"/>
    <cellStyle name="40% - Accent3 7" xfId="10714" hidden="1"/>
    <cellStyle name="40% - Accent3 7" xfId="10792" hidden="1"/>
    <cellStyle name="40% - Accent3 7" xfId="10518" hidden="1"/>
    <cellStyle name="40% - Accent3 7" xfId="10470" hidden="1"/>
    <cellStyle name="40% - Accent3 7" xfId="10444" hidden="1"/>
    <cellStyle name="40% - Accent3 7" xfId="11104" hidden="1"/>
    <cellStyle name="40% - Accent3 7" xfId="11309" hidden="1"/>
    <cellStyle name="40% - Accent3 7" xfId="11387" hidden="1"/>
    <cellStyle name="40% - Accent3 7" xfId="10391" hidden="1"/>
    <cellStyle name="40% - Accent3 7" xfId="10517" hidden="1"/>
    <cellStyle name="40% - Accent3 7" xfId="10548" hidden="1"/>
    <cellStyle name="40% - Accent3 7" xfId="11653" hidden="1"/>
    <cellStyle name="40% - Accent3 7" xfId="11841" hidden="1"/>
    <cellStyle name="40% - Accent3 7" xfId="11919" hidden="1"/>
    <cellStyle name="40% - Accent3 7" xfId="11995" hidden="1"/>
    <cellStyle name="40% - Accent3 7" xfId="12178" hidden="1"/>
    <cellStyle name="40% - Accent3 7" xfId="12256" hidden="1"/>
    <cellStyle name="40% - Accent3 7" xfId="12332" hidden="1"/>
    <cellStyle name="40% - Accent3 7" xfId="12515" hidden="1"/>
    <cellStyle name="40% - Accent3 7" xfId="12612" hidden="1"/>
    <cellStyle name="40% - Accent3 7" xfId="12689" hidden="1"/>
    <cellStyle name="40% - Accent3 7" xfId="12767" hidden="1"/>
    <cellStyle name="40% - Accent3 7" xfId="12845" hidden="1"/>
    <cellStyle name="40% - Accent3 7" xfId="13427" hidden="1"/>
    <cellStyle name="40% - Accent3 7" xfId="13506" hidden="1"/>
    <cellStyle name="40% - Accent3 7" xfId="13584" hidden="1"/>
    <cellStyle name="40% - Accent3 7" xfId="13310" hidden="1"/>
    <cellStyle name="40% - Accent3 7" xfId="13262" hidden="1"/>
    <cellStyle name="40% - Accent3 7" xfId="13236" hidden="1"/>
    <cellStyle name="40% - Accent3 7" xfId="13896" hidden="1"/>
    <cellStyle name="40% - Accent3 7" xfId="14101" hidden="1"/>
    <cellStyle name="40% - Accent3 7" xfId="14179" hidden="1"/>
    <cellStyle name="40% - Accent3 7" xfId="13183" hidden="1"/>
    <cellStyle name="40% - Accent3 7" xfId="13309" hidden="1"/>
    <cellStyle name="40% - Accent3 7" xfId="13340" hidden="1"/>
    <cellStyle name="40% - Accent3 7" xfId="14445" hidden="1"/>
    <cellStyle name="40% - Accent3 7" xfId="14633" hidden="1"/>
    <cellStyle name="40% - Accent3 7" xfId="14711" hidden="1"/>
    <cellStyle name="40% - Accent3 7" xfId="14787" hidden="1"/>
    <cellStyle name="40% - Accent3 7" xfId="14970" hidden="1"/>
    <cellStyle name="40% - Accent3 7" xfId="15048" hidden="1"/>
    <cellStyle name="40% - Accent3 7" xfId="15124" hidden="1"/>
    <cellStyle name="40% - Accent3 7" xfId="15307" hidden="1"/>
    <cellStyle name="40% - Accent3 7" xfId="9641" hidden="1"/>
    <cellStyle name="40% - Accent3 7" xfId="9547" hidden="1"/>
    <cellStyle name="40% - Accent3 7" xfId="9432" hidden="1"/>
    <cellStyle name="40% - Accent3 7" xfId="9314" hidden="1"/>
    <cellStyle name="40% - Accent3 7" xfId="7051" hidden="1"/>
    <cellStyle name="40% - Accent3 7" xfId="6953" hidden="1"/>
    <cellStyle name="40% - Accent3 7" xfId="6864" hidden="1"/>
    <cellStyle name="40% - Accent3 7" xfId="7460" hidden="1"/>
    <cellStyle name="40% - Accent3 7" xfId="7669" hidden="1"/>
    <cellStyle name="40% - Accent3 7" xfId="7815" hidden="1"/>
    <cellStyle name="40% - Accent3 7" xfId="5630" hidden="1"/>
    <cellStyle name="40% - Accent3 7" xfId="4802" hidden="1"/>
    <cellStyle name="40% - Accent3 7" xfId="4615" hidden="1"/>
    <cellStyle name="40% - Accent3 7" xfId="8016" hidden="1"/>
    <cellStyle name="40% - Accent3 7" xfId="7465" hidden="1"/>
    <cellStyle name="40% - Accent3 7" xfId="7403" hidden="1"/>
    <cellStyle name="40% - Accent3 7" xfId="3627" hidden="1"/>
    <cellStyle name="40% - Accent3 7" xfId="2651" hidden="1"/>
    <cellStyle name="40% - Accent3 7" xfId="2454" hidden="1"/>
    <cellStyle name="40% - Accent3 7" xfId="2245" hidden="1"/>
    <cellStyle name="40% - Accent3 7" xfId="1316" hidden="1"/>
    <cellStyle name="40% - Accent3 7" xfId="1132" hidden="1"/>
    <cellStyle name="40% - Accent3 7" xfId="891" hidden="1"/>
    <cellStyle name="40% - Accent3 7" xfId="15456" hidden="1"/>
    <cellStyle name="40% - Accent3 7" xfId="16161" hidden="1"/>
    <cellStyle name="40% - Accent3 7" xfId="16238" hidden="1"/>
    <cellStyle name="40% - Accent3 7" xfId="16316" hidden="1"/>
    <cellStyle name="40% - Accent3 7" xfId="16394" hidden="1"/>
    <cellStyle name="40% - Accent3 7" xfId="16976" hidden="1"/>
    <cellStyle name="40% - Accent3 7" xfId="17055" hidden="1"/>
    <cellStyle name="40% - Accent3 7" xfId="17133" hidden="1"/>
    <cellStyle name="40% - Accent3 7" xfId="16859" hidden="1"/>
    <cellStyle name="40% - Accent3 7" xfId="16811" hidden="1"/>
    <cellStyle name="40% - Accent3 7" xfId="16785" hidden="1"/>
    <cellStyle name="40% - Accent3 7" xfId="17445" hidden="1"/>
    <cellStyle name="40% - Accent3 7" xfId="17650" hidden="1"/>
    <cellStyle name="40% - Accent3 7" xfId="17728" hidden="1"/>
    <cellStyle name="40% - Accent3 7" xfId="16732" hidden="1"/>
    <cellStyle name="40% - Accent3 7" xfId="16858" hidden="1"/>
    <cellStyle name="40% - Accent3 7" xfId="16889" hidden="1"/>
    <cellStyle name="40% - Accent3 7" xfId="17994" hidden="1"/>
    <cellStyle name="40% - Accent3 7" xfId="18182" hidden="1"/>
    <cellStyle name="40% - Accent3 7" xfId="18260" hidden="1"/>
    <cellStyle name="40% - Accent3 7" xfId="18336" hidden="1"/>
    <cellStyle name="40% - Accent3 7" xfId="18519" hidden="1"/>
    <cellStyle name="40% - Accent3 7" xfId="18597" hidden="1"/>
    <cellStyle name="40% - Accent3 7" xfId="18673" hidden="1"/>
    <cellStyle name="40% - Accent3 7" xfId="18856" hidden="1"/>
    <cellStyle name="40% - Accent3 7" xfId="18953" hidden="1"/>
    <cellStyle name="40% - Accent3 7" xfId="19030" hidden="1"/>
    <cellStyle name="40% - Accent3 7" xfId="19108" hidden="1"/>
    <cellStyle name="40% - Accent3 7" xfId="19186" hidden="1"/>
    <cellStyle name="40% - Accent3 7" xfId="19768" hidden="1"/>
    <cellStyle name="40% - Accent3 7" xfId="19847" hidden="1"/>
    <cellStyle name="40% - Accent3 7" xfId="19925" hidden="1"/>
    <cellStyle name="40% - Accent3 7" xfId="19651" hidden="1"/>
    <cellStyle name="40% - Accent3 7" xfId="19603" hidden="1"/>
    <cellStyle name="40% - Accent3 7" xfId="19577" hidden="1"/>
    <cellStyle name="40% - Accent3 7" xfId="20237" hidden="1"/>
    <cellStyle name="40% - Accent3 7" xfId="20442" hidden="1"/>
    <cellStyle name="40% - Accent3 7" xfId="20520" hidden="1"/>
    <cellStyle name="40% - Accent3 7" xfId="19524" hidden="1"/>
    <cellStyle name="40% - Accent3 7" xfId="19650" hidden="1"/>
    <cellStyle name="40% - Accent3 7" xfId="19681" hidden="1"/>
    <cellStyle name="40% - Accent3 7" xfId="20786" hidden="1"/>
    <cellStyle name="40% - Accent3 7" xfId="20974" hidden="1"/>
    <cellStyle name="40% - Accent3 7" xfId="21052" hidden="1"/>
    <cellStyle name="40% - Accent3 7" xfId="21128" hidden="1"/>
    <cellStyle name="40% - Accent3 7" xfId="21311" hidden="1"/>
    <cellStyle name="40% - Accent3 7" xfId="21389" hidden="1"/>
    <cellStyle name="40% - Accent3 7" xfId="21465" hidden="1"/>
    <cellStyle name="40% - Accent3 7" xfId="21648" hidden="1"/>
    <cellStyle name="40% - Accent3 7" xfId="16030" hidden="1"/>
    <cellStyle name="40% - Accent3 7" xfId="15953" hidden="1"/>
    <cellStyle name="40% - Accent3 7" xfId="15874" hidden="1"/>
    <cellStyle name="40% - Accent3 7" xfId="15791" hidden="1"/>
    <cellStyle name="40% - Accent3 7" xfId="8062" hidden="1"/>
    <cellStyle name="40% - Accent3 7" xfId="7916" hidden="1"/>
    <cellStyle name="40% - Accent3 7" xfId="7663" hidden="1"/>
    <cellStyle name="40% - Accent3 7" xfId="8404" hidden="1"/>
    <cellStyle name="40% - Accent3 7" xfId="8515" hidden="1"/>
    <cellStyle name="40% - Accent3 7" xfId="8706" hidden="1"/>
    <cellStyle name="40% - Accent3 7" xfId="6044" hidden="1"/>
    <cellStyle name="40% - Accent3 7" xfId="5254" hidden="1"/>
    <cellStyle name="40% - Accent3 7" xfId="5049" hidden="1"/>
    <cellStyle name="40% - Accent3 7" xfId="8934" hidden="1"/>
    <cellStyle name="40% - Accent3 7" xfId="8410" hidden="1"/>
    <cellStyle name="40% - Accent3 7" xfId="8256" hidden="1"/>
    <cellStyle name="40% - Accent3 7" xfId="3787" hidden="1"/>
    <cellStyle name="40% - Accent3 7" xfId="2976" hidden="1"/>
    <cellStyle name="40% - Accent3 7" xfId="2843" hidden="1"/>
    <cellStyle name="40% - Accent3 7" xfId="2388" hidden="1"/>
    <cellStyle name="40% - Accent3 7" xfId="1469" hidden="1"/>
    <cellStyle name="40% - Accent3 7" xfId="1270" hidden="1"/>
    <cellStyle name="40% - Accent3 7" xfId="901" hidden="1"/>
    <cellStyle name="40% - Accent3 7" xfId="21785" hidden="1"/>
    <cellStyle name="40% - Accent3 7" xfId="22312" hidden="1"/>
    <cellStyle name="40% - Accent3 7" xfId="22389" hidden="1"/>
    <cellStyle name="40% - Accent3 7" xfId="22467" hidden="1"/>
    <cellStyle name="40% - Accent3 7" xfId="22545" hidden="1"/>
    <cellStyle name="40% - Accent3 7" xfId="23127" hidden="1"/>
    <cellStyle name="40% - Accent3 7" xfId="23206" hidden="1"/>
    <cellStyle name="40% - Accent3 7" xfId="23284" hidden="1"/>
    <cellStyle name="40% - Accent3 7" xfId="23010" hidden="1"/>
    <cellStyle name="40% - Accent3 7" xfId="22962" hidden="1"/>
    <cellStyle name="40% - Accent3 7" xfId="22936" hidden="1"/>
    <cellStyle name="40% - Accent3 7" xfId="23596" hidden="1"/>
    <cellStyle name="40% - Accent3 7" xfId="23801" hidden="1"/>
    <cellStyle name="40% - Accent3 7" xfId="23879" hidden="1"/>
    <cellStyle name="40% - Accent3 7" xfId="22883" hidden="1"/>
    <cellStyle name="40% - Accent3 7" xfId="23009" hidden="1"/>
    <cellStyle name="40% - Accent3 7" xfId="23040" hidden="1"/>
    <cellStyle name="40% - Accent3 7" xfId="24145" hidden="1"/>
    <cellStyle name="40% - Accent3 7" xfId="24333" hidden="1"/>
    <cellStyle name="40% - Accent3 7" xfId="24411" hidden="1"/>
    <cellStyle name="40% - Accent3 7" xfId="24487" hidden="1"/>
    <cellStyle name="40% - Accent3 7" xfId="24670" hidden="1"/>
    <cellStyle name="40% - Accent3 7" xfId="24748" hidden="1"/>
    <cellStyle name="40% - Accent3 7" xfId="24824" hidden="1"/>
    <cellStyle name="40% - Accent3 7" xfId="25007" hidden="1"/>
    <cellStyle name="40% - Accent3 7" xfId="25104" hidden="1"/>
    <cellStyle name="40% - Accent3 7" xfId="25181" hidden="1"/>
    <cellStyle name="40% - Accent3 7" xfId="25259" hidden="1"/>
    <cellStyle name="40% - Accent3 7" xfId="25337" hidden="1"/>
    <cellStyle name="40% - Accent3 7" xfId="25919" hidden="1"/>
    <cellStyle name="40% - Accent3 7" xfId="25998" hidden="1"/>
    <cellStyle name="40% - Accent3 7" xfId="26076" hidden="1"/>
    <cellStyle name="40% - Accent3 7" xfId="25802" hidden="1"/>
    <cellStyle name="40% - Accent3 7" xfId="25754" hidden="1"/>
    <cellStyle name="40% - Accent3 7" xfId="25728" hidden="1"/>
    <cellStyle name="40% - Accent3 7" xfId="26388" hidden="1"/>
    <cellStyle name="40% - Accent3 7" xfId="26593" hidden="1"/>
    <cellStyle name="40% - Accent3 7" xfId="26671" hidden="1"/>
    <cellStyle name="40% - Accent3 7" xfId="25675" hidden="1"/>
    <cellStyle name="40% - Accent3 7" xfId="25801" hidden="1"/>
    <cellStyle name="40% - Accent3 7" xfId="25832" hidden="1"/>
    <cellStyle name="40% - Accent3 7" xfId="26937" hidden="1"/>
    <cellStyle name="40% - Accent3 7" xfId="27125" hidden="1"/>
    <cellStyle name="40% - Accent3 7" xfId="27203" hidden="1"/>
    <cellStyle name="40% - Accent3 7" xfId="27279" hidden="1"/>
    <cellStyle name="40% - Accent3 7" xfId="27462" hidden="1"/>
    <cellStyle name="40% - Accent3 7" xfId="27540" hidden="1"/>
    <cellStyle name="40% - Accent3 7" xfId="27616" hidden="1"/>
    <cellStyle name="40% - Accent3 7" xfId="27799" hidden="1"/>
    <cellStyle name="40% - Accent3 7" xfId="22283" hidden="1"/>
    <cellStyle name="40% - Accent3 7" xfId="22206" hidden="1"/>
    <cellStyle name="40% - Accent3 7" xfId="22127" hidden="1"/>
    <cellStyle name="40% - Accent3 7" xfId="22044" hidden="1"/>
    <cellStyle name="40% - Accent3 7" xfId="9011" hidden="1"/>
    <cellStyle name="40% - Accent3 7" xfId="8788" hidden="1"/>
    <cellStyle name="40% - Accent3 7" xfId="8518" hidden="1"/>
    <cellStyle name="40% - Accent3 7" xfId="9438" hidden="1"/>
    <cellStyle name="40% - Accent3 7" xfId="9610" hidden="1"/>
    <cellStyle name="40% - Accent3 7" xfId="9775" hidden="1"/>
    <cellStyle name="40% - Accent3 7" xfId="6684" hidden="1"/>
    <cellStyle name="40% - Accent3 7" xfId="5792" hidden="1"/>
    <cellStyle name="40% - Accent3 7" xfId="5558" hidden="1"/>
    <cellStyle name="40% - Accent3 7" xfId="15509" hidden="1"/>
    <cellStyle name="40% - Accent3 7" xfId="9451" hidden="1"/>
    <cellStyle name="40% - Accent3 7" xfId="9349" hidden="1"/>
    <cellStyle name="40% - Accent3 7" xfId="3991" hidden="1"/>
    <cellStyle name="40% - Accent3 7" xfId="3321" hidden="1"/>
    <cellStyle name="40% - Accent3 7" xfId="3128" hidden="1"/>
    <cellStyle name="40% - Accent3 7" xfId="2825" hidden="1"/>
    <cellStyle name="40% - Accent3 7" xfId="1616" hidden="1"/>
    <cellStyle name="40% - Accent3 7" xfId="1439" hidden="1"/>
    <cellStyle name="40% - Accent3 7" xfId="912" hidden="1"/>
    <cellStyle name="40% - Accent3 7" xfId="27934" hidden="1"/>
    <cellStyle name="40% - Accent3 7" xfId="28031" hidden="1"/>
    <cellStyle name="40% - Accent3 7" xfId="28108" hidden="1"/>
    <cellStyle name="40% - Accent3 7" xfId="28186" hidden="1"/>
    <cellStyle name="40% - Accent3 7" xfId="28264" hidden="1"/>
    <cellStyle name="40% - Accent3 7" xfId="28846" hidden="1"/>
    <cellStyle name="40% - Accent3 7" xfId="28925" hidden="1"/>
    <cellStyle name="40% - Accent3 7" xfId="29003" hidden="1"/>
    <cellStyle name="40% - Accent3 7" xfId="28729" hidden="1"/>
    <cellStyle name="40% - Accent3 7" xfId="28681" hidden="1"/>
    <cellStyle name="40% - Accent3 7" xfId="28655" hidden="1"/>
    <cellStyle name="40% - Accent3 7" xfId="29315" hidden="1"/>
    <cellStyle name="40% - Accent3 7" xfId="29520" hidden="1"/>
    <cellStyle name="40% - Accent3 7" xfId="29598" hidden="1"/>
    <cellStyle name="40% - Accent3 7" xfId="28602" hidden="1"/>
    <cellStyle name="40% - Accent3 7" xfId="28728" hidden="1"/>
    <cellStyle name="40% - Accent3 7" xfId="28759" hidden="1"/>
    <cellStyle name="40% - Accent3 7" xfId="29864" hidden="1"/>
    <cellStyle name="40% - Accent3 7" xfId="30052" hidden="1"/>
    <cellStyle name="40% - Accent3 7" xfId="30130" hidden="1"/>
    <cellStyle name="40% - Accent3 7" xfId="30206" hidden="1"/>
    <cellStyle name="40% - Accent3 7" xfId="30389" hidden="1"/>
    <cellStyle name="40% - Accent3 7" xfId="30467" hidden="1"/>
    <cellStyle name="40% - Accent3 7" xfId="30543" hidden="1"/>
    <cellStyle name="40% - Accent3 7" xfId="30726" hidden="1"/>
    <cellStyle name="40% - Accent3 7" xfId="30823" hidden="1"/>
    <cellStyle name="40% - Accent3 7" xfId="30900" hidden="1"/>
    <cellStyle name="40% - Accent3 7" xfId="30978" hidden="1"/>
    <cellStyle name="40% - Accent3 7" xfId="31056" hidden="1"/>
    <cellStyle name="40% - Accent3 7" xfId="31638" hidden="1"/>
    <cellStyle name="40% - Accent3 7" xfId="31717" hidden="1"/>
    <cellStyle name="40% - Accent3 7" xfId="31795" hidden="1"/>
    <cellStyle name="40% - Accent3 7" xfId="31521" hidden="1"/>
    <cellStyle name="40% - Accent3 7" xfId="31473" hidden="1"/>
    <cellStyle name="40% - Accent3 7" xfId="31447" hidden="1"/>
    <cellStyle name="40% - Accent3 7" xfId="32107" hidden="1"/>
    <cellStyle name="40% - Accent3 7" xfId="32312" hidden="1"/>
    <cellStyle name="40% - Accent3 7" xfId="32390" hidden="1"/>
    <cellStyle name="40% - Accent3 7" xfId="31394" hidden="1"/>
    <cellStyle name="40% - Accent3 7" xfId="31520" hidden="1"/>
    <cellStyle name="40% - Accent3 7" xfId="31551" hidden="1"/>
    <cellStyle name="40% - Accent3 7" xfId="32656" hidden="1"/>
    <cellStyle name="40% - Accent3 7" xfId="32844" hidden="1"/>
    <cellStyle name="40% - Accent3 7" xfId="32922" hidden="1"/>
    <cellStyle name="40% - Accent3 7" xfId="32998" hidden="1"/>
    <cellStyle name="40% - Accent3 7" xfId="33181" hidden="1"/>
    <cellStyle name="40% - Accent3 7" xfId="33259" hidden="1"/>
    <cellStyle name="40% - Accent3 7" xfId="33335" hidden="1"/>
    <cellStyle name="40% - Accent3 7" xfId="33518" hidden="1"/>
    <cellStyle name="40% - Accent3 8" xfId="145" hidden="1"/>
    <cellStyle name="40% - Accent3 8" xfId="134" hidden="1"/>
    <cellStyle name="40% - Accent3 8" xfId="287" hidden="1"/>
    <cellStyle name="40% - Accent3 8" xfId="467" hidden="1"/>
    <cellStyle name="40% - Accent3 8" xfId="2294" hidden="1"/>
    <cellStyle name="40% - Accent3 8" xfId="2462" hidden="1"/>
    <cellStyle name="40% - Accent3 8" xfId="2617" hidden="1"/>
    <cellStyle name="40% - Accent3 8" xfId="2077" hidden="1"/>
    <cellStyle name="40% - Accent3 8" xfId="3804" hidden="1"/>
    <cellStyle name="40% - Accent3 8" xfId="2275" hidden="1"/>
    <cellStyle name="40% - Accent3 8" xfId="3664" hidden="1"/>
    <cellStyle name="40% - Accent3 8" xfId="4448" hidden="1"/>
    <cellStyle name="40% - Accent3 8" xfId="4637" hidden="1"/>
    <cellStyle name="40% - Accent3 8" xfId="1580" hidden="1"/>
    <cellStyle name="40% - Accent3 8" xfId="5827" hidden="1"/>
    <cellStyle name="40% - Accent3 8" xfId="4245" hidden="1"/>
    <cellStyle name="40% - Accent3 8" xfId="5603" hidden="1"/>
    <cellStyle name="40% - Accent3 8" xfId="6401" hidden="1"/>
    <cellStyle name="40% - Accent3 8" xfId="6537" hidden="1"/>
    <cellStyle name="40% - Accent3 8" xfId="6715" hidden="1"/>
    <cellStyle name="40% - Accent3 8" xfId="7583" hidden="1"/>
    <cellStyle name="40% - Accent3 8" xfId="7741" hidden="1"/>
    <cellStyle name="40% - Accent3 8" xfId="7908" hidden="1"/>
    <cellStyle name="40% - Accent3 8" xfId="8826" hidden="1"/>
    <cellStyle name="40% - Accent3 8" xfId="9836" hidden="1"/>
    <cellStyle name="40% - Accent3 8" xfId="9825" hidden="1"/>
    <cellStyle name="40% - Accent3 8" xfId="9972" hidden="1"/>
    <cellStyle name="40% - Accent3 8" xfId="10050" hidden="1"/>
    <cellStyle name="40% - Accent3 8" xfId="10630" hidden="1"/>
    <cellStyle name="40% - Accent3 8" xfId="10711" hidden="1"/>
    <cellStyle name="40% - Accent3 8" xfId="10789" hidden="1"/>
    <cellStyle name="40% - Accent3 8" xfId="10538" hidden="1"/>
    <cellStyle name="40% - Accent3 8" xfId="11086" hidden="1"/>
    <cellStyle name="40% - Accent3 8" xfId="10614" hidden="1"/>
    <cellStyle name="40% - Accent3 8" xfId="11062" hidden="1"/>
    <cellStyle name="40% - Accent3 8" xfId="11306" hidden="1"/>
    <cellStyle name="40% - Accent3 8" xfId="11384" hidden="1"/>
    <cellStyle name="40% - Accent3 8" xfId="10340" hidden="1"/>
    <cellStyle name="40% - Accent3 8" xfId="11644" hidden="1"/>
    <cellStyle name="40% - Accent3 8" xfId="11236" hidden="1"/>
    <cellStyle name="40% - Accent3 8" xfId="11627" hidden="1"/>
    <cellStyle name="40% - Accent3 8" xfId="11838" hidden="1"/>
    <cellStyle name="40% - Accent3 8" xfId="11916" hidden="1"/>
    <cellStyle name="40% - Accent3 8" xfId="11990" hidden="1"/>
    <cellStyle name="40% - Accent3 8" xfId="12175" hidden="1"/>
    <cellStyle name="40% - Accent3 8" xfId="12253" hidden="1"/>
    <cellStyle name="40% - Accent3 8" xfId="12327" hidden="1"/>
    <cellStyle name="40% - Accent3 8" xfId="12512" hidden="1"/>
    <cellStyle name="40% - Accent3 8" xfId="12628" hidden="1"/>
    <cellStyle name="40% - Accent3 8" xfId="12617" hidden="1"/>
    <cellStyle name="40% - Accent3 8" xfId="12764" hidden="1"/>
    <cellStyle name="40% - Accent3 8" xfId="12842" hidden="1"/>
    <cellStyle name="40% - Accent3 8" xfId="13422" hidden="1"/>
    <cellStyle name="40% - Accent3 8" xfId="13503" hidden="1"/>
    <cellStyle name="40% - Accent3 8" xfId="13581" hidden="1"/>
    <cellStyle name="40% - Accent3 8" xfId="13330" hidden="1"/>
    <cellStyle name="40% - Accent3 8" xfId="13878" hidden="1"/>
    <cellStyle name="40% - Accent3 8" xfId="13406" hidden="1"/>
    <cellStyle name="40% - Accent3 8" xfId="13854" hidden="1"/>
    <cellStyle name="40% - Accent3 8" xfId="14098" hidden="1"/>
    <cellStyle name="40% - Accent3 8" xfId="14176" hidden="1"/>
    <cellStyle name="40% - Accent3 8" xfId="13132" hidden="1"/>
    <cellStyle name="40% - Accent3 8" xfId="14436" hidden="1"/>
    <cellStyle name="40% - Accent3 8" xfId="14028" hidden="1"/>
    <cellStyle name="40% - Accent3 8" xfId="14419" hidden="1"/>
    <cellStyle name="40% - Accent3 8" xfId="14630" hidden="1"/>
    <cellStyle name="40% - Accent3 8" xfId="14708" hidden="1"/>
    <cellStyle name="40% - Accent3 8" xfId="14782" hidden="1"/>
    <cellStyle name="40% - Accent3 8" xfId="14967" hidden="1"/>
    <cellStyle name="40% - Accent3 8" xfId="15045" hidden="1"/>
    <cellStyle name="40% - Accent3 8" xfId="15119" hidden="1"/>
    <cellStyle name="40% - Accent3 8" xfId="15304" hidden="1"/>
    <cellStyle name="40% - Accent3 8" xfId="9624" hidden="1"/>
    <cellStyle name="40% - Accent3 8" xfId="9636" hidden="1"/>
    <cellStyle name="40% - Accent3 8" xfId="9436" hidden="1"/>
    <cellStyle name="40% - Accent3 8" xfId="9318" hidden="1"/>
    <cellStyle name="40% - Accent3 8" xfId="7171" hidden="1"/>
    <cellStyle name="40% - Accent3 8" xfId="6956" hidden="1"/>
    <cellStyle name="40% - Accent3 8" xfId="6867" hidden="1"/>
    <cellStyle name="40% - Accent3 8" xfId="7420" hidden="1"/>
    <cellStyle name="40% - Accent3 8" xfId="5677" hidden="1"/>
    <cellStyle name="40% - Accent3 8" xfId="7194" hidden="1"/>
    <cellStyle name="40% - Accent3 8" xfId="5885" hidden="1"/>
    <cellStyle name="40% - Accent3 8" xfId="4806" hidden="1"/>
    <cellStyle name="40% - Accent3 8" xfId="4628" hidden="1"/>
    <cellStyle name="40% - Accent3 8" xfId="8161" hidden="1"/>
    <cellStyle name="40% - Accent3 8" xfId="3639" hidden="1"/>
    <cellStyle name="40% - Accent3 8" xfId="5043" hidden="1"/>
    <cellStyle name="40% - Accent3 8" xfId="3761" hidden="1"/>
    <cellStyle name="40% - Accent3 8" xfId="2659" hidden="1"/>
    <cellStyle name="40% - Accent3 8" xfId="2461" hidden="1"/>
    <cellStyle name="40% - Accent3 8" xfId="2299" hidden="1"/>
    <cellStyle name="40% - Accent3 8" xfId="1321" hidden="1"/>
    <cellStyle name="40% - Accent3 8" xfId="1138" hidden="1"/>
    <cellStyle name="40% - Accent3 8" xfId="909" hidden="1"/>
    <cellStyle name="40% - Accent3 8" xfId="15453" hidden="1"/>
    <cellStyle name="40% - Accent3 8" xfId="16177" hidden="1"/>
    <cellStyle name="40% - Accent3 8" xfId="16166" hidden="1"/>
    <cellStyle name="40% - Accent3 8" xfId="16313" hidden="1"/>
    <cellStyle name="40% - Accent3 8" xfId="16391" hidden="1"/>
    <cellStyle name="40% - Accent3 8" xfId="16971" hidden="1"/>
    <cellStyle name="40% - Accent3 8" xfId="17052" hidden="1"/>
    <cellStyle name="40% - Accent3 8" xfId="17130" hidden="1"/>
    <cellStyle name="40% - Accent3 8" xfId="16879" hidden="1"/>
    <cellStyle name="40% - Accent3 8" xfId="17427" hidden="1"/>
    <cellStyle name="40% - Accent3 8" xfId="16955" hidden="1"/>
    <cellStyle name="40% - Accent3 8" xfId="17403" hidden="1"/>
    <cellStyle name="40% - Accent3 8" xfId="17647" hidden="1"/>
    <cellStyle name="40% - Accent3 8" xfId="17725" hidden="1"/>
    <cellStyle name="40% - Accent3 8" xfId="16681" hidden="1"/>
    <cellStyle name="40% - Accent3 8" xfId="17985" hidden="1"/>
    <cellStyle name="40% - Accent3 8" xfId="17577" hidden="1"/>
    <cellStyle name="40% - Accent3 8" xfId="17968" hidden="1"/>
    <cellStyle name="40% - Accent3 8" xfId="18179" hidden="1"/>
    <cellStyle name="40% - Accent3 8" xfId="18257" hidden="1"/>
    <cellStyle name="40% - Accent3 8" xfId="18331" hidden="1"/>
    <cellStyle name="40% - Accent3 8" xfId="18516" hidden="1"/>
    <cellStyle name="40% - Accent3 8" xfId="18594" hidden="1"/>
    <cellStyle name="40% - Accent3 8" xfId="18668" hidden="1"/>
    <cellStyle name="40% - Accent3 8" xfId="18853" hidden="1"/>
    <cellStyle name="40% - Accent3 8" xfId="18969" hidden="1"/>
    <cellStyle name="40% - Accent3 8" xfId="18958" hidden="1"/>
    <cellStyle name="40% - Accent3 8" xfId="19105" hidden="1"/>
    <cellStyle name="40% - Accent3 8" xfId="19183" hidden="1"/>
    <cellStyle name="40% - Accent3 8" xfId="19763" hidden="1"/>
    <cellStyle name="40% - Accent3 8" xfId="19844" hidden="1"/>
    <cellStyle name="40% - Accent3 8" xfId="19922" hidden="1"/>
    <cellStyle name="40% - Accent3 8" xfId="19671" hidden="1"/>
    <cellStyle name="40% - Accent3 8" xfId="20219" hidden="1"/>
    <cellStyle name="40% - Accent3 8" xfId="19747" hidden="1"/>
    <cellStyle name="40% - Accent3 8" xfId="20195" hidden="1"/>
    <cellStyle name="40% - Accent3 8" xfId="20439" hidden="1"/>
    <cellStyle name="40% - Accent3 8" xfId="20517" hidden="1"/>
    <cellStyle name="40% - Accent3 8" xfId="19473" hidden="1"/>
    <cellStyle name="40% - Accent3 8" xfId="20777" hidden="1"/>
    <cellStyle name="40% - Accent3 8" xfId="20369" hidden="1"/>
    <cellStyle name="40% - Accent3 8" xfId="20760" hidden="1"/>
    <cellStyle name="40% - Accent3 8" xfId="20971" hidden="1"/>
    <cellStyle name="40% - Accent3 8" xfId="21049" hidden="1"/>
    <cellStyle name="40% - Accent3 8" xfId="21123" hidden="1"/>
    <cellStyle name="40% - Accent3 8" xfId="21308" hidden="1"/>
    <cellStyle name="40% - Accent3 8" xfId="21386" hidden="1"/>
    <cellStyle name="40% - Accent3 8" xfId="21460" hidden="1"/>
    <cellStyle name="40% - Accent3 8" xfId="21645" hidden="1"/>
    <cellStyle name="40% - Accent3 8" xfId="16014" hidden="1"/>
    <cellStyle name="40% - Accent3 8" xfId="16025" hidden="1"/>
    <cellStyle name="40% - Accent3 8" xfId="15878" hidden="1"/>
    <cellStyle name="40% - Accent3 8" xfId="15795" hidden="1"/>
    <cellStyle name="40% - Accent3 8" xfId="8098" hidden="1"/>
    <cellStyle name="40% - Accent3 8" xfId="7920" hidden="1"/>
    <cellStyle name="40% - Accent3 8" xfId="7672" hidden="1"/>
    <cellStyle name="40% - Accent3 8" xfId="8370" hidden="1"/>
    <cellStyle name="40% - Accent3 8" xfId="6171" hidden="1"/>
    <cellStyle name="40% - Accent3 8" xfId="8125" hidden="1"/>
    <cellStyle name="40% - Accent3 8" xfId="6306" hidden="1"/>
    <cellStyle name="40% - Accent3 8" xfId="5257" hidden="1"/>
    <cellStyle name="40% - Accent3 8" xfId="5052" hidden="1"/>
    <cellStyle name="40% - Accent3 8" xfId="9085" hidden="1"/>
    <cellStyle name="40% - Accent3 8" xfId="3821" hidden="1"/>
    <cellStyle name="40% - Accent3 8" xfId="5551" hidden="1"/>
    <cellStyle name="40% - Accent3 8" xfId="3971" hidden="1"/>
    <cellStyle name="40% - Accent3 8" xfId="2979" hidden="1"/>
    <cellStyle name="40% - Accent3 8" xfId="2848" hidden="1"/>
    <cellStyle name="40% - Accent3 8" xfId="2586" hidden="1"/>
    <cellStyle name="40% - Accent3 8" xfId="1475" hidden="1"/>
    <cellStyle name="40% - Accent3 8" xfId="1273" hidden="1"/>
    <cellStyle name="40% - Accent3 8" xfId="1058" hidden="1"/>
    <cellStyle name="40% - Accent3 8" xfId="21782" hidden="1"/>
    <cellStyle name="40% - Accent3 8" xfId="22328" hidden="1"/>
    <cellStyle name="40% - Accent3 8" xfId="22317" hidden="1"/>
    <cellStyle name="40% - Accent3 8" xfId="22464" hidden="1"/>
    <cellStyle name="40% - Accent3 8" xfId="22542" hidden="1"/>
    <cellStyle name="40% - Accent3 8" xfId="23122" hidden="1"/>
    <cellStyle name="40% - Accent3 8" xfId="23203" hidden="1"/>
    <cellStyle name="40% - Accent3 8" xfId="23281" hidden="1"/>
    <cellStyle name="40% - Accent3 8" xfId="23030" hidden="1"/>
    <cellStyle name="40% - Accent3 8" xfId="23578" hidden="1"/>
    <cellStyle name="40% - Accent3 8" xfId="23106" hidden="1"/>
    <cellStyle name="40% - Accent3 8" xfId="23554" hidden="1"/>
    <cellStyle name="40% - Accent3 8" xfId="23798" hidden="1"/>
    <cellStyle name="40% - Accent3 8" xfId="23876" hidden="1"/>
    <cellStyle name="40% - Accent3 8" xfId="22832" hidden="1"/>
    <cellStyle name="40% - Accent3 8" xfId="24136" hidden="1"/>
    <cellStyle name="40% - Accent3 8" xfId="23728" hidden="1"/>
    <cellStyle name="40% - Accent3 8" xfId="24119" hidden="1"/>
    <cellStyle name="40% - Accent3 8" xfId="24330" hidden="1"/>
    <cellStyle name="40% - Accent3 8" xfId="24408" hidden="1"/>
    <cellStyle name="40% - Accent3 8" xfId="24482" hidden="1"/>
    <cellStyle name="40% - Accent3 8" xfId="24667" hidden="1"/>
    <cellStyle name="40% - Accent3 8" xfId="24745" hidden="1"/>
    <cellStyle name="40% - Accent3 8" xfId="24819" hidden="1"/>
    <cellStyle name="40% - Accent3 8" xfId="25004" hidden="1"/>
    <cellStyle name="40% - Accent3 8" xfId="25120" hidden="1"/>
    <cellStyle name="40% - Accent3 8" xfId="25109" hidden="1"/>
    <cellStyle name="40% - Accent3 8" xfId="25256" hidden="1"/>
    <cellStyle name="40% - Accent3 8" xfId="25334" hidden="1"/>
    <cellStyle name="40% - Accent3 8" xfId="25914" hidden="1"/>
    <cellStyle name="40% - Accent3 8" xfId="25995" hidden="1"/>
    <cellStyle name="40% - Accent3 8" xfId="26073" hidden="1"/>
    <cellStyle name="40% - Accent3 8" xfId="25822" hidden="1"/>
    <cellStyle name="40% - Accent3 8" xfId="26370" hidden="1"/>
    <cellStyle name="40% - Accent3 8" xfId="25898" hidden="1"/>
    <cellStyle name="40% - Accent3 8" xfId="26346" hidden="1"/>
    <cellStyle name="40% - Accent3 8" xfId="26590" hidden="1"/>
    <cellStyle name="40% - Accent3 8" xfId="26668" hidden="1"/>
    <cellStyle name="40% - Accent3 8" xfId="25624" hidden="1"/>
    <cellStyle name="40% - Accent3 8" xfId="26928" hidden="1"/>
    <cellStyle name="40% - Accent3 8" xfId="26520" hidden="1"/>
    <cellStyle name="40% - Accent3 8" xfId="26911" hidden="1"/>
    <cellStyle name="40% - Accent3 8" xfId="27122" hidden="1"/>
    <cellStyle name="40% - Accent3 8" xfId="27200" hidden="1"/>
    <cellStyle name="40% - Accent3 8" xfId="27274" hidden="1"/>
    <cellStyle name="40% - Accent3 8" xfId="27459" hidden="1"/>
    <cellStyle name="40% - Accent3 8" xfId="27537" hidden="1"/>
    <cellStyle name="40% - Accent3 8" xfId="27611" hidden="1"/>
    <cellStyle name="40% - Accent3 8" xfId="27796" hidden="1"/>
    <cellStyle name="40% - Accent3 8" xfId="22267" hidden="1"/>
    <cellStyle name="40% - Accent3 8" xfId="22278" hidden="1"/>
    <cellStyle name="40% - Accent3 8" xfId="22131" hidden="1"/>
    <cellStyle name="40% - Accent3 8" xfId="22048" hidden="1"/>
    <cellStyle name="40% - Accent3 8" xfId="9031" hidden="1"/>
    <cellStyle name="40% - Accent3 8" xfId="8798" hidden="1"/>
    <cellStyle name="40% - Accent3 8" xfId="8521" hidden="1"/>
    <cellStyle name="40% - Accent3 8" xfId="9397" hidden="1"/>
    <cellStyle name="40% - Accent3 8" xfId="6740" hidden="1"/>
    <cellStyle name="40% - Accent3 8" xfId="9056" hidden="1"/>
    <cellStyle name="40% - Accent3 8" xfId="6906" hidden="1"/>
    <cellStyle name="40% - Accent3 8" xfId="5795" hidden="1"/>
    <cellStyle name="40% - Accent3 8" xfId="5561" hidden="1"/>
    <cellStyle name="40% - Accent3 8" xfId="15609" hidden="1"/>
    <cellStyle name="40% - Accent3 8" xfId="4006" hidden="1"/>
    <cellStyle name="40% - Accent3 8" xfId="5926" hidden="1"/>
    <cellStyle name="40% - Accent3 8" xfId="4244" hidden="1"/>
    <cellStyle name="40% - Accent3 8" xfId="3325" hidden="1"/>
    <cellStyle name="40% - Accent3 8" xfId="3132" hidden="1"/>
    <cellStyle name="40% - Accent3 8" xfId="2944" hidden="1"/>
    <cellStyle name="40% - Accent3 8" xfId="1621" hidden="1"/>
    <cellStyle name="40% - Accent3 8" xfId="1445" hidden="1"/>
    <cellStyle name="40% - Accent3 8" xfId="1149" hidden="1"/>
    <cellStyle name="40% - Accent3 8" xfId="27931" hidden="1"/>
    <cellStyle name="40% - Accent3 8" xfId="28047" hidden="1"/>
    <cellStyle name="40% - Accent3 8" xfId="28036" hidden="1"/>
    <cellStyle name="40% - Accent3 8" xfId="28183" hidden="1"/>
    <cellStyle name="40% - Accent3 8" xfId="28261" hidden="1"/>
    <cellStyle name="40% - Accent3 8" xfId="28841" hidden="1"/>
    <cellStyle name="40% - Accent3 8" xfId="28922" hidden="1"/>
    <cellStyle name="40% - Accent3 8" xfId="29000" hidden="1"/>
    <cellStyle name="40% - Accent3 8" xfId="28749" hidden="1"/>
    <cellStyle name="40% - Accent3 8" xfId="29297" hidden="1"/>
    <cellStyle name="40% - Accent3 8" xfId="28825" hidden="1"/>
    <cellStyle name="40% - Accent3 8" xfId="29273" hidden="1"/>
    <cellStyle name="40% - Accent3 8" xfId="29517" hidden="1"/>
    <cellStyle name="40% - Accent3 8" xfId="29595" hidden="1"/>
    <cellStyle name="40% - Accent3 8" xfId="28551" hidden="1"/>
    <cellStyle name="40% - Accent3 8" xfId="29855" hidden="1"/>
    <cellStyle name="40% - Accent3 8" xfId="29447" hidden="1"/>
    <cellStyle name="40% - Accent3 8" xfId="29838" hidden="1"/>
    <cellStyle name="40% - Accent3 8" xfId="30049" hidden="1"/>
    <cellStyle name="40% - Accent3 8" xfId="30127" hidden="1"/>
    <cellStyle name="40% - Accent3 8" xfId="30201" hidden="1"/>
    <cellStyle name="40% - Accent3 8" xfId="30386" hidden="1"/>
    <cellStyle name="40% - Accent3 8" xfId="30464" hidden="1"/>
    <cellStyle name="40% - Accent3 8" xfId="30538" hidden="1"/>
    <cellStyle name="40% - Accent3 8" xfId="30723" hidden="1"/>
    <cellStyle name="40% - Accent3 8" xfId="30839" hidden="1"/>
    <cellStyle name="40% - Accent3 8" xfId="30828" hidden="1"/>
    <cellStyle name="40% - Accent3 8" xfId="30975" hidden="1"/>
    <cellStyle name="40% - Accent3 8" xfId="31053" hidden="1"/>
    <cellStyle name="40% - Accent3 8" xfId="31633" hidden="1"/>
    <cellStyle name="40% - Accent3 8" xfId="31714" hidden="1"/>
    <cellStyle name="40% - Accent3 8" xfId="31792" hidden="1"/>
    <cellStyle name="40% - Accent3 8" xfId="31541" hidden="1"/>
    <cellStyle name="40% - Accent3 8" xfId="32089" hidden="1"/>
    <cellStyle name="40% - Accent3 8" xfId="31617" hidden="1"/>
    <cellStyle name="40% - Accent3 8" xfId="32065" hidden="1"/>
    <cellStyle name="40% - Accent3 8" xfId="32309" hidden="1"/>
    <cellStyle name="40% - Accent3 8" xfId="32387" hidden="1"/>
    <cellStyle name="40% - Accent3 8" xfId="31343" hidden="1"/>
    <cellStyle name="40% - Accent3 8" xfId="32647" hidden="1"/>
    <cellStyle name="40% - Accent3 8" xfId="32239" hidden="1"/>
    <cellStyle name="40% - Accent3 8" xfId="32630" hidden="1"/>
    <cellStyle name="40% - Accent3 8" xfId="32841" hidden="1"/>
    <cellStyle name="40% - Accent3 8" xfId="32919" hidden="1"/>
    <cellStyle name="40% - Accent3 8" xfId="32993" hidden="1"/>
    <cellStyle name="40% - Accent3 8" xfId="33178" hidden="1"/>
    <cellStyle name="40% - Accent3 8" xfId="33256" hidden="1"/>
    <cellStyle name="40% - Accent3 8" xfId="33330" hidden="1"/>
    <cellStyle name="40% - Accent3 8" xfId="33515" hidden="1"/>
    <cellStyle name="40% - Accent3 9" xfId="158" hidden="1"/>
    <cellStyle name="40% - Accent3 9" xfId="238" hidden="1"/>
    <cellStyle name="40% - Accent3 9" xfId="317" hidden="1"/>
    <cellStyle name="40% - Accent3 9" xfId="650" hidden="1"/>
    <cellStyle name="40% - Accent3 9" xfId="2399" hidden="1"/>
    <cellStyle name="40% - Accent3 9" xfId="2550" hidden="1"/>
    <cellStyle name="40% - Accent3 9" xfId="2730" hidden="1"/>
    <cellStyle name="40% - Accent3 9" xfId="2847" hidden="1"/>
    <cellStyle name="40% - Accent3 9" xfId="2047" hidden="1"/>
    <cellStyle name="40% - Accent3 9" xfId="1850" hidden="1"/>
    <cellStyle name="40% - Accent3 9" xfId="4323" hidden="1"/>
    <cellStyle name="40% - Accent3 9" xfId="4567" hidden="1"/>
    <cellStyle name="40% - Accent3 9" xfId="4727" hidden="1"/>
    <cellStyle name="40% - Accent3 9" xfId="4830" hidden="1"/>
    <cellStyle name="40% - Accent3 9" xfId="3832" hidden="1"/>
    <cellStyle name="40% - Accent3 9" xfId="2086" hidden="1"/>
    <cellStyle name="40% - Accent3 9" xfId="6341" hidden="1"/>
    <cellStyle name="40% - Accent3 9" xfId="6448" hidden="1"/>
    <cellStyle name="40% - Accent3 9" xfId="6647" hidden="1"/>
    <cellStyle name="40% - Accent3 9" xfId="7499" hidden="1"/>
    <cellStyle name="40% - Accent3 9" xfId="7653" hidden="1"/>
    <cellStyle name="40% - Accent3 9" xfId="7835" hidden="1"/>
    <cellStyle name="40% - Accent3 9" xfId="8747" hidden="1"/>
    <cellStyle name="40% - Accent3 9" xfId="8925" hidden="1"/>
    <cellStyle name="40% - Accent3 9" xfId="9849" hidden="1"/>
    <cellStyle name="40% - Accent3 9" xfId="9923" hidden="1"/>
    <cellStyle name="40% - Accent3 9" xfId="9999" hidden="1"/>
    <cellStyle name="40% - Accent3 9" xfId="10077" hidden="1"/>
    <cellStyle name="40% - Accent3 9" xfId="10662" hidden="1"/>
    <cellStyle name="40% - Accent3 9" xfId="10738" hidden="1"/>
    <cellStyle name="40% - Accent3 9" xfId="10817" hidden="1"/>
    <cellStyle name="40% - Accent3 9" xfId="10874" hidden="1"/>
    <cellStyle name="40% - Accent3 9" xfId="10513" hidden="1"/>
    <cellStyle name="40% - Accent3 9" xfId="10427" hidden="1"/>
    <cellStyle name="40% - Accent3 9" xfId="11257" hidden="1"/>
    <cellStyle name="40% - Accent3 9" xfId="11333" hidden="1"/>
    <cellStyle name="40% - Accent3 9" xfId="11411" hidden="1"/>
    <cellStyle name="40% - Accent3 9" xfId="11464" hidden="1"/>
    <cellStyle name="40% - Accent3 9" xfId="11101" hidden="1"/>
    <cellStyle name="40% - Accent3 9" xfId="10544" hidden="1"/>
    <cellStyle name="40% - Accent3 9" xfId="11789" hidden="1"/>
    <cellStyle name="40% - Accent3 9" xfId="11865" hidden="1"/>
    <cellStyle name="40% - Accent3 9" xfId="11943" hidden="1"/>
    <cellStyle name="40% - Accent3 9" xfId="12126" hidden="1"/>
    <cellStyle name="40% - Accent3 9" xfId="12202" hidden="1"/>
    <cellStyle name="40% - Accent3 9" xfId="12280" hidden="1"/>
    <cellStyle name="40% - Accent3 9" xfId="12463" hidden="1"/>
    <cellStyle name="40% - Accent3 9" xfId="12539" hidden="1"/>
    <cellStyle name="40% - Accent3 9" xfId="12641" hidden="1"/>
    <cellStyle name="40% - Accent3 9" xfId="12715" hidden="1"/>
    <cellStyle name="40% - Accent3 9" xfId="12791" hidden="1"/>
    <cellStyle name="40% - Accent3 9" xfId="12869" hidden="1"/>
    <cellStyle name="40% - Accent3 9" xfId="13454" hidden="1"/>
    <cellStyle name="40% - Accent3 9" xfId="13530" hidden="1"/>
    <cellStyle name="40% - Accent3 9" xfId="13609" hidden="1"/>
    <cellStyle name="40% - Accent3 9" xfId="13666" hidden="1"/>
    <cellStyle name="40% - Accent3 9" xfId="13305" hidden="1"/>
    <cellStyle name="40% - Accent3 9" xfId="13219" hidden="1"/>
    <cellStyle name="40% - Accent3 9" xfId="14049" hidden="1"/>
    <cellStyle name="40% - Accent3 9" xfId="14125" hidden="1"/>
    <cellStyle name="40% - Accent3 9" xfId="14203" hidden="1"/>
    <cellStyle name="40% - Accent3 9" xfId="14256" hidden="1"/>
    <cellStyle name="40% - Accent3 9" xfId="13893" hidden="1"/>
    <cellStyle name="40% - Accent3 9" xfId="13336" hidden="1"/>
    <cellStyle name="40% - Accent3 9" xfId="14581" hidden="1"/>
    <cellStyle name="40% - Accent3 9" xfId="14657" hidden="1"/>
    <cellStyle name="40% - Accent3 9" xfId="14735" hidden="1"/>
    <cellStyle name="40% - Accent3 9" xfId="14918" hidden="1"/>
    <cellStyle name="40% - Accent3 9" xfId="14994" hidden="1"/>
    <cellStyle name="40% - Accent3 9" xfId="15072" hidden="1"/>
    <cellStyle name="40% - Accent3 9" xfId="15255" hidden="1"/>
    <cellStyle name="40% - Accent3 9" xfId="15331" hidden="1"/>
    <cellStyle name="40% - Accent3 9" xfId="9608" hidden="1"/>
    <cellStyle name="40% - Accent3 9" xfId="9499" hidden="1"/>
    <cellStyle name="40% - Accent3 9" xfId="9380" hidden="1"/>
    <cellStyle name="40% - Accent3 9" xfId="9273" hidden="1"/>
    <cellStyle name="40% - Accent3 9" xfId="7012" hidden="1"/>
    <cellStyle name="40% - Accent3 9" xfId="6924" hidden="1"/>
    <cellStyle name="40% - Accent3 9" xfId="6830" hidden="1"/>
    <cellStyle name="40% - Accent3 9" xfId="6742" hidden="1"/>
    <cellStyle name="40% - Accent3 9" xfId="7481" hidden="1"/>
    <cellStyle name="40% - Accent3 9" xfId="7898" hidden="1"/>
    <cellStyle name="40% - Accent3 9" xfId="4877" hidden="1"/>
    <cellStyle name="40% - Accent3 9" xfId="4704" hidden="1"/>
    <cellStyle name="40% - Accent3 9" xfId="4505" hidden="1"/>
    <cellStyle name="40% - Accent3 9" xfId="4305" hidden="1"/>
    <cellStyle name="40% - Accent3 9" xfId="5638" hidden="1"/>
    <cellStyle name="40% - Accent3 9" xfId="7413" hidden="1"/>
    <cellStyle name="40% - Accent3 9" xfId="2782" hidden="1"/>
    <cellStyle name="40% - Accent3 9" xfId="2535" hidden="1"/>
    <cellStyle name="40% - Accent3 9" xfId="2361" hidden="1"/>
    <cellStyle name="40% - Accent3 9" xfId="1410" hidden="1"/>
    <cellStyle name="40% - Accent3 9" xfId="1220" hidden="1"/>
    <cellStyle name="40% - Accent3 9" xfId="1063" hidden="1"/>
    <cellStyle name="40% - Accent3 9" xfId="9806" hidden="1"/>
    <cellStyle name="40% - Accent3 9" xfId="15500" hidden="1"/>
    <cellStyle name="40% - Accent3 9" xfId="16190" hidden="1"/>
    <cellStyle name="40% - Accent3 9" xfId="16264" hidden="1"/>
    <cellStyle name="40% - Accent3 9" xfId="16340" hidden="1"/>
    <cellStyle name="40% - Accent3 9" xfId="16418" hidden="1"/>
    <cellStyle name="40% - Accent3 9" xfId="17003" hidden="1"/>
    <cellStyle name="40% - Accent3 9" xfId="17079" hidden="1"/>
    <cellStyle name="40% - Accent3 9" xfId="17158" hidden="1"/>
    <cellStyle name="40% - Accent3 9" xfId="17215" hidden="1"/>
    <cellStyle name="40% - Accent3 9" xfId="16854" hidden="1"/>
    <cellStyle name="40% - Accent3 9" xfId="16768" hidden="1"/>
    <cellStyle name="40% - Accent3 9" xfId="17598" hidden="1"/>
    <cellStyle name="40% - Accent3 9" xfId="17674" hidden="1"/>
    <cellStyle name="40% - Accent3 9" xfId="17752" hidden="1"/>
    <cellStyle name="40% - Accent3 9" xfId="17805" hidden="1"/>
    <cellStyle name="40% - Accent3 9" xfId="17442" hidden="1"/>
    <cellStyle name="40% - Accent3 9" xfId="16885" hidden="1"/>
    <cellStyle name="40% - Accent3 9" xfId="18130" hidden="1"/>
    <cellStyle name="40% - Accent3 9" xfId="18206" hidden="1"/>
    <cellStyle name="40% - Accent3 9" xfId="18284" hidden="1"/>
    <cellStyle name="40% - Accent3 9" xfId="18467" hidden="1"/>
    <cellStyle name="40% - Accent3 9" xfId="18543" hidden="1"/>
    <cellStyle name="40% - Accent3 9" xfId="18621" hidden="1"/>
    <cellStyle name="40% - Accent3 9" xfId="18804" hidden="1"/>
    <cellStyle name="40% - Accent3 9" xfId="18880" hidden="1"/>
    <cellStyle name="40% - Accent3 9" xfId="18982" hidden="1"/>
    <cellStyle name="40% - Accent3 9" xfId="19056" hidden="1"/>
    <cellStyle name="40% - Accent3 9" xfId="19132" hidden="1"/>
    <cellStyle name="40% - Accent3 9" xfId="19210" hidden="1"/>
    <cellStyle name="40% - Accent3 9" xfId="19795" hidden="1"/>
    <cellStyle name="40% - Accent3 9" xfId="19871" hidden="1"/>
    <cellStyle name="40% - Accent3 9" xfId="19950" hidden="1"/>
    <cellStyle name="40% - Accent3 9" xfId="20007" hidden="1"/>
    <cellStyle name="40% - Accent3 9" xfId="19646" hidden="1"/>
    <cellStyle name="40% - Accent3 9" xfId="19560" hidden="1"/>
    <cellStyle name="40% - Accent3 9" xfId="20390" hidden="1"/>
    <cellStyle name="40% - Accent3 9" xfId="20466" hidden="1"/>
    <cellStyle name="40% - Accent3 9" xfId="20544" hidden="1"/>
    <cellStyle name="40% - Accent3 9" xfId="20597" hidden="1"/>
    <cellStyle name="40% - Accent3 9" xfId="20234" hidden="1"/>
    <cellStyle name="40% - Accent3 9" xfId="19677" hidden="1"/>
    <cellStyle name="40% - Accent3 9" xfId="20922" hidden="1"/>
    <cellStyle name="40% - Accent3 9" xfId="20998" hidden="1"/>
    <cellStyle name="40% - Accent3 9" xfId="21076" hidden="1"/>
    <cellStyle name="40% - Accent3 9" xfId="21259" hidden="1"/>
    <cellStyle name="40% - Accent3 9" xfId="21335" hidden="1"/>
    <cellStyle name="40% - Accent3 9" xfId="21413" hidden="1"/>
    <cellStyle name="40% - Accent3 9" xfId="21596" hidden="1"/>
    <cellStyle name="40% - Accent3 9" xfId="21672" hidden="1"/>
    <cellStyle name="40% - Accent3 9" xfId="16001" hidden="1"/>
    <cellStyle name="40% - Accent3 9" xfId="15927" hidden="1"/>
    <cellStyle name="40% - Accent3 9" xfId="15848" hidden="1"/>
    <cellStyle name="40% - Accent3 9" xfId="15764" hidden="1"/>
    <cellStyle name="40% - Accent3 9" xfId="7995" hidden="1"/>
    <cellStyle name="40% - Accent3 9" xfId="7793" hidden="1"/>
    <cellStyle name="40% - Accent3 9" xfId="7540" hidden="1"/>
    <cellStyle name="40% - Accent3 9" xfId="7401" hidden="1"/>
    <cellStyle name="40% - Accent3 9" xfId="8427" hidden="1"/>
    <cellStyle name="40% - Accent3 9" xfId="8735" hidden="1"/>
    <cellStyle name="40% - Accent3 9" xfId="5313" hidden="1"/>
    <cellStyle name="40% - Accent3 9" xfId="5113" hidden="1"/>
    <cellStyle name="40% - Accent3 9" xfId="5007" hidden="1"/>
    <cellStyle name="40% - Accent3 9" xfId="4928" hidden="1"/>
    <cellStyle name="40% - Accent3 9" xfId="6147" hidden="1"/>
    <cellStyle name="40% - Accent3 9" xfId="8276" hidden="1"/>
    <cellStyle name="40% - Accent3 9" xfId="3071" hidden="1"/>
    <cellStyle name="40% - Accent3 9" xfId="2922" hidden="1"/>
    <cellStyle name="40% - Accent3 9" xfId="2763" hidden="1"/>
    <cellStyle name="40% - Accent3 9" xfId="1557" hidden="1"/>
    <cellStyle name="40% - Accent3 9" xfId="1400" hidden="1"/>
    <cellStyle name="40% - Accent3 9" xfId="1139" hidden="1"/>
    <cellStyle name="40% - Accent3 9" xfId="9794" hidden="1"/>
    <cellStyle name="40% - Accent3 9" xfId="21810" hidden="1"/>
    <cellStyle name="40% - Accent3 9" xfId="22341" hidden="1"/>
    <cellStyle name="40% - Accent3 9" xfId="22415" hidden="1"/>
    <cellStyle name="40% - Accent3 9" xfId="22491" hidden="1"/>
    <cellStyle name="40% - Accent3 9" xfId="22569" hidden="1"/>
    <cellStyle name="40% - Accent3 9" xfId="23154" hidden="1"/>
    <cellStyle name="40% - Accent3 9" xfId="23230" hidden="1"/>
    <cellStyle name="40% - Accent3 9" xfId="23309" hidden="1"/>
    <cellStyle name="40% - Accent3 9" xfId="23366" hidden="1"/>
    <cellStyle name="40% - Accent3 9" xfId="23005" hidden="1"/>
    <cellStyle name="40% - Accent3 9" xfId="22919" hidden="1"/>
    <cellStyle name="40% - Accent3 9" xfId="23749" hidden="1"/>
    <cellStyle name="40% - Accent3 9" xfId="23825" hidden="1"/>
    <cellStyle name="40% - Accent3 9" xfId="23903" hidden="1"/>
    <cellStyle name="40% - Accent3 9" xfId="23956" hidden="1"/>
    <cellStyle name="40% - Accent3 9" xfId="23593" hidden="1"/>
    <cellStyle name="40% - Accent3 9" xfId="23036" hidden="1"/>
    <cellStyle name="40% - Accent3 9" xfId="24281" hidden="1"/>
    <cellStyle name="40% - Accent3 9" xfId="24357" hidden="1"/>
    <cellStyle name="40% - Accent3 9" xfId="24435" hidden="1"/>
    <cellStyle name="40% - Accent3 9" xfId="24618" hidden="1"/>
    <cellStyle name="40% - Accent3 9" xfId="24694" hidden="1"/>
    <cellStyle name="40% - Accent3 9" xfId="24772" hidden="1"/>
    <cellStyle name="40% - Accent3 9" xfId="24955" hidden="1"/>
    <cellStyle name="40% - Accent3 9" xfId="25031" hidden="1"/>
    <cellStyle name="40% - Accent3 9" xfId="25133" hidden="1"/>
    <cellStyle name="40% - Accent3 9" xfId="25207" hidden="1"/>
    <cellStyle name="40% - Accent3 9" xfId="25283" hidden="1"/>
    <cellStyle name="40% - Accent3 9" xfId="25361" hidden="1"/>
    <cellStyle name="40% - Accent3 9" xfId="25946" hidden="1"/>
    <cellStyle name="40% - Accent3 9" xfId="26022" hidden="1"/>
    <cellStyle name="40% - Accent3 9" xfId="26101" hidden="1"/>
    <cellStyle name="40% - Accent3 9" xfId="26158" hidden="1"/>
    <cellStyle name="40% - Accent3 9" xfId="25797" hidden="1"/>
    <cellStyle name="40% - Accent3 9" xfId="25711" hidden="1"/>
    <cellStyle name="40% - Accent3 9" xfId="26541" hidden="1"/>
    <cellStyle name="40% - Accent3 9" xfId="26617" hidden="1"/>
    <cellStyle name="40% - Accent3 9" xfId="26695" hidden="1"/>
    <cellStyle name="40% - Accent3 9" xfId="26748" hidden="1"/>
    <cellStyle name="40% - Accent3 9" xfId="26385" hidden="1"/>
    <cellStyle name="40% - Accent3 9" xfId="25828" hidden="1"/>
    <cellStyle name="40% - Accent3 9" xfId="27073" hidden="1"/>
    <cellStyle name="40% - Accent3 9" xfId="27149" hidden="1"/>
    <cellStyle name="40% - Accent3 9" xfId="27227" hidden="1"/>
    <cellStyle name="40% - Accent3 9" xfId="27410" hidden="1"/>
    <cellStyle name="40% - Accent3 9" xfId="27486" hidden="1"/>
    <cellStyle name="40% - Accent3 9" xfId="27564" hidden="1"/>
    <cellStyle name="40% - Accent3 9" xfId="27747" hidden="1"/>
    <cellStyle name="40% - Accent3 9" xfId="27823" hidden="1"/>
    <cellStyle name="40% - Accent3 9" xfId="22254" hidden="1"/>
    <cellStyle name="40% - Accent3 9" xfId="22180" hidden="1"/>
    <cellStyle name="40% - Accent3 9" xfId="22101" hidden="1"/>
    <cellStyle name="40% - Accent3 9" xfId="22017" hidden="1"/>
    <cellStyle name="40% - Accent3 9" xfId="8901" hidden="1"/>
    <cellStyle name="40% - Accent3 9" xfId="8692" hidden="1"/>
    <cellStyle name="40% - Accent3 9" xfId="8459" hidden="1"/>
    <cellStyle name="40% - Accent3 9" xfId="8254" hidden="1"/>
    <cellStyle name="40% - Accent3 9" xfId="9472" hidden="1"/>
    <cellStyle name="40% - Accent3 9" xfId="9800" hidden="1"/>
    <cellStyle name="40% - Accent3 9" xfId="5867" hidden="1"/>
    <cellStyle name="40% - Accent3 9" xfId="5620" hidden="1"/>
    <cellStyle name="40% - Accent3 9" xfId="5521" hidden="1"/>
    <cellStyle name="40% - Accent3 9" xfId="5456" hidden="1"/>
    <cellStyle name="40% - Accent3 9" xfId="6708" hidden="1"/>
    <cellStyle name="40% - Accent3 9" xfId="9385" hidden="1"/>
    <cellStyle name="40% - Accent3 9" xfId="3385" hidden="1"/>
    <cellStyle name="40% - Accent3 9" xfId="3291" hidden="1"/>
    <cellStyle name="40% - Accent3 9" xfId="3070" hidden="1"/>
    <cellStyle name="40% - Accent3 9" xfId="1684" hidden="1"/>
    <cellStyle name="40% - Accent3 9" xfId="1565" hidden="1"/>
    <cellStyle name="40% - Accent3 9" xfId="1285" hidden="1"/>
    <cellStyle name="40% - Accent3 9" xfId="16143" hidden="1"/>
    <cellStyle name="40% - Accent3 9" xfId="27958" hidden="1"/>
    <cellStyle name="40% - Accent3 9" xfId="28060" hidden="1"/>
    <cellStyle name="40% - Accent3 9" xfId="28134" hidden="1"/>
    <cellStyle name="40% - Accent3 9" xfId="28210" hidden="1"/>
    <cellStyle name="40% - Accent3 9" xfId="28288" hidden="1"/>
    <cellStyle name="40% - Accent3 9" xfId="28873" hidden="1"/>
    <cellStyle name="40% - Accent3 9" xfId="28949" hidden="1"/>
    <cellStyle name="40% - Accent3 9" xfId="29028" hidden="1"/>
    <cellStyle name="40% - Accent3 9" xfId="29085" hidden="1"/>
    <cellStyle name="40% - Accent3 9" xfId="28724" hidden="1"/>
    <cellStyle name="40% - Accent3 9" xfId="28638" hidden="1"/>
    <cellStyle name="40% - Accent3 9" xfId="29468" hidden="1"/>
    <cellStyle name="40% - Accent3 9" xfId="29544" hidden="1"/>
    <cellStyle name="40% - Accent3 9" xfId="29622" hidden="1"/>
    <cellStyle name="40% - Accent3 9" xfId="29675" hidden="1"/>
    <cellStyle name="40% - Accent3 9" xfId="29312" hidden="1"/>
    <cellStyle name="40% - Accent3 9" xfId="28755" hidden="1"/>
    <cellStyle name="40% - Accent3 9" xfId="30000" hidden="1"/>
    <cellStyle name="40% - Accent3 9" xfId="30076" hidden="1"/>
    <cellStyle name="40% - Accent3 9" xfId="30154" hidden="1"/>
    <cellStyle name="40% - Accent3 9" xfId="30337" hidden="1"/>
    <cellStyle name="40% - Accent3 9" xfId="30413" hidden="1"/>
    <cellStyle name="40% - Accent3 9" xfId="30491" hidden="1"/>
    <cellStyle name="40% - Accent3 9" xfId="30674" hidden="1"/>
    <cellStyle name="40% - Accent3 9" xfId="30750" hidden="1"/>
    <cellStyle name="40% - Accent3 9" xfId="30852" hidden="1"/>
    <cellStyle name="40% - Accent3 9" xfId="30926" hidden="1"/>
    <cellStyle name="40% - Accent3 9" xfId="31002" hidden="1"/>
    <cellStyle name="40% - Accent3 9" xfId="31080" hidden="1"/>
    <cellStyle name="40% - Accent3 9" xfId="31665" hidden="1"/>
    <cellStyle name="40% - Accent3 9" xfId="31741" hidden="1"/>
    <cellStyle name="40% - Accent3 9" xfId="31820" hidden="1"/>
    <cellStyle name="40% - Accent3 9" xfId="31877" hidden="1"/>
    <cellStyle name="40% - Accent3 9" xfId="31516" hidden="1"/>
    <cellStyle name="40% - Accent3 9" xfId="31430" hidden="1"/>
    <cellStyle name="40% - Accent3 9" xfId="32260" hidden="1"/>
    <cellStyle name="40% - Accent3 9" xfId="32336" hidden="1"/>
    <cellStyle name="40% - Accent3 9" xfId="32414" hidden="1"/>
    <cellStyle name="40% - Accent3 9" xfId="32467" hidden="1"/>
    <cellStyle name="40% - Accent3 9" xfId="32104" hidden="1"/>
    <cellStyle name="40% - Accent3 9" xfId="31547" hidden="1"/>
    <cellStyle name="40% - Accent3 9" xfId="32792" hidden="1"/>
    <cellStyle name="40% - Accent3 9" xfId="32868" hidden="1"/>
    <cellStyle name="40% - Accent3 9" xfId="32946" hidden="1"/>
    <cellStyle name="40% - Accent3 9" xfId="33129" hidden="1"/>
    <cellStyle name="40% - Accent3 9" xfId="33205" hidden="1"/>
    <cellStyle name="40% - Accent3 9" xfId="33283" hidden="1"/>
    <cellStyle name="40% - Accent3 9" xfId="33466" hidden="1"/>
    <cellStyle name="40% - Accent3 9" xfId="33542" hidden="1"/>
    <cellStyle name="40% - Accent4" xfId="36" builtinId="43" hidden="1"/>
    <cellStyle name="40% - Accent4" xfId="80" builtinId="43" hidden="1" customBuiltin="1"/>
    <cellStyle name="40% - Accent4 10" xfId="173" hidden="1"/>
    <cellStyle name="40% - Accent4 10" xfId="253" hidden="1"/>
    <cellStyle name="40% - Accent4 10" xfId="355" hidden="1"/>
    <cellStyle name="40% - Accent4 10" xfId="689" hidden="1"/>
    <cellStyle name="40% - Accent4 10" xfId="2417" hidden="1"/>
    <cellStyle name="40% - Accent4 10" xfId="2568" hidden="1"/>
    <cellStyle name="40% - Accent4 10" xfId="2760" hidden="1"/>
    <cellStyle name="40% - Accent4 10" xfId="3100" hidden="1"/>
    <cellStyle name="40% - Accent4 10" xfId="1703" hidden="1"/>
    <cellStyle name="40% - Accent4 10" xfId="1593" hidden="1"/>
    <cellStyle name="40% - Accent4 10" xfId="4357" hidden="1"/>
    <cellStyle name="40% - Accent4 10" xfId="4583" hidden="1"/>
    <cellStyle name="40% - Accent4 10" xfId="4747" hidden="1"/>
    <cellStyle name="40% - Accent4 10" xfId="4949" hidden="1"/>
    <cellStyle name="40% - Accent4 10" xfId="1876" hidden="1"/>
    <cellStyle name="40% - Accent4 10" xfId="1875" hidden="1"/>
    <cellStyle name="40% - Accent4 10" xfId="6361" hidden="1"/>
    <cellStyle name="40% - Accent4 10" xfId="6467" hidden="1"/>
    <cellStyle name="40% - Accent4 10" xfId="6664" hidden="1"/>
    <cellStyle name="40% - Accent4 10" xfId="7525" hidden="1"/>
    <cellStyle name="40% - Accent4 10" xfId="7677" hidden="1"/>
    <cellStyle name="40% - Accent4 10" xfId="7855" hidden="1"/>
    <cellStyle name="40% - Accent4 10" xfId="8770" hidden="1"/>
    <cellStyle name="40% - Accent4 10" xfId="8945" hidden="1"/>
    <cellStyle name="40% - Accent4 10" xfId="9864" hidden="1"/>
    <cellStyle name="40% - Accent4 10" xfId="9938" hidden="1"/>
    <cellStyle name="40% - Accent4 10" xfId="10014" hidden="1"/>
    <cellStyle name="40% - Accent4 10" xfId="10092" hidden="1"/>
    <cellStyle name="40% - Accent4 10" xfId="10677" hidden="1"/>
    <cellStyle name="40% - Accent4 10" xfId="10753" hidden="1"/>
    <cellStyle name="40% - Accent4 10" xfId="10832" hidden="1"/>
    <cellStyle name="40% - Accent4 10" xfId="10923" hidden="1"/>
    <cellStyle name="40% - Accent4 10" xfId="10384" hidden="1"/>
    <cellStyle name="40% - Accent4 10" xfId="10349" hidden="1"/>
    <cellStyle name="40% - Accent4 10" xfId="11272" hidden="1"/>
    <cellStyle name="40% - Accent4 10" xfId="11348" hidden="1"/>
    <cellStyle name="40% - Accent4 10" xfId="11426" hidden="1"/>
    <cellStyle name="40% - Accent4 10" xfId="11501" hidden="1"/>
    <cellStyle name="40% - Accent4 10" xfId="10451" hidden="1"/>
    <cellStyle name="40% - Accent4 10" xfId="10450" hidden="1"/>
    <cellStyle name="40% - Accent4 10" xfId="11804" hidden="1"/>
    <cellStyle name="40% - Accent4 10" xfId="11880" hidden="1"/>
    <cellStyle name="40% - Accent4 10" xfId="11958" hidden="1"/>
    <cellStyle name="40% - Accent4 10" xfId="12141" hidden="1"/>
    <cellStyle name="40% - Accent4 10" xfId="12217" hidden="1"/>
    <cellStyle name="40% - Accent4 10" xfId="12295" hidden="1"/>
    <cellStyle name="40% - Accent4 10" xfId="12478" hidden="1"/>
    <cellStyle name="40% - Accent4 10" xfId="12554" hidden="1"/>
    <cellStyle name="40% - Accent4 10" xfId="12656" hidden="1"/>
    <cellStyle name="40% - Accent4 10" xfId="12730" hidden="1"/>
    <cellStyle name="40% - Accent4 10" xfId="12806" hidden="1"/>
    <cellStyle name="40% - Accent4 10" xfId="12884" hidden="1"/>
    <cellStyle name="40% - Accent4 10" xfId="13469" hidden="1"/>
    <cellStyle name="40% - Accent4 10" xfId="13545" hidden="1"/>
    <cellStyle name="40% - Accent4 10" xfId="13624" hidden="1"/>
    <cellStyle name="40% - Accent4 10" xfId="13715" hidden="1"/>
    <cellStyle name="40% - Accent4 10" xfId="13176" hidden="1"/>
    <cellStyle name="40% - Accent4 10" xfId="13141" hidden="1"/>
    <cellStyle name="40% - Accent4 10" xfId="14064" hidden="1"/>
    <cellStyle name="40% - Accent4 10" xfId="14140" hidden="1"/>
    <cellStyle name="40% - Accent4 10" xfId="14218" hidden="1"/>
    <cellStyle name="40% - Accent4 10" xfId="14293" hidden="1"/>
    <cellStyle name="40% - Accent4 10" xfId="13243" hidden="1"/>
    <cellStyle name="40% - Accent4 10" xfId="13242" hidden="1"/>
    <cellStyle name="40% - Accent4 10" xfId="14596" hidden="1"/>
    <cellStyle name="40% - Accent4 10" xfId="14672" hidden="1"/>
    <cellStyle name="40% - Accent4 10" xfId="14750" hidden="1"/>
    <cellStyle name="40% - Accent4 10" xfId="14933" hidden="1"/>
    <cellStyle name="40% - Accent4 10" xfId="15009" hidden="1"/>
    <cellStyle name="40% - Accent4 10" xfId="15087" hidden="1"/>
    <cellStyle name="40% - Accent4 10" xfId="15270" hidden="1"/>
    <cellStyle name="40% - Accent4 10" xfId="15346" hidden="1"/>
    <cellStyle name="40% - Accent4 10" xfId="9591" hidden="1"/>
    <cellStyle name="40% - Accent4 10" xfId="9478" hidden="1"/>
    <cellStyle name="40% - Accent4 10" xfId="9363" hidden="1"/>
    <cellStyle name="40% - Accent4 10" xfId="9252" hidden="1"/>
    <cellStyle name="40% - Accent4 10" xfId="6993" hidden="1"/>
    <cellStyle name="40% - Accent4 10" xfId="6907" hidden="1"/>
    <cellStyle name="40% - Accent4 10" xfId="6813" hidden="1"/>
    <cellStyle name="40% - Accent4 10" xfId="6414" hidden="1"/>
    <cellStyle name="40% - Accent4 10" xfId="8032" hidden="1"/>
    <cellStyle name="40% - Accent4 10" xfId="8139" hidden="1"/>
    <cellStyle name="40% - Accent4 10" xfId="4853" hidden="1"/>
    <cellStyle name="40% - Accent4 10" xfId="4685" hidden="1"/>
    <cellStyle name="40% - Accent4 10" xfId="4461" hidden="1"/>
    <cellStyle name="40% - Accent4 10" xfId="4250" hidden="1"/>
    <cellStyle name="40% - Accent4 10" xfId="7803" hidden="1"/>
    <cellStyle name="40% - Accent4 10" xfId="7805" hidden="1"/>
    <cellStyle name="40% - Accent4 10" xfId="2733" hidden="1"/>
    <cellStyle name="40% - Accent4 10" xfId="2516" hidden="1"/>
    <cellStyle name="40% - Accent4 10" xfId="2341" hidden="1"/>
    <cellStyle name="40% - Accent4 10" xfId="1382" hidden="1"/>
    <cellStyle name="40% - Accent4 10" xfId="1191" hidden="1"/>
    <cellStyle name="40% - Accent4 10" xfId="952" hidden="1"/>
    <cellStyle name="40% - Accent4 10" xfId="15408" hidden="1"/>
    <cellStyle name="40% - Accent4 10" xfId="15519" hidden="1"/>
    <cellStyle name="40% - Accent4 10" xfId="16205" hidden="1"/>
    <cellStyle name="40% - Accent4 10" xfId="16279" hidden="1"/>
    <cellStyle name="40% - Accent4 10" xfId="16355" hidden="1"/>
    <cellStyle name="40% - Accent4 10" xfId="16433" hidden="1"/>
    <cellStyle name="40% - Accent4 10" xfId="17018" hidden="1"/>
    <cellStyle name="40% - Accent4 10" xfId="17094" hidden="1"/>
    <cellStyle name="40% - Accent4 10" xfId="17173" hidden="1"/>
    <cellStyle name="40% - Accent4 10" xfId="17264" hidden="1"/>
    <cellStyle name="40% - Accent4 10" xfId="16725" hidden="1"/>
    <cellStyle name="40% - Accent4 10" xfId="16690" hidden="1"/>
    <cellStyle name="40% - Accent4 10" xfId="17613" hidden="1"/>
    <cellStyle name="40% - Accent4 10" xfId="17689" hidden="1"/>
    <cellStyle name="40% - Accent4 10" xfId="17767" hidden="1"/>
    <cellStyle name="40% - Accent4 10" xfId="17842" hidden="1"/>
    <cellStyle name="40% - Accent4 10" xfId="16792" hidden="1"/>
    <cellStyle name="40% - Accent4 10" xfId="16791" hidden="1"/>
    <cellStyle name="40% - Accent4 10" xfId="18145" hidden="1"/>
    <cellStyle name="40% - Accent4 10" xfId="18221" hidden="1"/>
    <cellStyle name="40% - Accent4 10" xfId="18299" hidden="1"/>
    <cellStyle name="40% - Accent4 10" xfId="18482" hidden="1"/>
    <cellStyle name="40% - Accent4 10" xfId="18558" hidden="1"/>
    <cellStyle name="40% - Accent4 10" xfId="18636" hidden="1"/>
    <cellStyle name="40% - Accent4 10" xfId="18819" hidden="1"/>
    <cellStyle name="40% - Accent4 10" xfId="18895" hidden="1"/>
    <cellStyle name="40% - Accent4 10" xfId="18997" hidden="1"/>
    <cellStyle name="40% - Accent4 10" xfId="19071" hidden="1"/>
    <cellStyle name="40% - Accent4 10" xfId="19147" hidden="1"/>
    <cellStyle name="40% - Accent4 10" xfId="19225" hidden="1"/>
    <cellStyle name="40% - Accent4 10" xfId="19810" hidden="1"/>
    <cellStyle name="40% - Accent4 10" xfId="19886" hidden="1"/>
    <cellStyle name="40% - Accent4 10" xfId="19965" hidden="1"/>
    <cellStyle name="40% - Accent4 10" xfId="20056" hidden="1"/>
    <cellStyle name="40% - Accent4 10" xfId="19517" hidden="1"/>
    <cellStyle name="40% - Accent4 10" xfId="19482" hidden="1"/>
    <cellStyle name="40% - Accent4 10" xfId="20405" hidden="1"/>
    <cellStyle name="40% - Accent4 10" xfId="20481" hidden="1"/>
    <cellStyle name="40% - Accent4 10" xfId="20559" hidden="1"/>
    <cellStyle name="40% - Accent4 10" xfId="20634" hidden="1"/>
    <cellStyle name="40% - Accent4 10" xfId="19584" hidden="1"/>
    <cellStyle name="40% - Accent4 10" xfId="19583" hidden="1"/>
    <cellStyle name="40% - Accent4 10" xfId="20937" hidden="1"/>
    <cellStyle name="40% - Accent4 10" xfId="21013" hidden="1"/>
    <cellStyle name="40% - Accent4 10" xfId="21091" hidden="1"/>
    <cellStyle name="40% - Accent4 10" xfId="21274" hidden="1"/>
    <cellStyle name="40% - Accent4 10" xfId="21350" hidden="1"/>
    <cellStyle name="40% - Accent4 10" xfId="21428" hidden="1"/>
    <cellStyle name="40% - Accent4 10" xfId="21611" hidden="1"/>
    <cellStyle name="40% - Accent4 10" xfId="21687" hidden="1"/>
    <cellStyle name="40% - Accent4 10" xfId="15986" hidden="1"/>
    <cellStyle name="40% - Accent4 10" xfId="15912" hidden="1"/>
    <cellStyle name="40% - Accent4 10" xfId="15832" hidden="1"/>
    <cellStyle name="40% - Accent4 10" xfId="15749" hidden="1"/>
    <cellStyle name="40% - Accent4 10" xfId="7973" hidden="1"/>
    <cellStyle name="40% - Accent4 10" xfId="7771" hidden="1"/>
    <cellStyle name="40% - Accent4 10" xfId="7497" hidden="1"/>
    <cellStyle name="40% - Accent4 10" xfId="7063" hidden="1"/>
    <cellStyle name="40% - Accent4 10" xfId="8991" hidden="1"/>
    <cellStyle name="40% - Accent4 10" xfId="9065" hidden="1"/>
    <cellStyle name="40% - Accent4 10" xfId="5294" hidden="1"/>
    <cellStyle name="40% - Accent4 10" xfId="5093" hidden="1"/>
    <cellStyle name="40% - Accent4 10" xfId="4990" hidden="1"/>
    <cellStyle name="40% - Accent4 10" xfId="4715" hidden="1"/>
    <cellStyle name="40% - Accent4 10" xfId="8691" hidden="1"/>
    <cellStyle name="40% - Accent4 10" xfId="8694" hidden="1"/>
    <cellStyle name="40% - Accent4 10" xfId="3044" hidden="1"/>
    <cellStyle name="40% - Accent4 10" xfId="2903" hidden="1"/>
    <cellStyle name="40% - Accent4 10" xfId="2702" hidden="1"/>
    <cellStyle name="40% - Accent4 10" xfId="1533" hidden="1"/>
    <cellStyle name="40% - Accent4 10" xfId="1368" hidden="1"/>
    <cellStyle name="40% - Accent4 10" xfId="1114" hidden="1"/>
    <cellStyle name="40% - Accent4 10" xfId="21747" hidden="1"/>
    <cellStyle name="40% - Accent4 10" xfId="21826" hidden="1"/>
    <cellStyle name="40% - Accent4 10" xfId="22356" hidden="1"/>
    <cellStyle name="40% - Accent4 10" xfId="22430" hidden="1"/>
    <cellStyle name="40% - Accent4 10" xfId="22506" hidden="1"/>
    <cellStyle name="40% - Accent4 10" xfId="22584" hidden="1"/>
    <cellStyle name="40% - Accent4 10" xfId="23169" hidden="1"/>
    <cellStyle name="40% - Accent4 10" xfId="23245" hidden="1"/>
    <cellStyle name="40% - Accent4 10" xfId="23324" hidden="1"/>
    <cellStyle name="40% - Accent4 10" xfId="23415" hidden="1"/>
    <cellStyle name="40% - Accent4 10" xfId="22876" hidden="1"/>
    <cellStyle name="40% - Accent4 10" xfId="22841" hidden="1"/>
    <cellStyle name="40% - Accent4 10" xfId="23764" hidden="1"/>
    <cellStyle name="40% - Accent4 10" xfId="23840" hidden="1"/>
    <cellStyle name="40% - Accent4 10" xfId="23918" hidden="1"/>
    <cellStyle name="40% - Accent4 10" xfId="23993" hidden="1"/>
    <cellStyle name="40% - Accent4 10" xfId="22943" hidden="1"/>
    <cellStyle name="40% - Accent4 10" xfId="22942" hidden="1"/>
    <cellStyle name="40% - Accent4 10" xfId="24296" hidden="1"/>
    <cellStyle name="40% - Accent4 10" xfId="24372" hidden="1"/>
    <cellStyle name="40% - Accent4 10" xfId="24450" hidden="1"/>
    <cellStyle name="40% - Accent4 10" xfId="24633" hidden="1"/>
    <cellStyle name="40% - Accent4 10" xfId="24709" hidden="1"/>
    <cellStyle name="40% - Accent4 10" xfId="24787" hidden="1"/>
    <cellStyle name="40% - Accent4 10" xfId="24970" hidden="1"/>
    <cellStyle name="40% - Accent4 10" xfId="25046" hidden="1"/>
    <cellStyle name="40% - Accent4 10" xfId="25148" hidden="1"/>
    <cellStyle name="40% - Accent4 10" xfId="25222" hidden="1"/>
    <cellStyle name="40% - Accent4 10" xfId="25298" hidden="1"/>
    <cellStyle name="40% - Accent4 10" xfId="25376" hidden="1"/>
    <cellStyle name="40% - Accent4 10" xfId="25961" hidden="1"/>
    <cellStyle name="40% - Accent4 10" xfId="26037" hidden="1"/>
    <cellStyle name="40% - Accent4 10" xfId="26116" hidden="1"/>
    <cellStyle name="40% - Accent4 10" xfId="26207" hidden="1"/>
    <cellStyle name="40% - Accent4 10" xfId="25668" hidden="1"/>
    <cellStyle name="40% - Accent4 10" xfId="25633" hidden="1"/>
    <cellStyle name="40% - Accent4 10" xfId="26556" hidden="1"/>
    <cellStyle name="40% - Accent4 10" xfId="26632" hidden="1"/>
    <cellStyle name="40% - Accent4 10" xfId="26710" hidden="1"/>
    <cellStyle name="40% - Accent4 10" xfId="26785" hidden="1"/>
    <cellStyle name="40% - Accent4 10" xfId="25735" hidden="1"/>
    <cellStyle name="40% - Accent4 10" xfId="25734" hidden="1"/>
    <cellStyle name="40% - Accent4 10" xfId="27088" hidden="1"/>
    <cellStyle name="40% - Accent4 10" xfId="27164" hidden="1"/>
    <cellStyle name="40% - Accent4 10" xfId="27242" hidden="1"/>
    <cellStyle name="40% - Accent4 10" xfId="27425" hidden="1"/>
    <cellStyle name="40% - Accent4 10" xfId="27501" hidden="1"/>
    <cellStyle name="40% - Accent4 10" xfId="27579" hidden="1"/>
    <cellStyle name="40% - Accent4 10" xfId="27762" hidden="1"/>
    <cellStyle name="40% - Accent4 10" xfId="27838" hidden="1"/>
    <cellStyle name="40% - Accent4 10" xfId="22239" hidden="1"/>
    <cellStyle name="40% - Accent4 10" xfId="22165" hidden="1"/>
    <cellStyle name="40% - Accent4 10" xfId="22085" hidden="1"/>
    <cellStyle name="40% - Accent4 10" xfId="22002" hidden="1"/>
    <cellStyle name="40% - Accent4 10" xfId="8875" hidden="1"/>
    <cellStyle name="40% - Accent4 10" xfId="8671" hidden="1"/>
    <cellStyle name="40% - Accent4 10" xfId="8438" hidden="1"/>
    <cellStyle name="40% - Accent4 10" xfId="8079" hidden="1"/>
    <cellStyle name="40% - Accent4 10" xfId="15558" hidden="1"/>
    <cellStyle name="40% - Accent4 10" xfId="15600" hidden="1"/>
    <cellStyle name="40% - Accent4 10" xfId="5850" hidden="1"/>
    <cellStyle name="40% - Accent4 10" xfId="5601" hidden="1"/>
    <cellStyle name="40% - Accent4 10" xfId="5506" hidden="1"/>
    <cellStyle name="40% - Accent4 10" xfId="5123" hidden="1"/>
    <cellStyle name="40% - Accent4 10" xfId="9766" hidden="1"/>
    <cellStyle name="40% - Accent4 10" xfId="9769" hidden="1"/>
    <cellStyle name="40% - Accent4 10" xfId="3366" hidden="1"/>
    <cellStyle name="40% - Accent4 10" xfId="3173" hidden="1"/>
    <cellStyle name="40% - Accent4 10" xfId="3030" hidden="1"/>
    <cellStyle name="40% - Accent4 10" xfId="1660" hidden="1"/>
    <cellStyle name="40% - Accent4 10" xfId="1525" hidden="1"/>
    <cellStyle name="40% - Accent4 10" xfId="1255" hidden="1"/>
    <cellStyle name="40% - Accent4 10" xfId="27897" hidden="1"/>
    <cellStyle name="40% - Accent4 10" xfId="27973" hidden="1"/>
    <cellStyle name="40% - Accent4 10" xfId="28075" hidden="1"/>
    <cellStyle name="40% - Accent4 10" xfId="28149" hidden="1"/>
    <cellStyle name="40% - Accent4 10" xfId="28225" hidden="1"/>
    <cellStyle name="40% - Accent4 10" xfId="28303" hidden="1"/>
    <cellStyle name="40% - Accent4 10" xfId="28888" hidden="1"/>
    <cellStyle name="40% - Accent4 10" xfId="28964" hidden="1"/>
    <cellStyle name="40% - Accent4 10" xfId="29043" hidden="1"/>
    <cellStyle name="40% - Accent4 10" xfId="29134" hidden="1"/>
    <cellStyle name="40% - Accent4 10" xfId="28595" hidden="1"/>
    <cellStyle name="40% - Accent4 10" xfId="28560" hidden="1"/>
    <cellStyle name="40% - Accent4 10" xfId="29483" hidden="1"/>
    <cellStyle name="40% - Accent4 10" xfId="29559" hidden="1"/>
    <cellStyle name="40% - Accent4 10" xfId="29637" hidden="1"/>
    <cellStyle name="40% - Accent4 10" xfId="29712" hidden="1"/>
    <cellStyle name="40% - Accent4 10" xfId="28662" hidden="1"/>
    <cellStyle name="40% - Accent4 10" xfId="28661" hidden="1"/>
    <cellStyle name="40% - Accent4 10" xfId="30015" hidden="1"/>
    <cellStyle name="40% - Accent4 10" xfId="30091" hidden="1"/>
    <cellStyle name="40% - Accent4 10" xfId="30169" hidden="1"/>
    <cellStyle name="40% - Accent4 10" xfId="30352" hidden="1"/>
    <cellStyle name="40% - Accent4 10" xfId="30428" hidden="1"/>
    <cellStyle name="40% - Accent4 10" xfId="30506" hidden="1"/>
    <cellStyle name="40% - Accent4 10" xfId="30689" hidden="1"/>
    <cellStyle name="40% - Accent4 10" xfId="30765" hidden="1"/>
    <cellStyle name="40% - Accent4 10" xfId="30867" hidden="1"/>
    <cellStyle name="40% - Accent4 10" xfId="30941" hidden="1"/>
    <cellStyle name="40% - Accent4 10" xfId="31017" hidden="1"/>
    <cellStyle name="40% - Accent4 10" xfId="31095" hidden="1"/>
    <cellStyle name="40% - Accent4 10" xfId="31680" hidden="1"/>
    <cellStyle name="40% - Accent4 10" xfId="31756" hidden="1"/>
    <cellStyle name="40% - Accent4 10" xfId="31835" hidden="1"/>
    <cellStyle name="40% - Accent4 10" xfId="31926" hidden="1"/>
    <cellStyle name="40% - Accent4 10" xfId="31387" hidden="1"/>
    <cellStyle name="40% - Accent4 10" xfId="31352" hidden="1"/>
    <cellStyle name="40% - Accent4 10" xfId="32275" hidden="1"/>
    <cellStyle name="40% - Accent4 10" xfId="32351" hidden="1"/>
    <cellStyle name="40% - Accent4 10" xfId="32429" hidden="1"/>
    <cellStyle name="40% - Accent4 10" xfId="32504" hidden="1"/>
    <cellStyle name="40% - Accent4 10" xfId="31454" hidden="1"/>
    <cellStyle name="40% - Accent4 10" xfId="31453" hidden="1"/>
    <cellStyle name="40% - Accent4 10" xfId="32807" hidden="1"/>
    <cellStyle name="40% - Accent4 10" xfId="32883" hidden="1"/>
    <cellStyle name="40% - Accent4 10" xfId="32961" hidden="1"/>
    <cellStyle name="40% - Accent4 10" xfId="33144" hidden="1"/>
    <cellStyle name="40% - Accent4 10" xfId="33220" hidden="1"/>
    <cellStyle name="40% - Accent4 10" xfId="33298" hidden="1"/>
    <cellStyle name="40% - Accent4 10" xfId="33481" hidden="1"/>
    <cellStyle name="40% - Accent4 10" xfId="33557" hidden="1"/>
    <cellStyle name="40% - Accent4 11" xfId="186" hidden="1"/>
    <cellStyle name="40% - Accent4 11" xfId="266" hidden="1"/>
    <cellStyle name="40% - Accent4 11" xfId="391" hidden="1"/>
    <cellStyle name="40% - Accent4 11" xfId="718" hidden="1"/>
    <cellStyle name="40% - Accent4 11" xfId="2433" hidden="1"/>
    <cellStyle name="40% - Accent4 11" xfId="2585" hidden="1"/>
    <cellStyle name="40% - Accent4 11" xfId="2788" hidden="1"/>
    <cellStyle name="40% - Accent4 11" xfId="2836" hidden="1"/>
    <cellStyle name="40% - Accent4 11" xfId="2206" hidden="1"/>
    <cellStyle name="40% - Accent4 11" xfId="2056" hidden="1"/>
    <cellStyle name="40% - Accent4 11" xfId="4393" hidden="1"/>
    <cellStyle name="40% - Accent4 11" xfId="4602" hidden="1"/>
    <cellStyle name="40% - Accent4 11" xfId="4766" hidden="1"/>
    <cellStyle name="40% - Accent4 11" xfId="4816" hidden="1"/>
    <cellStyle name="40% - Accent4 11" xfId="2914" hidden="1"/>
    <cellStyle name="40% - Accent4 11" xfId="1590" hidden="1"/>
    <cellStyle name="40% - Accent4 11" xfId="6376" hidden="1"/>
    <cellStyle name="40% - Accent4 11" xfId="6481" hidden="1"/>
    <cellStyle name="40% - Accent4 11" xfId="6678" hidden="1"/>
    <cellStyle name="40% - Accent4 11" xfId="7551" hidden="1"/>
    <cellStyle name="40% - Accent4 11" xfId="7693" hidden="1"/>
    <cellStyle name="40% - Accent4 11" xfId="7872" hidden="1"/>
    <cellStyle name="40% - Accent4 11" xfId="8790" hidden="1"/>
    <cellStyle name="40% - Accent4 11" xfId="8962" hidden="1"/>
    <cellStyle name="40% - Accent4 11" xfId="9877" hidden="1"/>
    <cellStyle name="40% - Accent4 11" xfId="9951" hidden="1"/>
    <cellStyle name="40% - Accent4 11" xfId="10027" hidden="1"/>
    <cellStyle name="40% - Accent4 11" xfId="10105" hidden="1"/>
    <cellStyle name="40% - Accent4 11" xfId="10690" hidden="1"/>
    <cellStyle name="40% - Accent4 11" xfId="10766" hidden="1"/>
    <cellStyle name="40% - Accent4 11" xfId="10845" hidden="1"/>
    <cellStyle name="40% - Accent4 11" xfId="10869" hidden="1"/>
    <cellStyle name="40% - Accent4 11" xfId="10560" hidden="1"/>
    <cellStyle name="40% - Accent4 11" xfId="10521" hidden="1"/>
    <cellStyle name="40% - Accent4 11" xfId="11285" hidden="1"/>
    <cellStyle name="40% - Accent4 11" xfId="11361" hidden="1"/>
    <cellStyle name="40% - Accent4 11" xfId="11439" hidden="1"/>
    <cellStyle name="40% - Accent4 11" xfId="11460" hidden="1"/>
    <cellStyle name="40% - Accent4 11" xfId="10893" hidden="1"/>
    <cellStyle name="40% - Accent4 11" xfId="10346" hidden="1"/>
    <cellStyle name="40% - Accent4 11" xfId="11817" hidden="1"/>
    <cellStyle name="40% - Accent4 11" xfId="11893" hidden="1"/>
    <cellStyle name="40% - Accent4 11" xfId="11971" hidden="1"/>
    <cellStyle name="40% - Accent4 11" xfId="12154" hidden="1"/>
    <cellStyle name="40% - Accent4 11" xfId="12230" hidden="1"/>
    <cellStyle name="40% - Accent4 11" xfId="12308" hidden="1"/>
    <cellStyle name="40% - Accent4 11" xfId="12491" hidden="1"/>
    <cellStyle name="40% - Accent4 11" xfId="12567" hidden="1"/>
    <cellStyle name="40% - Accent4 11" xfId="12669" hidden="1"/>
    <cellStyle name="40% - Accent4 11" xfId="12743" hidden="1"/>
    <cellStyle name="40% - Accent4 11" xfId="12819" hidden="1"/>
    <cellStyle name="40% - Accent4 11" xfId="12897" hidden="1"/>
    <cellStyle name="40% - Accent4 11" xfId="13482" hidden="1"/>
    <cellStyle name="40% - Accent4 11" xfId="13558" hidden="1"/>
    <cellStyle name="40% - Accent4 11" xfId="13637" hidden="1"/>
    <cellStyle name="40% - Accent4 11" xfId="13661" hidden="1"/>
    <cellStyle name="40% - Accent4 11" xfId="13352" hidden="1"/>
    <cellStyle name="40% - Accent4 11" xfId="13313" hidden="1"/>
    <cellStyle name="40% - Accent4 11" xfId="14077" hidden="1"/>
    <cellStyle name="40% - Accent4 11" xfId="14153" hidden="1"/>
    <cellStyle name="40% - Accent4 11" xfId="14231" hidden="1"/>
    <cellStyle name="40% - Accent4 11" xfId="14252" hidden="1"/>
    <cellStyle name="40% - Accent4 11" xfId="13685" hidden="1"/>
    <cellStyle name="40% - Accent4 11" xfId="13138" hidden="1"/>
    <cellStyle name="40% - Accent4 11" xfId="14609" hidden="1"/>
    <cellStyle name="40% - Accent4 11" xfId="14685" hidden="1"/>
    <cellStyle name="40% - Accent4 11" xfId="14763" hidden="1"/>
    <cellStyle name="40% - Accent4 11" xfId="14946" hidden="1"/>
    <cellStyle name="40% - Accent4 11" xfId="15022" hidden="1"/>
    <cellStyle name="40% - Accent4 11" xfId="15100" hidden="1"/>
    <cellStyle name="40% - Accent4 11" xfId="15283" hidden="1"/>
    <cellStyle name="40% - Accent4 11" xfId="15359" hidden="1"/>
    <cellStyle name="40% - Accent4 11" xfId="9573" hidden="1"/>
    <cellStyle name="40% - Accent4 11" xfId="9460" hidden="1"/>
    <cellStyle name="40% - Accent4 11" xfId="9347" hidden="1"/>
    <cellStyle name="40% - Accent4 11" xfId="9232" hidden="1"/>
    <cellStyle name="40% - Accent4 11" xfId="6979" hidden="1"/>
    <cellStyle name="40% - Accent4 11" xfId="6893" hidden="1"/>
    <cellStyle name="40% - Accent4 11" xfId="6799" hidden="1"/>
    <cellStyle name="40% - Accent4 11" xfId="6754" hidden="1"/>
    <cellStyle name="40% - Accent4 11" xfId="7369" hidden="1"/>
    <cellStyle name="40% - Accent4 11" xfId="7452" hidden="1"/>
    <cellStyle name="40% - Accent4 11" xfId="4833" hidden="1"/>
    <cellStyle name="40% - Accent4 11" xfId="4668" hidden="1"/>
    <cellStyle name="40% - Accent4 11" xfId="4405" hidden="1"/>
    <cellStyle name="40% - Accent4 11" xfId="4310" hidden="1"/>
    <cellStyle name="40% - Accent4 11" xfId="6685" hidden="1"/>
    <cellStyle name="40% - Accent4 11" xfId="8142" hidden="1"/>
    <cellStyle name="40% - Accent4 11" xfId="2699" hidden="1"/>
    <cellStyle name="40% - Accent4 11" xfId="2500" hidden="1"/>
    <cellStyle name="40% - Accent4 11" xfId="2321" hidden="1"/>
    <cellStyle name="40% - Accent4 11" xfId="1358" hidden="1"/>
    <cellStyle name="40% - Accent4 11" xfId="1175" hidden="1"/>
    <cellStyle name="40% - Accent4 11" xfId="932" hidden="1"/>
    <cellStyle name="40% - Accent4 11" xfId="15426" hidden="1"/>
    <cellStyle name="40% - Accent4 11" xfId="15534" hidden="1"/>
    <cellStyle name="40% - Accent4 11" xfId="16218" hidden="1"/>
    <cellStyle name="40% - Accent4 11" xfId="16292" hidden="1"/>
    <cellStyle name="40% - Accent4 11" xfId="16368" hidden="1"/>
    <cellStyle name="40% - Accent4 11" xfId="16446" hidden="1"/>
    <cellStyle name="40% - Accent4 11" xfId="17031" hidden="1"/>
    <cellStyle name="40% - Accent4 11" xfId="17107" hidden="1"/>
    <cellStyle name="40% - Accent4 11" xfId="17186" hidden="1"/>
    <cellStyle name="40% - Accent4 11" xfId="17210" hidden="1"/>
    <cellStyle name="40% - Accent4 11" xfId="16901" hidden="1"/>
    <cellStyle name="40% - Accent4 11" xfId="16862" hidden="1"/>
    <cellStyle name="40% - Accent4 11" xfId="17626" hidden="1"/>
    <cellStyle name="40% - Accent4 11" xfId="17702" hidden="1"/>
    <cellStyle name="40% - Accent4 11" xfId="17780" hidden="1"/>
    <cellStyle name="40% - Accent4 11" xfId="17801" hidden="1"/>
    <cellStyle name="40% - Accent4 11" xfId="17234" hidden="1"/>
    <cellStyle name="40% - Accent4 11" xfId="16687" hidden="1"/>
    <cellStyle name="40% - Accent4 11" xfId="18158" hidden="1"/>
    <cellStyle name="40% - Accent4 11" xfId="18234" hidden="1"/>
    <cellStyle name="40% - Accent4 11" xfId="18312" hidden="1"/>
    <cellStyle name="40% - Accent4 11" xfId="18495" hidden="1"/>
    <cellStyle name="40% - Accent4 11" xfId="18571" hidden="1"/>
    <cellStyle name="40% - Accent4 11" xfId="18649" hidden="1"/>
    <cellStyle name="40% - Accent4 11" xfId="18832" hidden="1"/>
    <cellStyle name="40% - Accent4 11" xfId="18908" hidden="1"/>
    <cellStyle name="40% - Accent4 11" xfId="19010" hidden="1"/>
    <cellStyle name="40% - Accent4 11" xfId="19084" hidden="1"/>
    <cellStyle name="40% - Accent4 11" xfId="19160" hidden="1"/>
    <cellStyle name="40% - Accent4 11" xfId="19238" hidden="1"/>
    <cellStyle name="40% - Accent4 11" xfId="19823" hidden="1"/>
    <cellStyle name="40% - Accent4 11" xfId="19899" hidden="1"/>
    <cellStyle name="40% - Accent4 11" xfId="19978" hidden="1"/>
    <cellStyle name="40% - Accent4 11" xfId="20002" hidden="1"/>
    <cellStyle name="40% - Accent4 11" xfId="19693" hidden="1"/>
    <cellStyle name="40% - Accent4 11" xfId="19654" hidden="1"/>
    <cellStyle name="40% - Accent4 11" xfId="20418" hidden="1"/>
    <cellStyle name="40% - Accent4 11" xfId="20494" hidden="1"/>
    <cellStyle name="40% - Accent4 11" xfId="20572" hidden="1"/>
    <cellStyle name="40% - Accent4 11" xfId="20593" hidden="1"/>
    <cellStyle name="40% - Accent4 11" xfId="20026" hidden="1"/>
    <cellStyle name="40% - Accent4 11" xfId="19479" hidden="1"/>
    <cellStyle name="40% - Accent4 11" xfId="20950" hidden="1"/>
    <cellStyle name="40% - Accent4 11" xfId="21026" hidden="1"/>
    <cellStyle name="40% - Accent4 11" xfId="21104" hidden="1"/>
    <cellStyle name="40% - Accent4 11" xfId="21287" hidden="1"/>
    <cellStyle name="40% - Accent4 11" xfId="21363" hidden="1"/>
    <cellStyle name="40% - Accent4 11" xfId="21441" hidden="1"/>
    <cellStyle name="40% - Accent4 11" xfId="21624" hidden="1"/>
    <cellStyle name="40% - Accent4 11" xfId="21700" hidden="1"/>
    <cellStyle name="40% - Accent4 11" xfId="15973" hidden="1"/>
    <cellStyle name="40% - Accent4 11" xfId="15899" hidden="1"/>
    <cellStyle name="40% - Accent4 11" xfId="15818" hidden="1"/>
    <cellStyle name="40% - Accent4 11" xfId="15733" hidden="1"/>
    <cellStyle name="40% - Accent4 11" xfId="7951" hidden="1"/>
    <cellStyle name="40% - Accent4 11" xfId="7747" hidden="1"/>
    <cellStyle name="40% - Accent4 11" xfId="7466" hidden="1"/>
    <cellStyle name="40% - Accent4 11" xfId="7409" hidden="1"/>
    <cellStyle name="40% - Accent4 11" xfId="8222" hidden="1"/>
    <cellStyle name="40% - Accent4 11" xfId="8396" hidden="1"/>
    <cellStyle name="40% - Accent4 11" xfId="5281" hidden="1"/>
    <cellStyle name="40% - Accent4 11" xfId="5080" hidden="1"/>
    <cellStyle name="40% - Accent4 11" xfId="4973" hidden="1"/>
    <cellStyle name="40% - Accent4 11" xfId="4937" hidden="1"/>
    <cellStyle name="40% - Accent4 11" xfId="7365" hidden="1"/>
    <cellStyle name="40% - Accent4 11" xfId="9068" hidden="1"/>
    <cellStyle name="40% - Accent4 11" xfId="3016" hidden="1"/>
    <cellStyle name="40% - Accent4 11" xfId="2885" hidden="1"/>
    <cellStyle name="40% - Accent4 11" xfId="2658" hidden="1"/>
    <cellStyle name="40% - Accent4 11" xfId="1512" hidden="1"/>
    <cellStyle name="40% - Accent4 11" xfId="1324" hidden="1"/>
    <cellStyle name="40% - Accent4 11" xfId="1097" hidden="1"/>
    <cellStyle name="40% - Accent4 11" xfId="21760" hidden="1"/>
    <cellStyle name="40% - Accent4 11" xfId="21840" hidden="1"/>
    <cellStyle name="40% - Accent4 11" xfId="22369" hidden="1"/>
    <cellStyle name="40% - Accent4 11" xfId="22443" hidden="1"/>
    <cellStyle name="40% - Accent4 11" xfId="22519" hidden="1"/>
    <cellStyle name="40% - Accent4 11" xfId="22597" hidden="1"/>
    <cellStyle name="40% - Accent4 11" xfId="23182" hidden="1"/>
    <cellStyle name="40% - Accent4 11" xfId="23258" hidden="1"/>
    <cellStyle name="40% - Accent4 11" xfId="23337" hidden="1"/>
    <cellStyle name="40% - Accent4 11" xfId="23361" hidden="1"/>
    <cellStyle name="40% - Accent4 11" xfId="23052" hidden="1"/>
    <cellStyle name="40% - Accent4 11" xfId="23013" hidden="1"/>
    <cellStyle name="40% - Accent4 11" xfId="23777" hidden="1"/>
    <cellStyle name="40% - Accent4 11" xfId="23853" hidden="1"/>
    <cellStyle name="40% - Accent4 11" xfId="23931" hidden="1"/>
    <cellStyle name="40% - Accent4 11" xfId="23952" hidden="1"/>
    <cellStyle name="40% - Accent4 11" xfId="23385" hidden="1"/>
    <cellStyle name="40% - Accent4 11" xfId="22838" hidden="1"/>
    <cellStyle name="40% - Accent4 11" xfId="24309" hidden="1"/>
    <cellStyle name="40% - Accent4 11" xfId="24385" hidden="1"/>
    <cellStyle name="40% - Accent4 11" xfId="24463" hidden="1"/>
    <cellStyle name="40% - Accent4 11" xfId="24646" hidden="1"/>
    <cellStyle name="40% - Accent4 11" xfId="24722" hidden="1"/>
    <cellStyle name="40% - Accent4 11" xfId="24800" hidden="1"/>
    <cellStyle name="40% - Accent4 11" xfId="24983" hidden="1"/>
    <cellStyle name="40% - Accent4 11" xfId="25059" hidden="1"/>
    <cellStyle name="40% - Accent4 11" xfId="25161" hidden="1"/>
    <cellStyle name="40% - Accent4 11" xfId="25235" hidden="1"/>
    <cellStyle name="40% - Accent4 11" xfId="25311" hidden="1"/>
    <cellStyle name="40% - Accent4 11" xfId="25389" hidden="1"/>
    <cellStyle name="40% - Accent4 11" xfId="25974" hidden="1"/>
    <cellStyle name="40% - Accent4 11" xfId="26050" hidden="1"/>
    <cellStyle name="40% - Accent4 11" xfId="26129" hidden="1"/>
    <cellStyle name="40% - Accent4 11" xfId="26153" hidden="1"/>
    <cellStyle name="40% - Accent4 11" xfId="25844" hidden="1"/>
    <cellStyle name="40% - Accent4 11" xfId="25805" hidden="1"/>
    <cellStyle name="40% - Accent4 11" xfId="26569" hidden="1"/>
    <cellStyle name="40% - Accent4 11" xfId="26645" hidden="1"/>
    <cellStyle name="40% - Accent4 11" xfId="26723" hidden="1"/>
    <cellStyle name="40% - Accent4 11" xfId="26744" hidden="1"/>
    <cellStyle name="40% - Accent4 11" xfId="26177" hidden="1"/>
    <cellStyle name="40% - Accent4 11" xfId="25630" hidden="1"/>
    <cellStyle name="40% - Accent4 11" xfId="27101" hidden="1"/>
    <cellStyle name="40% - Accent4 11" xfId="27177" hidden="1"/>
    <cellStyle name="40% - Accent4 11" xfId="27255" hidden="1"/>
    <cellStyle name="40% - Accent4 11" xfId="27438" hidden="1"/>
    <cellStyle name="40% - Accent4 11" xfId="27514" hidden="1"/>
    <cellStyle name="40% - Accent4 11" xfId="27592" hidden="1"/>
    <cellStyle name="40% - Accent4 11" xfId="27775" hidden="1"/>
    <cellStyle name="40% - Accent4 11" xfId="27851" hidden="1"/>
    <cellStyle name="40% - Accent4 11" xfId="22226" hidden="1"/>
    <cellStyle name="40% - Accent4 11" xfId="22152" hidden="1"/>
    <cellStyle name="40% - Accent4 11" xfId="22071" hidden="1"/>
    <cellStyle name="40% - Accent4 11" xfId="21988" hidden="1"/>
    <cellStyle name="40% - Accent4 11" xfId="8852" hidden="1"/>
    <cellStyle name="40% - Accent4 11" xfId="8555" hidden="1"/>
    <cellStyle name="40% - Accent4 11" xfId="8415" hidden="1"/>
    <cellStyle name="40% - Accent4 11" xfId="8262" hidden="1"/>
    <cellStyle name="40% - Accent4 11" xfId="9294" hidden="1"/>
    <cellStyle name="40% - Accent4 11" xfId="9429" hidden="1"/>
    <cellStyle name="40% - Accent4 11" xfId="5828" hidden="1"/>
    <cellStyle name="40% - Accent4 11" xfId="5587" hidden="1"/>
    <cellStyle name="40% - Accent4 11" xfId="5491" hidden="1"/>
    <cellStyle name="40% - Accent4 11" xfId="5461" hidden="1"/>
    <cellStyle name="40% - Accent4 11" xfId="8221" hidden="1"/>
    <cellStyle name="40% - Accent4 11" xfId="15603" hidden="1"/>
    <cellStyle name="40% - Accent4 11" xfId="3350" hidden="1"/>
    <cellStyle name="40% - Accent4 11" xfId="3157" hidden="1"/>
    <cellStyle name="40% - Accent4 11" xfId="2989" hidden="1"/>
    <cellStyle name="40% - Accent4 11" xfId="1645" hidden="1"/>
    <cellStyle name="40% - Accent4 11" xfId="1493" hidden="1"/>
    <cellStyle name="40% - Accent4 11" xfId="1236" hidden="1"/>
    <cellStyle name="40% - Accent4 11" xfId="27910" hidden="1"/>
    <cellStyle name="40% - Accent4 11" xfId="27986" hidden="1"/>
    <cellStyle name="40% - Accent4 11" xfId="28088" hidden="1"/>
    <cellStyle name="40% - Accent4 11" xfId="28162" hidden="1"/>
    <cellStyle name="40% - Accent4 11" xfId="28238" hidden="1"/>
    <cellStyle name="40% - Accent4 11" xfId="28316" hidden="1"/>
    <cellStyle name="40% - Accent4 11" xfId="28901" hidden="1"/>
    <cellStyle name="40% - Accent4 11" xfId="28977" hidden="1"/>
    <cellStyle name="40% - Accent4 11" xfId="29056" hidden="1"/>
    <cellStyle name="40% - Accent4 11" xfId="29080" hidden="1"/>
    <cellStyle name="40% - Accent4 11" xfId="28771" hidden="1"/>
    <cellStyle name="40% - Accent4 11" xfId="28732" hidden="1"/>
    <cellStyle name="40% - Accent4 11" xfId="29496" hidden="1"/>
    <cellStyle name="40% - Accent4 11" xfId="29572" hidden="1"/>
    <cellStyle name="40% - Accent4 11" xfId="29650" hidden="1"/>
    <cellStyle name="40% - Accent4 11" xfId="29671" hidden="1"/>
    <cellStyle name="40% - Accent4 11" xfId="29104" hidden="1"/>
    <cellStyle name="40% - Accent4 11" xfId="28557" hidden="1"/>
    <cellStyle name="40% - Accent4 11" xfId="30028" hidden="1"/>
    <cellStyle name="40% - Accent4 11" xfId="30104" hidden="1"/>
    <cellStyle name="40% - Accent4 11" xfId="30182" hidden="1"/>
    <cellStyle name="40% - Accent4 11" xfId="30365" hidden="1"/>
    <cellStyle name="40% - Accent4 11" xfId="30441" hidden="1"/>
    <cellStyle name="40% - Accent4 11" xfId="30519" hidden="1"/>
    <cellStyle name="40% - Accent4 11" xfId="30702" hidden="1"/>
    <cellStyle name="40% - Accent4 11" xfId="30778" hidden="1"/>
    <cellStyle name="40% - Accent4 11" xfId="30880" hidden="1"/>
    <cellStyle name="40% - Accent4 11" xfId="30954" hidden="1"/>
    <cellStyle name="40% - Accent4 11" xfId="31030" hidden="1"/>
    <cellStyle name="40% - Accent4 11" xfId="31108" hidden="1"/>
    <cellStyle name="40% - Accent4 11" xfId="31693" hidden="1"/>
    <cellStyle name="40% - Accent4 11" xfId="31769" hidden="1"/>
    <cellStyle name="40% - Accent4 11" xfId="31848" hidden="1"/>
    <cellStyle name="40% - Accent4 11" xfId="31872" hidden="1"/>
    <cellStyle name="40% - Accent4 11" xfId="31563" hidden="1"/>
    <cellStyle name="40% - Accent4 11" xfId="31524" hidden="1"/>
    <cellStyle name="40% - Accent4 11" xfId="32288" hidden="1"/>
    <cellStyle name="40% - Accent4 11" xfId="32364" hidden="1"/>
    <cellStyle name="40% - Accent4 11" xfId="32442" hidden="1"/>
    <cellStyle name="40% - Accent4 11" xfId="32463" hidden="1"/>
    <cellStyle name="40% - Accent4 11" xfId="31896" hidden="1"/>
    <cellStyle name="40% - Accent4 11" xfId="31349" hidden="1"/>
    <cellStyle name="40% - Accent4 11" xfId="32820" hidden="1"/>
    <cellStyle name="40% - Accent4 11" xfId="32896" hidden="1"/>
    <cellStyle name="40% - Accent4 11" xfId="32974" hidden="1"/>
    <cellStyle name="40% - Accent4 11" xfId="33157" hidden="1"/>
    <cellStyle name="40% - Accent4 11" xfId="33233" hidden="1"/>
    <cellStyle name="40% - Accent4 11" xfId="33311" hidden="1"/>
    <cellStyle name="40% - Accent4 11" xfId="33494" hidden="1"/>
    <cellStyle name="40% - Accent4 11" xfId="33570" hidden="1"/>
    <cellStyle name="40% - Accent4 12" xfId="202" hidden="1"/>
    <cellStyle name="40% - Accent4 12" xfId="280" hidden="1"/>
    <cellStyle name="40% - Accent4 12" xfId="425" hidden="1"/>
    <cellStyle name="40% - Accent4 12" xfId="736" hidden="1"/>
    <cellStyle name="40% - Accent4 12" xfId="2450" hidden="1"/>
    <cellStyle name="40% - Accent4 12" xfId="2602" hidden="1"/>
    <cellStyle name="40% - Accent4 12" xfId="2810" hidden="1"/>
    <cellStyle name="40% - Accent4 12" xfId="3123" hidden="1"/>
    <cellStyle name="40% - Accent4 12" xfId="2223" hidden="1"/>
    <cellStyle name="40% - Accent4 12" xfId="2250" hidden="1"/>
    <cellStyle name="40% - Accent4 12" xfId="4428" hidden="1"/>
    <cellStyle name="40% - Accent4 12" xfId="4620" hidden="1"/>
    <cellStyle name="40% - Accent4 12" xfId="4780" hidden="1"/>
    <cellStyle name="40% - Accent4 12" xfId="4984" hidden="1"/>
    <cellStyle name="40% - Accent4 12" xfId="4231" hidden="1"/>
    <cellStyle name="40% - Accent4 12" xfId="2286" hidden="1"/>
    <cellStyle name="40% - Accent4 12" xfId="6392" hidden="1"/>
    <cellStyle name="40% - Accent4 12" xfId="6497" hidden="1"/>
    <cellStyle name="40% - Accent4 12" xfId="6694" hidden="1"/>
    <cellStyle name="40% - Accent4 12" xfId="7573" hidden="1"/>
    <cellStyle name="40% - Accent4 12" xfId="7716" hidden="1"/>
    <cellStyle name="40% - Accent4 12" xfId="7890" hidden="1"/>
    <cellStyle name="40% - Accent4 12" xfId="8811" hidden="1"/>
    <cellStyle name="40% - Accent4 12" xfId="8981" hidden="1"/>
    <cellStyle name="40% - Accent4 12" xfId="9890" hidden="1"/>
    <cellStyle name="40% - Accent4 12" xfId="9965" hidden="1"/>
    <cellStyle name="40% - Accent4 12" xfId="10040" hidden="1"/>
    <cellStyle name="40% - Accent4 12" xfId="10118" hidden="1"/>
    <cellStyle name="40% - Accent4 12" xfId="10704" hidden="1"/>
    <cellStyle name="40% - Accent4 12" xfId="10779" hidden="1"/>
    <cellStyle name="40% - Accent4 12" xfId="10858" hidden="1"/>
    <cellStyle name="40% - Accent4 12" xfId="10933" hidden="1"/>
    <cellStyle name="40% - Accent4 12" xfId="10573" hidden="1"/>
    <cellStyle name="40% - Accent4 12" xfId="10595" hidden="1"/>
    <cellStyle name="40% - Accent4 12" xfId="11299" hidden="1"/>
    <cellStyle name="40% - Accent4 12" xfId="11374" hidden="1"/>
    <cellStyle name="40% - Accent4 12" xfId="11452" hidden="1"/>
    <cellStyle name="40% - Accent4 12" xfId="11506" hidden="1"/>
    <cellStyle name="40% - Accent4 12" xfId="11234" hidden="1"/>
    <cellStyle name="40% - Accent4 12" xfId="10623" hidden="1"/>
    <cellStyle name="40% - Accent4 12" xfId="11831" hidden="1"/>
    <cellStyle name="40% - Accent4 12" xfId="11906" hidden="1"/>
    <cellStyle name="40% - Accent4 12" xfId="11984" hidden="1"/>
    <cellStyle name="40% - Accent4 12" xfId="12168" hidden="1"/>
    <cellStyle name="40% - Accent4 12" xfId="12243" hidden="1"/>
    <cellStyle name="40% - Accent4 12" xfId="12321" hidden="1"/>
    <cellStyle name="40% - Accent4 12" xfId="12505" hidden="1"/>
    <cellStyle name="40% - Accent4 12" xfId="12580" hidden="1"/>
    <cellStyle name="40% - Accent4 12" xfId="12682" hidden="1"/>
    <cellStyle name="40% - Accent4 12" xfId="12757" hidden="1"/>
    <cellStyle name="40% - Accent4 12" xfId="12832" hidden="1"/>
    <cellStyle name="40% - Accent4 12" xfId="12910" hidden="1"/>
    <cellStyle name="40% - Accent4 12" xfId="13496" hidden="1"/>
    <cellStyle name="40% - Accent4 12" xfId="13571" hidden="1"/>
    <cellStyle name="40% - Accent4 12" xfId="13650" hidden="1"/>
    <cellStyle name="40% - Accent4 12" xfId="13725" hidden="1"/>
    <cellStyle name="40% - Accent4 12" xfId="13365" hidden="1"/>
    <cellStyle name="40% - Accent4 12" xfId="13387" hidden="1"/>
    <cellStyle name="40% - Accent4 12" xfId="14091" hidden="1"/>
    <cellStyle name="40% - Accent4 12" xfId="14166" hidden="1"/>
    <cellStyle name="40% - Accent4 12" xfId="14244" hidden="1"/>
    <cellStyle name="40% - Accent4 12" xfId="14298" hidden="1"/>
    <cellStyle name="40% - Accent4 12" xfId="14026" hidden="1"/>
    <cellStyle name="40% - Accent4 12" xfId="13415" hidden="1"/>
    <cellStyle name="40% - Accent4 12" xfId="14623" hidden="1"/>
    <cellStyle name="40% - Accent4 12" xfId="14698" hidden="1"/>
    <cellStyle name="40% - Accent4 12" xfId="14776" hidden="1"/>
    <cellStyle name="40% - Accent4 12" xfId="14960" hidden="1"/>
    <cellStyle name="40% - Accent4 12" xfId="15035" hidden="1"/>
    <cellStyle name="40% - Accent4 12" xfId="15113" hidden="1"/>
    <cellStyle name="40% - Accent4 12" xfId="15297" hidden="1"/>
    <cellStyle name="40% - Accent4 12" xfId="15372" hidden="1"/>
    <cellStyle name="40% - Accent4 12" xfId="9558" hidden="1"/>
    <cellStyle name="40% - Accent4 12" xfId="9445" hidden="1"/>
    <cellStyle name="40% - Accent4 12" xfId="9333" hidden="1"/>
    <cellStyle name="40% - Accent4 12" xfId="9215" hidden="1"/>
    <cellStyle name="40% - Accent4 12" xfId="6963" hidden="1"/>
    <cellStyle name="40% - Accent4 12" xfId="6879" hidden="1"/>
    <cellStyle name="40% - Accent4 12" xfId="6784" hidden="1"/>
    <cellStyle name="40% - Accent4 12" xfId="6349" hidden="1"/>
    <cellStyle name="40% - Accent4 12" xfId="7353" hidden="1"/>
    <cellStyle name="40% - Accent4 12" xfId="7248" hidden="1"/>
    <cellStyle name="40% - Accent4 12" xfId="4813" hidden="1"/>
    <cellStyle name="40% - Accent4 12" xfId="4649" hidden="1"/>
    <cellStyle name="40% - Accent4 12" xfId="4347" hidden="1"/>
    <cellStyle name="40% - Accent4 12" xfId="4240" hidden="1"/>
    <cellStyle name="40% - Accent4 12" xfId="5105" hidden="1"/>
    <cellStyle name="40% - Accent4 12" xfId="7180" hidden="1"/>
    <cellStyle name="40% - Accent4 12" xfId="2673" hidden="1"/>
    <cellStyle name="40% - Accent4 12" xfId="2483" hidden="1"/>
    <cellStyle name="40% - Accent4 12" xfId="2307" hidden="1"/>
    <cellStyle name="40% - Accent4 12" xfId="1336" hidden="1"/>
    <cellStyle name="40% - Accent4 12" xfId="1159" hidden="1"/>
    <cellStyle name="40% - Accent4 12" xfId="918" hidden="1"/>
    <cellStyle name="40% - Accent4 12" xfId="15443" hidden="1"/>
    <cellStyle name="40% - Accent4 12" xfId="15551" hidden="1"/>
    <cellStyle name="40% - Accent4 12" xfId="16231" hidden="1"/>
    <cellStyle name="40% - Accent4 12" xfId="16306" hidden="1"/>
    <cellStyle name="40% - Accent4 12" xfId="16381" hidden="1"/>
    <cellStyle name="40% - Accent4 12" xfId="16459" hidden="1"/>
    <cellStyle name="40% - Accent4 12" xfId="17045" hidden="1"/>
    <cellStyle name="40% - Accent4 12" xfId="17120" hidden="1"/>
    <cellStyle name="40% - Accent4 12" xfId="17199" hidden="1"/>
    <cellStyle name="40% - Accent4 12" xfId="17274" hidden="1"/>
    <cellStyle name="40% - Accent4 12" xfId="16914" hidden="1"/>
    <cellStyle name="40% - Accent4 12" xfId="16936" hidden="1"/>
    <cellStyle name="40% - Accent4 12" xfId="17640" hidden="1"/>
    <cellStyle name="40% - Accent4 12" xfId="17715" hidden="1"/>
    <cellStyle name="40% - Accent4 12" xfId="17793" hidden="1"/>
    <cellStyle name="40% - Accent4 12" xfId="17847" hidden="1"/>
    <cellStyle name="40% - Accent4 12" xfId="17575" hidden="1"/>
    <cellStyle name="40% - Accent4 12" xfId="16964" hidden="1"/>
    <cellStyle name="40% - Accent4 12" xfId="18172" hidden="1"/>
    <cellStyle name="40% - Accent4 12" xfId="18247" hidden="1"/>
    <cellStyle name="40% - Accent4 12" xfId="18325" hidden="1"/>
    <cellStyle name="40% - Accent4 12" xfId="18509" hidden="1"/>
    <cellStyle name="40% - Accent4 12" xfId="18584" hidden="1"/>
    <cellStyle name="40% - Accent4 12" xfId="18662" hidden="1"/>
    <cellStyle name="40% - Accent4 12" xfId="18846" hidden="1"/>
    <cellStyle name="40% - Accent4 12" xfId="18921" hidden="1"/>
    <cellStyle name="40% - Accent4 12" xfId="19023" hidden="1"/>
    <cellStyle name="40% - Accent4 12" xfId="19098" hidden="1"/>
    <cellStyle name="40% - Accent4 12" xfId="19173" hidden="1"/>
    <cellStyle name="40% - Accent4 12" xfId="19251" hidden="1"/>
    <cellStyle name="40% - Accent4 12" xfId="19837" hidden="1"/>
    <cellStyle name="40% - Accent4 12" xfId="19912" hidden="1"/>
    <cellStyle name="40% - Accent4 12" xfId="19991" hidden="1"/>
    <cellStyle name="40% - Accent4 12" xfId="20066" hidden="1"/>
    <cellStyle name="40% - Accent4 12" xfId="19706" hidden="1"/>
    <cellStyle name="40% - Accent4 12" xfId="19728" hidden="1"/>
    <cellStyle name="40% - Accent4 12" xfId="20432" hidden="1"/>
    <cellStyle name="40% - Accent4 12" xfId="20507" hidden="1"/>
    <cellStyle name="40% - Accent4 12" xfId="20585" hidden="1"/>
    <cellStyle name="40% - Accent4 12" xfId="20639" hidden="1"/>
    <cellStyle name="40% - Accent4 12" xfId="20367" hidden="1"/>
    <cellStyle name="40% - Accent4 12" xfId="19756" hidden="1"/>
    <cellStyle name="40% - Accent4 12" xfId="20964" hidden="1"/>
    <cellStyle name="40% - Accent4 12" xfId="21039" hidden="1"/>
    <cellStyle name="40% - Accent4 12" xfId="21117" hidden="1"/>
    <cellStyle name="40% - Accent4 12" xfId="21301" hidden="1"/>
    <cellStyle name="40% - Accent4 12" xfId="21376" hidden="1"/>
    <cellStyle name="40% - Accent4 12" xfId="21454" hidden="1"/>
    <cellStyle name="40% - Accent4 12" xfId="21638" hidden="1"/>
    <cellStyle name="40% - Accent4 12" xfId="21713" hidden="1"/>
    <cellStyle name="40% - Accent4 12" xfId="15960" hidden="1"/>
    <cellStyle name="40% - Accent4 12" xfId="15885" hidden="1"/>
    <cellStyle name="40% - Accent4 12" xfId="15805" hidden="1"/>
    <cellStyle name="40% - Accent4 12" xfId="15719" hidden="1"/>
    <cellStyle name="40% - Accent4 12" xfId="7931" hidden="1"/>
    <cellStyle name="40% - Accent4 12" xfId="7713" hidden="1"/>
    <cellStyle name="40% - Accent4 12" xfId="7443" hidden="1"/>
    <cellStyle name="40% - Accent4 12" xfId="7037" hidden="1"/>
    <cellStyle name="40% - Accent4 12" xfId="8203" hidden="1"/>
    <cellStyle name="40% - Accent4 12" xfId="8167" hidden="1"/>
    <cellStyle name="40% - Accent4 12" xfId="5266" hidden="1"/>
    <cellStyle name="40% - Accent4 12" xfId="5067" hidden="1"/>
    <cellStyle name="40% - Accent4 12" xfId="4959" hidden="1"/>
    <cellStyle name="40% - Accent4 12" xfId="4630" hidden="1"/>
    <cellStyle name="40% - Accent4 12" xfId="5609" hidden="1"/>
    <cellStyle name="40% - Accent4 12" xfId="8108" hidden="1"/>
    <cellStyle name="40% - Accent4 12" xfId="2993" hidden="1"/>
    <cellStyle name="40% - Accent4 12" xfId="2869" hidden="1"/>
    <cellStyle name="40% - Accent4 12" xfId="2633" hidden="1"/>
    <cellStyle name="40% - Accent4 12" xfId="1489" hidden="1"/>
    <cellStyle name="40% - Accent4 12" xfId="1303" hidden="1"/>
    <cellStyle name="40% - Accent4 12" xfId="1081" hidden="1"/>
    <cellStyle name="40% - Accent4 12" xfId="21774" hidden="1"/>
    <cellStyle name="40% - Accent4 12" xfId="21853" hidden="1"/>
    <cellStyle name="40% - Accent4 12" xfId="22382" hidden="1"/>
    <cellStyle name="40% - Accent4 12" xfId="22457" hidden="1"/>
    <cellStyle name="40% - Accent4 12" xfId="22532" hidden="1"/>
    <cellStyle name="40% - Accent4 12" xfId="22610" hidden="1"/>
    <cellStyle name="40% - Accent4 12" xfId="23196" hidden="1"/>
    <cellStyle name="40% - Accent4 12" xfId="23271" hidden="1"/>
    <cellStyle name="40% - Accent4 12" xfId="23350" hidden="1"/>
    <cellStyle name="40% - Accent4 12" xfId="23425" hidden="1"/>
    <cellStyle name="40% - Accent4 12" xfId="23065" hidden="1"/>
    <cellStyle name="40% - Accent4 12" xfId="23087" hidden="1"/>
    <cellStyle name="40% - Accent4 12" xfId="23791" hidden="1"/>
    <cellStyle name="40% - Accent4 12" xfId="23866" hidden="1"/>
    <cellStyle name="40% - Accent4 12" xfId="23944" hidden="1"/>
    <cellStyle name="40% - Accent4 12" xfId="23998" hidden="1"/>
    <cellStyle name="40% - Accent4 12" xfId="23726" hidden="1"/>
    <cellStyle name="40% - Accent4 12" xfId="23115" hidden="1"/>
    <cellStyle name="40% - Accent4 12" xfId="24323" hidden="1"/>
    <cellStyle name="40% - Accent4 12" xfId="24398" hidden="1"/>
    <cellStyle name="40% - Accent4 12" xfId="24476" hidden="1"/>
    <cellStyle name="40% - Accent4 12" xfId="24660" hidden="1"/>
    <cellStyle name="40% - Accent4 12" xfId="24735" hidden="1"/>
    <cellStyle name="40% - Accent4 12" xfId="24813" hidden="1"/>
    <cellStyle name="40% - Accent4 12" xfId="24997" hidden="1"/>
    <cellStyle name="40% - Accent4 12" xfId="25072" hidden="1"/>
    <cellStyle name="40% - Accent4 12" xfId="25174" hidden="1"/>
    <cellStyle name="40% - Accent4 12" xfId="25249" hidden="1"/>
    <cellStyle name="40% - Accent4 12" xfId="25324" hidden="1"/>
    <cellStyle name="40% - Accent4 12" xfId="25402" hidden="1"/>
    <cellStyle name="40% - Accent4 12" xfId="25988" hidden="1"/>
    <cellStyle name="40% - Accent4 12" xfId="26063" hidden="1"/>
    <cellStyle name="40% - Accent4 12" xfId="26142" hidden="1"/>
    <cellStyle name="40% - Accent4 12" xfId="26217" hidden="1"/>
    <cellStyle name="40% - Accent4 12" xfId="25857" hidden="1"/>
    <cellStyle name="40% - Accent4 12" xfId="25879" hidden="1"/>
    <cellStyle name="40% - Accent4 12" xfId="26583" hidden="1"/>
    <cellStyle name="40% - Accent4 12" xfId="26658" hidden="1"/>
    <cellStyle name="40% - Accent4 12" xfId="26736" hidden="1"/>
    <cellStyle name="40% - Accent4 12" xfId="26790" hidden="1"/>
    <cellStyle name="40% - Accent4 12" xfId="26518" hidden="1"/>
    <cellStyle name="40% - Accent4 12" xfId="25907" hidden="1"/>
    <cellStyle name="40% - Accent4 12" xfId="27115" hidden="1"/>
    <cellStyle name="40% - Accent4 12" xfId="27190" hidden="1"/>
    <cellStyle name="40% - Accent4 12" xfId="27268" hidden="1"/>
    <cellStyle name="40% - Accent4 12" xfId="27452" hidden="1"/>
    <cellStyle name="40% - Accent4 12" xfId="27527" hidden="1"/>
    <cellStyle name="40% - Accent4 12" xfId="27605" hidden="1"/>
    <cellStyle name="40% - Accent4 12" xfId="27789" hidden="1"/>
    <cellStyle name="40% - Accent4 12" xfId="27864" hidden="1"/>
    <cellStyle name="40% - Accent4 12" xfId="22213" hidden="1"/>
    <cellStyle name="40% - Accent4 12" xfId="22138" hidden="1"/>
    <cellStyle name="40% - Accent4 12" xfId="22058" hidden="1"/>
    <cellStyle name="40% - Accent4 12" xfId="21975" hidden="1"/>
    <cellStyle name="40% - Accent4 12" xfId="8827" hidden="1"/>
    <cellStyle name="40% - Accent4 12" xfId="8533" hidden="1"/>
    <cellStyle name="40% - Accent4 12" xfId="8399" hidden="1"/>
    <cellStyle name="40% - Accent4 12" xfId="8043" hidden="1"/>
    <cellStyle name="40% - Accent4 12" xfId="9255" hidden="1"/>
    <cellStyle name="40% - Accent4 12" xfId="9092" hidden="1"/>
    <cellStyle name="40% - Accent4 12" xfId="5808" hidden="1"/>
    <cellStyle name="40% - Accent4 12" xfId="5572" hidden="1"/>
    <cellStyle name="40% - Accent4 12" xfId="5477" hidden="1"/>
    <cellStyle name="40% - Accent4 12" xfId="5056" hidden="1"/>
    <cellStyle name="40% - Accent4 12" xfId="6040" hidden="1"/>
    <cellStyle name="40% - Accent4 12" xfId="9042" hidden="1"/>
    <cellStyle name="40% - Accent4 12" xfId="3332" hidden="1"/>
    <cellStyle name="40% - Accent4 12" xfId="3144" hidden="1"/>
    <cellStyle name="40% - Accent4 12" xfId="2964" hidden="1"/>
    <cellStyle name="40% - Accent4 12" xfId="1628" hidden="1"/>
    <cellStyle name="40% - Accent4 12" xfId="1461" hidden="1"/>
    <cellStyle name="40% - Accent4 12" xfId="1203" hidden="1"/>
    <cellStyle name="40% - Accent4 12" xfId="27924" hidden="1"/>
    <cellStyle name="40% - Accent4 12" xfId="27999" hidden="1"/>
    <cellStyle name="40% - Accent4 12" xfId="28101" hidden="1"/>
    <cellStyle name="40% - Accent4 12" xfId="28176" hidden="1"/>
    <cellStyle name="40% - Accent4 12" xfId="28251" hidden="1"/>
    <cellStyle name="40% - Accent4 12" xfId="28329" hidden="1"/>
    <cellStyle name="40% - Accent4 12" xfId="28915" hidden="1"/>
    <cellStyle name="40% - Accent4 12" xfId="28990" hidden="1"/>
    <cellStyle name="40% - Accent4 12" xfId="29069" hidden="1"/>
    <cellStyle name="40% - Accent4 12" xfId="29144" hidden="1"/>
    <cellStyle name="40% - Accent4 12" xfId="28784" hidden="1"/>
    <cellStyle name="40% - Accent4 12" xfId="28806" hidden="1"/>
    <cellStyle name="40% - Accent4 12" xfId="29510" hidden="1"/>
    <cellStyle name="40% - Accent4 12" xfId="29585" hidden="1"/>
    <cellStyle name="40% - Accent4 12" xfId="29663" hidden="1"/>
    <cellStyle name="40% - Accent4 12" xfId="29717" hidden="1"/>
    <cellStyle name="40% - Accent4 12" xfId="29445" hidden="1"/>
    <cellStyle name="40% - Accent4 12" xfId="28834" hidden="1"/>
    <cellStyle name="40% - Accent4 12" xfId="30042" hidden="1"/>
    <cellStyle name="40% - Accent4 12" xfId="30117" hidden="1"/>
    <cellStyle name="40% - Accent4 12" xfId="30195" hidden="1"/>
    <cellStyle name="40% - Accent4 12" xfId="30379" hidden="1"/>
    <cellStyle name="40% - Accent4 12" xfId="30454" hidden="1"/>
    <cellStyle name="40% - Accent4 12" xfId="30532" hidden="1"/>
    <cellStyle name="40% - Accent4 12" xfId="30716" hidden="1"/>
    <cellStyle name="40% - Accent4 12" xfId="30791" hidden="1"/>
    <cellStyle name="40% - Accent4 12" xfId="30893" hidden="1"/>
    <cellStyle name="40% - Accent4 12" xfId="30968" hidden="1"/>
    <cellStyle name="40% - Accent4 12" xfId="31043" hidden="1"/>
    <cellStyle name="40% - Accent4 12" xfId="31121" hidden="1"/>
    <cellStyle name="40% - Accent4 12" xfId="31707" hidden="1"/>
    <cellStyle name="40% - Accent4 12" xfId="31782" hidden="1"/>
    <cellStyle name="40% - Accent4 12" xfId="31861" hidden="1"/>
    <cellStyle name="40% - Accent4 12" xfId="31936" hidden="1"/>
    <cellStyle name="40% - Accent4 12" xfId="31576" hidden="1"/>
    <cellStyle name="40% - Accent4 12" xfId="31598" hidden="1"/>
    <cellStyle name="40% - Accent4 12" xfId="32302" hidden="1"/>
    <cellStyle name="40% - Accent4 12" xfId="32377" hidden="1"/>
    <cellStyle name="40% - Accent4 12" xfId="32455" hidden="1"/>
    <cellStyle name="40% - Accent4 12" xfId="32509" hidden="1"/>
    <cellStyle name="40% - Accent4 12" xfId="32237" hidden="1"/>
    <cellStyle name="40% - Accent4 12" xfId="31626" hidden="1"/>
    <cellStyle name="40% - Accent4 12" xfId="32834" hidden="1"/>
    <cellStyle name="40% - Accent4 12" xfId="32909" hidden="1"/>
    <cellStyle name="40% - Accent4 12" xfId="32987" hidden="1"/>
    <cellStyle name="40% - Accent4 12" xfId="33171" hidden="1"/>
    <cellStyle name="40% - Accent4 12" xfId="33246" hidden="1"/>
    <cellStyle name="40% - Accent4 12" xfId="33324" hidden="1"/>
    <cellStyle name="40% - Accent4 12" xfId="33508" hidden="1"/>
    <cellStyle name="40% - Accent4 12" xfId="33583" hidden="1"/>
    <cellStyle name="40% - Accent4 13" xfId="749" hidden="1"/>
    <cellStyle name="40% - Accent4 13" xfId="955" hidden="1"/>
    <cellStyle name="40% - Accent4 13" xfId="3522" hidden="1"/>
    <cellStyle name="40% - Accent4 13" xfId="4037" hidden="1"/>
    <cellStyle name="40% - Accent4 13" xfId="5356" hidden="1"/>
    <cellStyle name="40% - Accent4 13" xfId="6053" hidden="1"/>
    <cellStyle name="40% - Accent4 13" xfId="7069" hidden="1"/>
    <cellStyle name="40% - Accent4 13" xfId="8272" hidden="1"/>
    <cellStyle name="40% - Accent4 13" xfId="10131" hidden="1"/>
    <cellStyle name="40% - Accent4 13" xfId="10246" hidden="1"/>
    <cellStyle name="40% - Accent4 13" xfId="10969" hidden="1"/>
    <cellStyle name="40% - Accent4 13" xfId="11142" hidden="1"/>
    <cellStyle name="40% - Accent4 13" xfId="11535" hidden="1"/>
    <cellStyle name="40% - Accent4 13" xfId="11683" hidden="1"/>
    <cellStyle name="40% - Accent4 13" xfId="12021" hidden="1"/>
    <cellStyle name="40% - Accent4 13" xfId="12358" hidden="1"/>
    <cellStyle name="40% - Accent4 13" xfId="12923" hidden="1"/>
    <cellStyle name="40% - Accent4 13" xfId="13038" hidden="1"/>
    <cellStyle name="40% - Accent4 13" xfId="13761" hidden="1"/>
    <cellStyle name="40% - Accent4 13" xfId="13934" hidden="1"/>
    <cellStyle name="40% - Accent4 13" xfId="14327" hidden="1"/>
    <cellStyle name="40% - Accent4 13" xfId="14475" hidden="1"/>
    <cellStyle name="40% - Accent4 13" xfId="14813" hidden="1"/>
    <cellStyle name="40% - Accent4 13" xfId="15150" hidden="1"/>
    <cellStyle name="40% - Accent4 13" xfId="9198" hidden="1"/>
    <cellStyle name="40% - Accent4 13" xfId="8654" hidden="1"/>
    <cellStyle name="40% - Accent4 13" xfId="6025" hidden="1"/>
    <cellStyle name="40% - Accent4 13" xfId="5233" hidden="1"/>
    <cellStyle name="40% - Accent4 13" xfId="3952" hidden="1"/>
    <cellStyle name="40% - Accent4 13" xfId="3274" hidden="1"/>
    <cellStyle name="40% - Accent4 13" xfId="1839" hidden="1"/>
    <cellStyle name="40% - Accent4 13" xfId="466" hidden="1"/>
    <cellStyle name="40% - Accent4 13" xfId="16472" hidden="1"/>
    <cellStyle name="40% - Accent4 13" xfId="16587" hidden="1"/>
    <cellStyle name="40% - Accent4 13" xfId="17310" hidden="1"/>
    <cellStyle name="40% - Accent4 13" xfId="17483" hidden="1"/>
    <cellStyle name="40% - Accent4 13" xfId="17876" hidden="1"/>
    <cellStyle name="40% - Accent4 13" xfId="18024" hidden="1"/>
    <cellStyle name="40% - Accent4 13" xfId="18362" hidden="1"/>
    <cellStyle name="40% - Accent4 13" xfId="18699" hidden="1"/>
    <cellStyle name="40% - Accent4 13" xfId="19264" hidden="1"/>
    <cellStyle name="40% - Accent4 13" xfId="19379" hidden="1"/>
    <cellStyle name="40% - Accent4 13" xfId="20102" hidden="1"/>
    <cellStyle name="40% - Accent4 13" xfId="20275" hidden="1"/>
    <cellStyle name="40% - Accent4 13" xfId="20668" hidden="1"/>
    <cellStyle name="40% - Accent4 13" xfId="20816" hidden="1"/>
    <cellStyle name="40% - Accent4 13" xfId="21154" hidden="1"/>
    <cellStyle name="40% - Accent4 13" xfId="21491" hidden="1"/>
    <cellStyle name="40% - Accent4 13" xfId="15706" hidden="1"/>
    <cellStyle name="40% - Accent4 13" xfId="9750" hidden="1"/>
    <cellStyle name="40% - Accent4 13" xfId="6609" hidden="1"/>
    <cellStyle name="40% - Accent4 13" xfId="5764" hidden="1"/>
    <cellStyle name="40% - Accent4 13" xfId="4219" hidden="1"/>
    <cellStyle name="40% - Accent4 13" xfId="3500" hidden="1"/>
    <cellStyle name="40% - Accent4 13" xfId="2012" hidden="1"/>
    <cellStyle name="40% - Accent4 13" xfId="572" hidden="1"/>
    <cellStyle name="40% - Accent4 13" xfId="22623" hidden="1"/>
    <cellStyle name="40% - Accent4 13" xfId="22738" hidden="1"/>
    <cellStyle name="40% - Accent4 13" xfId="23461" hidden="1"/>
    <cellStyle name="40% - Accent4 13" xfId="23634" hidden="1"/>
    <cellStyle name="40% - Accent4 13" xfId="24027" hidden="1"/>
    <cellStyle name="40% - Accent4 13" xfId="24175" hidden="1"/>
    <cellStyle name="40% - Accent4 13" xfId="24513" hidden="1"/>
    <cellStyle name="40% - Accent4 13" xfId="24850" hidden="1"/>
    <cellStyle name="40% - Accent4 13" xfId="25415" hidden="1"/>
    <cellStyle name="40% - Accent4 13" xfId="25530" hidden="1"/>
    <cellStyle name="40% - Accent4 13" xfId="26253" hidden="1"/>
    <cellStyle name="40% - Accent4 13" xfId="26426" hidden="1"/>
    <cellStyle name="40% - Accent4 13" xfId="26819" hidden="1"/>
    <cellStyle name="40% - Accent4 13" xfId="26967" hidden="1"/>
    <cellStyle name="40% - Accent4 13" xfId="27305" hidden="1"/>
    <cellStyle name="40% - Accent4 13" xfId="27642" hidden="1"/>
    <cellStyle name="40% - Accent4 13" xfId="21962" hidden="1"/>
    <cellStyle name="40% - Accent4 13" xfId="16130" hidden="1"/>
    <cellStyle name="40% - Accent4 13" xfId="7312" hidden="1"/>
    <cellStyle name="40% - Accent4 13" xfId="6276" hidden="1"/>
    <cellStyle name="40% - Accent4 13" xfId="4531" hidden="1"/>
    <cellStyle name="40% - Accent4 13" xfId="3756" hidden="1"/>
    <cellStyle name="40% - Accent4 13" xfId="2193" hidden="1"/>
    <cellStyle name="40% - Accent4 13" xfId="709" hidden="1"/>
    <cellStyle name="40% - Accent4 13" xfId="28342" hidden="1"/>
    <cellStyle name="40% - Accent4 13" xfId="28457" hidden="1"/>
    <cellStyle name="40% - Accent4 13" xfId="29180" hidden="1"/>
    <cellStyle name="40% - Accent4 13" xfId="29353" hidden="1"/>
    <cellStyle name="40% - Accent4 13" xfId="29746" hidden="1"/>
    <cellStyle name="40% - Accent4 13" xfId="29894" hidden="1"/>
    <cellStyle name="40% - Accent4 13" xfId="30232" hidden="1"/>
    <cellStyle name="40% - Accent4 13" xfId="30569" hidden="1"/>
    <cellStyle name="40% - Accent4 13" xfId="31134" hidden="1"/>
    <cellStyle name="40% - Accent4 13" xfId="31249" hidden="1"/>
    <cellStyle name="40% - Accent4 13" xfId="31972" hidden="1"/>
    <cellStyle name="40% - Accent4 13" xfId="32145" hidden="1"/>
    <cellStyle name="40% - Accent4 13" xfId="32538" hidden="1"/>
    <cellStyle name="40% - Accent4 13" xfId="32686" hidden="1"/>
    <cellStyle name="40% - Accent4 13" xfId="33024" hidden="1"/>
    <cellStyle name="40% - Accent4 13" xfId="33361" hidden="1"/>
    <cellStyle name="40% - Accent4 3 2 3 2" xfId="835" hidden="1"/>
    <cellStyle name="40% - Accent4 3 2 3 2" xfId="1043" hidden="1"/>
    <cellStyle name="40% - Accent4 3 2 3 2" xfId="3607" hidden="1"/>
    <cellStyle name="40% - Accent4 3 2 3 2" xfId="4122" hidden="1"/>
    <cellStyle name="40% - Accent4 3 2 3 2" xfId="5441" hidden="1"/>
    <cellStyle name="40% - Accent4 3 2 3 2" xfId="6138" hidden="1"/>
    <cellStyle name="40% - Accent4 3 2 3 2" xfId="7155" hidden="1"/>
    <cellStyle name="40% - Accent4 3 2 3 2" xfId="8359" hidden="1"/>
    <cellStyle name="40% - Accent4 3 2 3 2" xfId="10216" hidden="1"/>
    <cellStyle name="40% - Accent4 3 2 3 2" xfId="10331" hidden="1"/>
    <cellStyle name="40% - Accent4 3 2 3 2" xfId="11054" hidden="1"/>
    <cellStyle name="40% - Accent4 3 2 3 2" xfId="11227" hidden="1"/>
    <cellStyle name="40% - Accent4 3 2 3 2" xfId="11620" hidden="1"/>
    <cellStyle name="40% - Accent4 3 2 3 2" xfId="11768" hidden="1"/>
    <cellStyle name="40% - Accent4 3 2 3 2" xfId="12106" hidden="1"/>
    <cellStyle name="40% - Accent4 3 2 3 2" xfId="12443" hidden="1"/>
    <cellStyle name="40% - Accent4 3 2 3 2" xfId="13008" hidden="1"/>
    <cellStyle name="40% - Accent4 3 2 3 2" xfId="13123" hidden="1"/>
    <cellStyle name="40% - Accent4 3 2 3 2" xfId="13846" hidden="1"/>
    <cellStyle name="40% - Accent4 3 2 3 2" xfId="14019" hidden="1"/>
    <cellStyle name="40% - Accent4 3 2 3 2" xfId="14412" hidden="1"/>
    <cellStyle name="40% - Accent4 3 2 3 2" xfId="14560" hidden="1"/>
    <cellStyle name="40% - Accent4 3 2 3 2" xfId="14898" hidden="1"/>
    <cellStyle name="40% - Accent4 3 2 3 2" xfId="15235" hidden="1"/>
    <cellStyle name="40% - Accent4 3 2 3 2" xfId="9111" hidden="1"/>
    <cellStyle name="40% - Accent4 3 2 3 2" xfId="8567" hidden="1"/>
    <cellStyle name="40% - Accent4 3 2 3 2" xfId="5939" hidden="1"/>
    <cellStyle name="40% - Accent4 3 2 3 2" xfId="5147" hidden="1"/>
    <cellStyle name="40% - Accent4 3 2 3 2" xfId="3862" hidden="1"/>
    <cellStyle name="40% - Accent4 3 2 3 2" xfId="3183" hidden="1"/>
    <cellStyle name="40% - Accent4 3 2 3 2" xfId="1740" hidden="1"/>
    <cellStyle name="40% - Accent4 3 2 3 2" xfId="332" hidden="1"/>
    <cellStyle name="40% - Accent4 3 2 3 2" xfId="16557" hidden="1"/>
    <cellStyle name="40% - Accent4 3 2 3 2" xfId="16672" hidden="1"/>
    <cellStyle name="40% - Accent4 3 2 3 2" xfId="17395" hidden="1"/>
    <cellStyle name="40% - Accent4 3 2 3 2" xfId="17568" hidden="1"/>
    <cellStyle name="40% - Accent4 3 2 3 2" xfId="17961" hidden="1"/>
    <cellStyle name="40% - Accent4 3 2 3 2" xfId="18109" hidden="1"/>
    <cellStyle name="40% - Accent4 3 2 3 2" xfId="18447" hidden="1"/>
    <cellStyle name="40% - Accent4 3 2 3 2" xfId="18784" hidden="1"/>
    <cellStyle name="40% - Accent4 3 2 3 2" xfId="19349" hidden="1"/>
    <cellStyle name="40% - Accent4 3 2 3 2" xfId="19464" hidden="1"/>
    <cellStyle name="40% - Accent4 3 2 3 2" xfId="20187" hidden="1"/>
    <cellStyle name="40% - Accent4 3 2 3 2" xfId="20360" hidden="1"/>
    <cellStyle name="40% - Accent4 3 2 3 2" xfId="20753" hidden="1"/>
    <cellStyle name="40% - Accent4 3 2 3 2" xfId="20901" hidden="1"/>
    <cellStyle name="40% - Accent4 3 2 3 2" xfId="21239" hidden="1"/>
    <cellStyle name="40% - Accent4 3 2 3 2" xfId="21576" hidden="1"/>
    <cellStyle name="40% - Accent4 3 2 3 2" xfId="15619" hidden="1"/>
    <cellStyle name="40% - Accent4 3 2 3 2" xfId="9664" hidden="1"/>
    <cellStyle name="40% - Accent4 3 2 3 2" xfId="6510" hidden="1"/>
    <cellStyle name="40% - Accent4 3 2 3 2" xfId="5659" hidden="1"/>
    <cellStyle name="40% - Accent4 3 2 3 2" xfId="4133" hidden="1"/>
    <cellStyle name="40% - Accent4 3 2 3 2" xfId="3411" hidden="1"/>
    <cellStyle name="40% - Accent4 3 2 3 2" xfId="1912" hidden="1"/>
    <cellStyle name="40% - Accent4 3 2 3 2" xfId="461" hidden="1"/>
    <cellStyle name="40% - Accent4 3 2 3 2" xfId="22708" hidden="1"/>
    <cellStyle name="40% - Accent4 3 2 3 2" xfId="22823" hidden="1"/>
    <cellStyle name="40% - Accent4 3 2 3 2" xfId="23546" hidden="1"/>
    <cellStyle name="40% - Accent4 3 2 3 2" xfId="23719" hidden="1"/>
    <cellStyle name="40% - Accent4 3 2 3 2" xfId="24112" hidden="1"/>
    <cellStyle name="40% - Accent4 3 2 3 2" xfId="24260" hidden="1"/>
    <cellStyle name="40% - Accent4 3 2 3 2" xfId="24598" hidden="1"/>
    <cellStyle name="40% - Accent4 3 2 3 2" xfId="24935" hidden="1"/>
    <cellStyle name="40% - Accent4 3 2 3 2" xfId="25500" hidden="1"/>
    <cellStyle name="40% - Accent4 3 2 3 2" xfId="25615" hidden="1"/>
    <cellStyle name="40% - Accent4 3 2 3 2" xfId="26338" hidden="1"/>
    <cellStyle name="40% - Accent4 3 2 3 2" xfId="26511" hidden="1"/>
    <cellStyle name="40% - Accent4 3 2 3 2" xfId="26904" hidden="1"/>
    <cellStyle name="40% - Accent4 3 2 3 2" xfId="27052" hidden="1"/>
    <cellStyle name="40% - Accent4 3 2 3 2" xfId="27390" hidden="1"/>
    <cellStyle name="40% - Accent4 3 2 3 2" xfId="27727" hidden="1"/>
    <cellStyle name="40% - Accent4 3 2 3 2" xfId="21875" hidden="1"/>
    <cellStyle name="40% - Accent4 3 2 3 2" xfId="16045" hidden="1"/>
    <cellStyle name="40% - Accent4 3 2 3 2" xfId="7212" hidden="1"/>
    <cellStyle name="40% - Accent4 3 2 3 2" xfId="6167" hidden="1"/>
    <cellStyle name="40% - Accent4 3 2 3 2" xfId="4335" hidden="1"/>
    <cellStyle name="40% - Accent4 3 2 3 2" xfId="3668" hidden="1"/>
    <cellStyle name="40% - Accent4 3 2 3 2" xfId="2100" hidden="1"/>
    <cellStyle name="40% - Accent4 3 2 3 2" xfId="588" hidden="1"/>
    <cellStyle name="40% - Accent4 3 2 3 2" xfId="28427" hidden="1"/>
    <cellStyle name="40% - Accent4 3 2 3 2" xfId="28542" hidden="1"/>
    <cellStyle name="40% - Accent4 3 2 3 2" xfId="29265" hidden="1"/>
    <cellStyle name="40% - Accent4 3 2 3 2" xfId="29438" hidden="1"/>
    <cellStyle name="40% - Accent4 3 2 3 2" xfId="29831" hidden="1"/>
    <cellStyle name="40% - Accent4 3 2 3 2" xfId="29979" hidden="1"/>
    <cellStyle name="40% - Accent4 3 2 3 2" xfId="30317" hidden="1"/>
    <cellStyle name="40% - Accent4 3 2 3 2" xfId="30654" hidden="1"/>
    <cellStyle name="40% - Accent4 3 2 3 2" xfId="31219" hidden="1"/>
    <cellStyle name="40% - Accent4 3 2 3 2" xfId="31334" hidden="1"/>
    <cellStyle name="40% - Accent4 3 2 3 2" xfId="32057" hidden="1"/>
    <cellStyle name="40% - Accent4 3 2 3 2" xfId="32230" hidden="1"/>
    <cellStyle name="40% - Accent4 3 2 3 2" xfId="32623" hidden="1"/>
    <cellStyle name="40% - Accent4 3 2 3 2" xfId="32771" hidden="1"/>
    <cellStyle name="40% - Accent4 3 2 3 2" xfId="33109" hidden="1"/>
    <cellStyle name="40% - Accent4 3 2 3 2" xfId="33446" hidden="1"/>
    <cellStyle name="40% - Accent4 3 2 4 2" xfId="804" hidden="1"/>
    <cellStyle name="40% - Accent4 3 2 4 2" xfId="1012" hidden="1"/>
    <cellStyle name="40% - Accent4 3 2 4 2" xfId="3576" hidden="1"/>
    <cellStyle name="40% - Accent4 3 2 4 2" xfId="4091" hidden="1"/>
    <cellStyle name="40% - Accent4 3 2 4 2" xfId="5410" hidden="1"/>
    <cellStyle name="40% - Accent4 3 2 4 2" xfId="6107" hidden="1"/>
    <cellStyle name="40% - Accent4 3 2 4 2" xfId="7124" hidden="1"/>
    <cellStyle name="40% - Accent4 3 2 4 2" xfId="8328" hidden="1"/>
    <cellStyle name="40% - Accent4 3 2 4 2" xfId="10185" hidden="1"/>
    <cellStyle name="40% - Accent4 3 2 4 2" xfId="10300" hidden="1"/>
    <cellStyle name="40% - Accent4 3 2 4 2" xfId="11023" hidden="1"/>
    <cellStyle name="40% - Accent4 3 2 4 2" xfId="11196" hidden="1"/>
    <cellStyle name="40% - Accent4 3 2 4 2" xfId="11589" hidden="1"/>
    <cellStyle name="40% - Accent4 3 2 4 2" xfId="11737" hidden="1"/>
    <cellStyle name="40% - Accent4 3 2 4 2" xfId="12075" hidden="1"/>
    <cellStyle name="40% - Accent4 3 2 4 2" xfId="12412" hidden="1"/>
    <cellStyle name="40% - Accent4 3 2 4 2" xfId="12977" hidden="1"/>
    <cellStyle name="40% - Accent4 3 2 4 2" xfId="13092" hidden="1"/>
    <cellStyle name="40% - Accent4 3 2 4 2" xfId="13815" hidden="1"/>
    <cellStyle name="40% - Accent4 3 2 4 2" xfId="13988" hidden="1"/>
    <cellStyle name="40% - Accent4 3 2 4 2" xfId="14381" hidden="1"/>
    <cellStyle name="40% - Accent4 3 2 4 2" xfId="14529" hidden="1"/>
    <cellStyle name="40% - Accent4 3 2 4 2" xfId="14867" hidden="1"/>
    <cellStyle name="40% - Accent4 3 2 4 2" xfId="15204" hidden="1"/>
    <cellStyle name="40% - Accent4 3 2 4 2" xfId="9143" hidden="1"/>
    <cellStyle name="40% - Accent4 3 2 4 2" xfId="8598" hidden="1"/>
    <cellStyle name="40% - Accent4 3 2 4 2" xfId="5970" hidden="1"/>
    <cellStyle name="40% - Accent4 3 2 4 2" xfId="5179" hidden="1"/>
    <cellStyle name="40% - Accent4 3 2 4 2" xfId="3896" hidden="1"/>
    <cellStyle name="40% - Accent4 3 2 4 2" xfId="3216" hidden="1"/>
    <cellStyle name="40% - Accent4 3 2 4 2" xfId="1773" hidden="1"/>
    <cellStyle name="40% - Accent4 3 2 4 2" xfId="377" hidden="1"/>
    <cellStyle name="40% - Accent4 3 2 4 2" xfId="16526" hidden="1"/>
    <cellStyle name="40% - Accent4 3 2 4 2" xfId="16641" hidden="1"/>
    <cellStyle name="40% - Accent4 3 2 4 2" xfId="17364" hidden="1"/>
    <cellStyle name="40% - Accent4 3 2 4 2" xfId="17537" hidden="1"/>
    <cellStyle name="40% - Accent4 3 2 4 2" xfId="17930" hidden="1"/>
    <cellStyle name="40% - Accent4 3 2 4 2" xfId="18078" hidden="1"/>
    <cellStyle name="40% - Accent4 3 2 4 2" xfId="18416" hidden="1"/>
    <cellStyle name="40% - Accent4 3 2 4 2" xfId="18753" hidden="1"/>
    <cellStyle name="40% - Accent4 3 2 4 2" xfId="19318" hidden="1"/>
    <cellStyle name="40% - Accent4 3 2 4 2" xfId="19433" hidden="1"/>
    <cellStyle name="40% - Accent4 3 2 4 2" xfId="20156" hidden="1"/>
    <cellStyle name="40% - Accent4 3 2 4 2" xfId="20329" hidden="1"/>
    <cellStyle name="40% - Accent4 3 2 4 2" xfId="20722" hidden="1"/>
    <cellStyle name="40% - Accent4 3 2 4 2" xfId="20870" hidden="1"/>
    <cellStyle name="40% - Accent4 3 2 4 2" xfId="21208" hidden="1"/>
    <cellStyle name="40% - Accent4 3 2 4 2" xfId="21545" hidden="1"/>
    <cellStyle name="40% - Accent4 3 2 4 2" xfId="15651" hidden="1"/>
    <cellStyle name="40% - Accent4 3 2 4 2" xfId="9695" hidden="1"/>
    <cellStyle name="40% - Accent4 3 2 4 2" xfId="6547" hidden="1"/>
    <cellStyle name="40% - Accent4 3 2 4 2" xfId="5697" hidden="1"/>
    <cellStyle name="40% - Accent4 3 2 4 2" xfId="4165" hidden="1"/>
    <cellStyle name="40% - Accent4 3 2 4 2" xfId="3443" hidden="1"/>
    <cellStyle name="40% - Accent4 3 2 4 2" xfId="1950" hidden="1"/>
    <cellStyle name="40% - Accent4 3 2 4 2" xfId="511" hidden="1"/>
    <cellStyle name="40% - Accent4 3 2 4 2" xfId="22677" hidden="1"/>
    <cellStyle name="40% - Accent4 3 2 4 2" xfId="22792" hidden="1"/>
    <cellStyle name="40% - Accent4 3 2 4 2" xfId="23515" hidden="1"/>
    <cellStyle name="40% - Accent4 3 2 4 2" xfId="23688" hidden="1"/>
    <cellStyle name="40% - Accent4 3 2 4 2" xfId="24081" hidden="1"/>
    <cellStyle name="40% - Accent4 3 2 4 2" xfId="24229" hidden="1"/>
    <cellStyle name="40% - Accent4 3 2 4 2" xfId="24567" hidden="1"/>
    <cellStyle name="40% - Accent4 3 2 4 2" xfId="24904" hidden="1"/>
    <cellStyle name="40% - Accent4 3 2 4 2" xfId="25469" hidden="1"/>
    <cellStyle name="40% - Accent4 3 2 4 2" xfId="25584" hidden="1"/>
    <cellStyle name="40% - Accent4 3 2 4 2" xfId="26307" hidden="1"/>
    <cellStyle name="40% - Accent4 3 2 4 2" xfId="26480" hidden="1"/>
    <cellStyle name="40% - Accent4 3 2 4 2" xfId="26873" hidden="1"/>
    <cellStyle name="40% - Accent4 3 2 4 2" xfId="27021" hidden="1"/>
    <cellStyle name="40% - Accent4 3 2 4 2" xfId="27359" hidden="1"/>
    <cellStyle name="40% - Accent4 3 2 4 2" xfId="27696" hidden="1"/>
    <cellStyle name="40% - Accent4 3 2 4 2" xfId="21907" hidden="1"/>
    <cellStyle name="40% - Accent4 3 2 4 2" xfId="16076" hidden="1"/>
    <cellStyle name="40% - Accent4 3 2 4 2" xfId="7254" hidden="1"/>
    <cellStyle name="40% - Accent4 3 2 4 2" xfId="6207" hidden="1"/>
    <cellStyle name="40% - Accent4 3 2 4 2" xfId="4426" hidden="1"/>
    <cellStyle name="40% - Accent4 3 2 4 2" xfId="3701" hidden="1"/>
    <cellStyle name="40% - Accent4 3 2 4 2" xfId="2135" hidden="1"/>
    <cellStyle name="40% - Accent4 3 2 4 2" xfId="622" hidden="1"/>
    <cellStyle name="40% - Accent4 3 2 4 2" xfId="28396" hidden="1"/>
    <cellStyle name="40% - Accent4 3 2 4 2" xfId="28511" hidden="1"/>
    <cellStyle name="40% - Accent4 3 2 4 2" xfId="29234" hidden="1"/>
    <cellStyle name="40% - Accent4 3 2 4 2" xfId="29407" hidden="1"/>
    <cellStyle name="40% - Accent4 3 2 4 2" xfId="29800" hidden="1"/>
    <cellStyle name="40% - Accent4 3 2 4 2" xfId="29948" hidden="1"/>
    <cellStyle name="40% - Accent4 3 2 4 2" xfId="30286" hidden="1"/>
    <cellStyle name="40% - Accent4 3 2 4 2" xfId="30623" hidden="1"/>
    <cellStyle name="40% - Accent4 3 2 4 2" xfId="31188" hidden="1"/>
    <cellStyle name="40% - Accent4 3 2 4 2" xfId="31303" hidden="1"/>
    <cellStyle name="40% - Accent4 3 2 4 2" xfId="32026" hidden="1"/>
    <cellStyle name="40% - Accent4 3 2 4 2" xfId="32199" hidden="1"/>
    <cellStyle name="40% - Accent4 3 2 4 2" xfId="32592" hidden="1"/>
    <cellStyle name="40% - Accent4 3 2 4 2" xfId="32740" hidden="1"/>
    <cellStyle name="40% - Accent4 3 2 4 2" xfId="33078" hidden="1"/>
    <cellStyle name="40% - Accent4 3 2 4 2" xfId="33415" hidden="1"/>
    <cellStyle name="40% - Accent4 3 3 3 2" xfId="803" hidden="1"/>
    <cellStyle name="40% - Accent4 3 3 3 2" xfId="1011" hidden="1"/>
    <cellStyle name="40% - Accent4 3 3 3 2" xfId="3575" hidden="1"/>
    <cellStyle name="40% - Accent4 3 3 3 2" xfId="4090" hidden="1"/>
    <cellStyle name="40% - Accent4 3 3 3 2" xfId="5409" hidden="1"/>
    <cellStyle name="40% - Accent4 3 3 3 2" xfId="6106" hidden="1"/>
    <cellStyle name="40% - Accent4 3 3 3 2" xfId="7123" hidden="1"/>
    <cellStyle name="40% - Accent4 3 3 3 2" xfId="8327" hidden="1"/>
    <cellStyle name="40% - Accent4 3 3 3 2" xfId="10184" hidden="1"/>
    <cellStyle name="40% - Accent4 3 3 3 2" xfId="10299" hidden="1"/>
    <cellStyle name="40% - Accent4 3 3 3 2" xfId="11022" hidden="1"/>
    <cellStyle name="40% - Accent4 3 3 3 2" xfId="11195" hidden="1"/>
    <cellStyle name="40% - Accent4 3 3 3 2" xfId="11588" hidden="1"/>
    <cellStyle name="40% - Accent4 3 3 3 2" xfId="11736" hidden="1"/>
    <cellStyle name="40% - Accent4 3 3 3 2" xfId="12074" hidden="1"/>
    <cellStyle name="40% - Accent4 3 3 3 2" xfId="12411" hidden="1"/>
    <cellStyle name="40% - Accent4 3 3 3 2" xfId="12976" hidden="1"/>
    <cellStyle name="40% - Accent4 3 3 3 2" xfId="13091" hidden="1"/>
    <cellStyle name="40% - Accent4 3 3 3 2" xfId="13814" hidden="1"/>
    <cellStyle name="40% - Accent4 3 3 3 2" xfId="13987" hidden="1"/>
    <cellStyle name="40% - Accent4 3 3 3 2" xfId="14380" hidden="1"/>
    <cellStyle name="40% - Accent4 3 3 3 2" xfId="14528" hidden="1"/>
    <cellStyle name="40% - Accent4 3 3 3 2" xfId="14866" hidden="1"/>
    <cellStyle name="40% - Accent4 3 3 3 2" xfId="15203" hidden="1"/>
    <cellStyle name="40% - Accent4 3 3 3 2" xfId="9144" hidden="1"/>
    <cellStyle name="40% - Accent4 3 3 3 2" xfId="8599" hidden="1"/>
    <cellStyle name="40% - Accent4 3 3 3 2" xfId="5971" hidden="1"/>
    <cellStyle name="40% - Accent4 3 3 3 2" xfId="5180" hidden="1"/>
    <cellStyle name="40% - Accent4 3 3 3 2" xfId="3897" hidden="1"/>
    <cellStyle name="40% - Accent4 3 3 3 2" xfId="3217" hidden="1"/>
    <cellStyle name="40% - Accent4 3 3 3 2" xfId="1775" hidden="1"/>
    <cellStyle name="40% - Accent4 3 3 3 2" xfId="380" hidden="1"/>
    <cellStyle name="40% - Accent4 3 3 3 2" xfId="16525" hidden="1"/>
    <cellStyle name="40% - Accent4 3 3 3 2" xfId="16640" hidden="1"/>
    <cellStyle name="40% - Accent4 3 3 3 2" xfId="17363" hidden="1"/>
    <cellStyle name="40% - Accent4 3 3 3 2" xfId="17536" hidden="1"/>
    <cellStyle name="40% - Accent4 3 3 3 2" xfId="17929" hidden="1"/>
    <cellStyle name="40% - Accent4 3 3 3 2" xfId="18077" hidden="1"/>
    <cellStyle name="40% - Accent4 3 3 3 2" xfId="18415" hidden="1"/>
    <cellStyle name="40% - Accent4 3 3 3 2" xfId="18752" hidden="1"/>
    <cellStyle name="40% - Accent4 3 3 3 2" xfId="19317" hidden="1"/>
    <cellStyle name="40% - Accent4 3 3 3 2" xfId="19432" hidden="1"/>
    <cellStyle name="40% - Accent4 3 3 3 2" xfId="20155" hidden="1"/>
    <cellStyle name="40% - Accent4 3 3 3 2" xfId="20328" hidden="1"/>
    <cellStyle name="40% - Accent4 3 3 3 2" xfId="20721" hidden="1"/>
    <cellStyle name="40% - Accent4 3 3 3 2" xfId="20869" hidden="1"/>
    <cellStyle name="40% - Accent4 3 3 3 2" xfId="21207" hidden="1"/>
    <cellStyle name="40% - Accent4 3 3 3 2" xfId="21544" hidden="1"/>
    <cellStyle name="40% - Accent4 3 3 3 2" xfId="15652" hidden="1"/>
    <cellStyle name="40% - Accent4 3 3 3 2" xfId="9696" hidden="1"/>
    <cellStyle name="40% - Accent4 3 3 3 2" xfId="6549" hidden="1"/>
    <cellStyle name="40% - Accent4 3 3 3 2" xfId="5699" hidden="1"/>
    <cellStyle name="40% - Accent4 3 3 3 2" xfId="4166" hidden="1"/>
    <cellStyle name="40% - Accent4 3 3 3 2" xfId="3444" hidden="1"/>
    <cellStyle name="40% - Accent4 3 3 3 2" xfId="1951" hidden="1"/>
    <cellStyle name="40% - Accent4 3 3 3 2" xfId="513" hidden="1"/>
    <cellStyle name="40% - Accent4 3 3 3 2" xfId="22676" hidden="1"/>
    <cellStyle name="40% - Accent4 3 3 3 2" xfId="22791" hidden="1"/>
    <cellStyle name="40% - Accent4 3 3 3 2" xfId="23514" hidden="1"/>
    <cellStyle name="40% - Accent4 3 3 3 2" xfId="23687" hidden="1"/>
    <cellStyle name="40% - Accent4 3 3 3 2" xfId="24080" hidden="1"/>
    <cellStyle name="40% - Accent4 3 3 3 2" xfId="24228" hidden="1"/>
    <cellStyle name="40% - Accent4 3 3 3 2" xfId="24566" hidden="1"/>
    <cellStyle name="40% - Accent4 3 3 3 2" xfId="24903" hidden="1"/>
    <cellStyle name="40% - Accent4 3 3 3 2" xfId="25468" hidden="1"/>
    <cellStyle name="40% - Accent4 3 3 3 2" xfId="25583" hidden="1"/>
    <cellStyle name="40% - Accent4 3 3 3 2" xfId="26306" hidden="1"/>
    <cellStyle name="40% - Accent4 3 3 3 2" xfId="26479" hidden="1"/>
    <cellStyle name="40% - Accent4 3 3 3 2" xfId="26872" hidden="1"/>
    <cellStyle name="40% - Accent4 3 3 3 2" xfId="27020" hidden="1"/>
    <cellStyle name="40% - Accent4 3 3 3 2" xfId="27358" hidden="1"/>
    <cellStyle name="40% - Accent4 3 3 3 2" xfId="27695" hidden="1"/>
    <cellStyle name="40% - Accent4 3 3 3 2" xfId="21908" hidden="1"/>
    <cellStyle name="40% - Accent4 3 3 3 2" xfId="16077" hidden="1"/>
    <cellStyle name="40% - Accent4 3 3 3 2" xfId="7255" hidden="1"/>
    <cellStyle name="40% - Accent4 3 3 3 2" xfId="6209" hidden="1"/>
    <cellStyle name="40% - Accent4 3 3 3 2" xfId="4429" hidden="1"/>
    <cellStyle name="40% - Accent4 3 3 3 2" xfId="3702" hidden="1"/>
    <cellStyle name="40% - Accent4 3 3 3 2" xfId="2136" hidden="1"/>
    <cellStyle name="40% - Accent4 3 3 3 2" xfId="623" hidden="1"/>
    <cellStyle name="40% - Accent4 3 3 3 2" xfId="28395" hidden="1"/>
    <cellStyle name="40% - Accent4 3 3 3 2" xfId="28510" hidden="1"/>
    <cellStyle name="40% - Accent4 3 3 3 2" xfId="29233" hidden="1"/>
    <cellStyle name="40% - Accent4 3 3 3 2" xfId="29406" hidden="1"/>
    <cellStyle name="40% - Accent4 3 3 3 2" xfId="29799" hidden="1"/>
    <cellStyle name="40% - Accent4 3 3 3 2" xfId="29947" hidden="1"/>
    <cellStyle name="40% - Accent4 3 3 3 2" xfId="30285" hidden="1"/>
    <cellStyle name="40% - Accent4 3 3 3 2" xfId="30622" hidden="1"/>
    <cellStyle name="40% - Accent4 3 3 3 2" xfId="31187" hidden="1"/>
    <cellStyle name="40% - Accent4 3 3 3 2" xfId="31302" hidden="1"/>
    <cellStyle name="40% - Accent4 3 3 3 2" xfId="32025" hidden="1"/>
    <cellStyle name="40% - Accent4 3 3 3 2" xfId="32198" hidden="1"/>
    <cellStyle name="40% - Accent4 3 3 3 2" xfId="32591" hidden="1"/>
    <cellStyle name="40% - Accent4 3 3 3 2" xfId="32739" hidden="1"/>
    <cellStyle name="40% - Accent4 3 3 3 2" xfId="33077" hidden="1"/>
    <cellStyle name="40% - Accent4 3 3 3 2" xfId="33414" hidden="1"/>
    <cellStyle name="40% - Accent4 4 2 3 2" xfId="836" hidden="1"/>
    <cellStyle name="40% - Accent4 4 2 3 2" xfId="1044" hidden="1"/>
    <cellStyle name="40% - Accent4 4 2 3 2" xfId="3608" hidden="1"/>
    <cellStyle name="40% - Accent4 4 2 3 2" xfId="4123" hidden="1"/>
    <cellStyle name="40% - Accent4 4 2 3 2" xfId="5442" hidden="1"/>
    <cellStyle name="40% - Accent4 4 2 3 2" xfId="6139" hidden="1"/>
    <cellStyle name="40% - Accent4 4 2 3 2" xfId="7156" hidden="1"/>
    <cellStyle name="40% - Accent4 4 2 3 2" xfId="8360" hidden="1"/>
    <cellStyle name="40% - Accent4 4 2 3 2" xfId="10217" hidden="1"/>
    <cellStyle name="40% - Accent4 4 2 3 2" xfId="10332" hidden="1"/>
    <cellStyle name="40% - Accent4 4 2 3 2" xfId="11055" hidden="1"/>
    <cellStyle name="40% - Accent4 4 2 3 2" xfId="11228" hidden="1"/>
    <cellStyle name="40% - Accent4 4 2 3 2" xfId="11621" hidden="1"/>
    <cellStyle name="40% - Accent4 4 2 3 2" xfId="11769" hidden="1"/>
    <cellStyle name="40% - Accent4 4 2 3 2" xfId="12107" hidden="1"/>
    <cellStyle name="40% - Accent4 4 2 3 2" xfId="12444" hidden="1"/>
    <cellStyle name="40% - Accent4 4 2 3 2" xfId="13009" hidden="1"/>
    <cellStyle name="40% - Accent4 4 2 3 2" xfId="13124" hidden="1"/>
    <cellStyle name="40% - Accent4 4 2 3 2" xfId="13847" hidden="1"/>
    <cellStyle name="40% - Accent4 4 2 3 2" xfId="14020" hidden="1"/>
    <cellStyle name="40% - Accent4 4 2 3 2" xfId="14413" hidden="1"/>
    <cellStyle name="40% - Accent4 4 2 3 2" xfId="14561" hidden="1"/>
    <cellStyle name="40% - Accent4 4 2 3 2" xfId="14899" hidden="1"/>
    <cellStyle name="40% - Accent4 4 2 3 2" xfId="15236" hidden="1"/>
    <cellStyle name="40% - Accent4 4 2 3 2" xfId="9110" hidden="1"/>
    <cellStyle name="40% - Accent4 4 2 3 2" xfId="8566" hidden="1"/>
    <cellStyle name="40% - Accent4 4 2 3 2" xfId="5938" hidden="1"/>
    <cellStyle name="40% - Accent4 4 2 3 2" xfId="5146" hidden="1"/>
    <cellStyle name="40% - Accent4 4 2 3 2" xfId="3861" hidden="1"/>
    <cellStyle name="40% - Accent4 4 2 3 2" xfId="3182" hidden="1"/>
    <cellStyle name="40% - Accent4 4 2 3 2" xfId="1739" hidden="1"/>
    <cellStyle name="40% - Accent4 4 2 3 2" xfId="331" hidden="1"/>
    <cellStyle name="40% - Accent4 4 2 3 2" xfId="16558" hidden="1"/>
    <cellStyle name="40% - Accent4 4 2 3 2" xfId="16673" hidden="1"/>
    <cellStyle name="40% - Accent4 4 2 3 2" xfId="17396" hidden="1"/>
    <cellStyle name="40% - Accent4 4 2 3 2" xfId="17569" hidden="1"/>
    <cellStyle name="40% - Accent4 4 2 3 2" xfId="17962" hidden="1"/>
    <cellStyle name="40% - Accent4 4 2 3 2" xfId="18110" hidden="1"/>
    <cellStyle name="40% - Accent4 4 2 3 2" xfId="18448" hidden="1"/>
    <cellStyle name="40% - Accent4 4 2 3 2" xfId="18785" hidden="1"/>
    <cellStyle name="40% - Accent4 4 2 3 2" xfId="19350" hidden="1"/>
    <cellStyle name="40% - Accent4 4 2 3 2" xfId="19465" hidden="1"/>
    <cellStyle name="40% - Accent4 4 2 3 2" xfId="20188" hidden="1"/>
    <cellStyle name="40% - Accent4 4 2 3 2" xfId="20361" hidden="1"/>
    <cellStyle name="40% - Accent4 4 2 3 2" xfId="20754" hidden="1"/>
    <cellStyle name="40% - Accent4 4 2 3 2" xfId="20902" hidden="1"/>
    <cellStyle name="40% - Accent4 4 2 3 2" xfId="21240" hidden="1"/>
    <cellStyle name="40% - Accent4 4 2 3 2" xfId="21577" hidden="1"/>
    <cellStyle name="40% - Accent4 4 2 3 2" xfId="15618" hidden="1"/>
    <cellStyle name="40% - Accent4 4 2 3 2" xfId="9663" hidden="1"/>
    <cellStyle name="40% - Accent4 4 2 3 2" xfId="6508" hidden="1"/>
    <cellStyle name="40% - Accent4 4 2 3 2" xfId="5658" hidden="1"/>
    <cellStyle name="40% - Accent4 4 2 3 2" xfId="4132" hidden="1"/>
    <cellStyle name="40% - Accent4 4 2 3 2" xfId="3410" hidden="1"/>
    <cellStyle name="40% - Accent4 4 2 3 2" xfId="1911" hidden="1"/>
    <cellStyle name="40% - Accent4 4 2 3 2" xfId="459" hidden="1"/>
    <cellStyle name="40% - Accent4 4 2 3 2" xfId="22709" hidden="1"/>
    <cellStyle name="40% - Accent4 4 2 3 2" xfId="22824" hidden="1"/>
    <cellStyle name="40% - Accent4 4 2 3 2" xfId="23547" hidden="1"/>
    <cellStyle name="40% - Accent4 4 2 3 2" xfId="23720" hidden="1"/>
    <cellStyle name="40% - Accent4 4 2 3 2" xfId="24113" hidden="1"/>
    <cellStyle name="40% - Accent4 4 2 3 2" xfId="24261" hidden="1"/>
    <cellStyle name="40% - Accent4 4 2 3 2" xfId="24599" hidden="1"/>
    <cellStyle name="40% - Accent4 4 2 3 2" xfId="24936" hidden="1"/>
    <cellStyle name="40% - Accent4 4 2 3 2" xfId="25501" hidden="1"/>
    <cellStyle name="40% - Accent4 4 2 3 2" xfId="25616" hidden="1"/>
    <cellStyle name="40% - Accent4 4 2 3 2" xfId="26339" hidden="1"/>
    <cellStyle name="40% - Accent4 4 2 3 2" xfId="26512" hidden="1"/>
    <cellStyle name="40% - Accent4 4 2 3 2" xfId="26905" hidden="1"/>
    <cellStyle name="40% - Accent4 4 2 3 2" xfId="27053" hidden="1"/>
    <cellStyle name="40% - Accent4 4 2 3 2" xfId="27391" hidden="1"/>
    <cellStyle name="40% - Accent4 4 2 3 2" xfId="27728" hidden="1"/>
    <cellStyle name="40% - Accent4 4 2 3 2" xfId="21874" hidden="1"/>
    <cellStyle name="40% - Accent4 4 2 3 2" xfId="16044" hidden="1"/>
    <cellStyle name="40% - Accent4 4 2 3 2" xfId="7211" hidden="1"/>
    <cellStyle name="40% - Accent4 4 2 3 2" xfId="6166" hidden="1"/>
    <cellStyle name="40% - Accent4 4 2 3 2" xfId="4334" hidden="1"/>
    <cellStyle name="40% - Accent4 4 2 3 2" xfId="3667" hidden="1"/>
    <cellStyle name="40% - Accent4 4 2 3 2" xfId="2098" hidden="1"/>
    <cellStyle name="40% - Accent4 4 2 3 2" xfId="586" hidden="1"/>
    <cellStyle name="40% - Accent4 4 2 3 2" xfId="28428" hidden="1"/>
    <cellStyle name="40% - Accent4 4 2 3 2" xfId="28543" hidden="1"/>
    <cellStyle name="40% - Accent4 4 2 3 2" xfId="29266" hidden="1"/>
    <cellStyle name="40% - Accent4 4 2 3 2" xfId="29439" hidden="1"/>
    <cellStyle name="40% - Accent4 4 2 3 2" xfId="29832" hidden="1"/>
    <cellStyle name="40% - Accent4 4 2 3 2" xfId="29980" hidden="1"/>
    <cellStyle name="40% - Accent4 4 2 3 2" xfId="30318" hidden="1"/>
    <cellStyle name="40% - Accent4 4 2 3 2" xfId="30655" hidden="1"/>
    <cellStyle name="40% - Accent4 4 2 3 2" xfId="31220" hidden="1"/>
    <cellStyle name="40% - Accent4 4 2 3 2" xfId="31335" hidden="1"/>
    <cellStyle name="40% - Accent4 4 2 3 2" xfId="32058" hidden="1"/>
    <cellStyle name="40% - Accent4 4 2 3 2" xfId="32231" hidden="1"/>
    <cellStyle name="40% - Accent4 4 2 3 2" xfId="32624" hidden="1"/>
    <cellStyle name="40% - Accent4 4 2 3 2" xfId="32772" hidden="1"/>
    <cellStyle name="40% - Accent4 4 2 3 2" xfId="33110" hidden="1"/>
    <cellStyle name="40% - Accent4 4 2 3 2" xfId="33447" hidden="1"/>
    <cellStyle name="40% - Accent4 4 2 4 2" xfId="806" hidden="1"/>
    <cellStyle name="40% - Accent4 4 2 4 2" xfId="1014" hidden="1"/>
    <cellStyle name="40% - Accent4 4 2 4 2" xfId="3578" hidden="1"/>
    <cellStyle name="40% - Accent4 4 2 4 2" xfId="4093" hidden="1"/>
    <cellStyle name="40% - Accent4 4 2 4 2" xfId="5412" hidden="1"/>
    <cellStyle name="40% - Accent4 4 2 4 2" xfId="6109" hidden="1"/>
    <cellStyle name="40% - Accent4 4 2 4 2" xfId="7126" hidden="1"/>
    <cellStyle name="40% - Accent4 4 2 4 2" xfId="8330" hidden="1"/>
    <cellStyle name="40% - Accent4 4 2 4 2" xfId="10187" hidden="1"/>
    <cellStyle name="40% - Accent4 4 2 4 2" xfId="10302" hidden="1"/>
    <cellStyle name="40% - Accent4 4 2 4 2" xfId="11025" hidden="1"/>
    <cellStyle name="40% - Accent4 4 2 4 2" xfId="11198" hidden="1"/>
    <cellStyle name="40% - Accent4 4 2 4 2" xfId="11591" hidden="1"/>
    <cellStyle name="40% - Accent4 4 2 4 2" xfId="11739" hidden="1"/>
    <cellStyle name="40% - Accent4 4 2 4 2" xfId="12077" hidden="1"/>
    <cellStyle name="40% - Accent4 4 2 4 2" xfId="12414" hidden="1"/>
    <cellStyle name="40% - Accent4 4 2 4 2" xfId="12979" hidden="1"/>
    <cellStyle name="40% - Accent4 4 2 4 2" xfId="13094" hidden="1"/>
    <cellStyle name="40% - Accent4 4 2 4 2" xfId="13817" hidden="1"/>
    <cellStyle name="40% - Accent4 4 2 4 2" xfId="13990" hidden="1"/>
    <cellStyle name="40% - Accent4 4 2 4 2" xfId="14383" hidden="1"/>
    <cellStyle name="40% - Accent4 4 2 4 2" xfId="14531" hidden="1"/>
    <cellStyle name="40% - Accent4 4 2 4 2" xfId="14869" hidden="1"/>
    <cellStyle name="40% - Accent4 4 2 4 2" xfId="15206" hidden="1"/>
    <cellStyle name="40% - Accent4 4 2 4 2" xfId="9141" hidden="1"/>
    <cellStyle name="40% - Accent4 4 2 4 2" xfId="8596" hidden="1"/>
    <cellStyle name="40% - Accent4 4 2 4 2" xfId="5968" hidden="1"/>
    <cellStyle name="40% - Accent4 4 2 4 2" xfId="5177" hidden="1"/>
    <cellStyle name="40% - Accent4 4 2 4 2" xfId="3894" hidden="1"/>
    <cellStyle name="40% - Accent4 4 2 4 2" xfId="3214" hidden="1"/>
    <cellStyle name="40% - Accent4 4 2 4 2" xfId="1771" hidden="1"/>
    <cellStyle name="40% - Accent4 4 2 4 2" xfId="374" hidden="1"/>
    <cellStyle name="40% - Accent4 4 2 4 2" xfId="16528" hidden="1"/>
    <cellStyle name="40% - Accent4 4 2 4 2" xfId="16643" hidden="1"/>
    <cellStyle name="40% - Accent4 4 2 4 2" xfId="17366" hidden="1"/>
    <cellStyle name="40% - Accent4 4 2 4 2" xfId="17539" hidden="1"/>
    <cellStyle name="40% - Accent4 4 2 4 2" xfId="17932" hidden="1"/>
    <cellStyle name="40% - Accent4 4 2 4 2" xfId="18080" hidden="1"/>
    <cellStyle name="40% - Accent4 4 2 4 2" xfId="18418" hidden="1"/>
    <cellStyle name="40% - Accent4 4 2 4 2" xfId="18755" hidden="1"/>
    <cellStyle name="40% - Accent4 4 2 4 2" xfId="19320" hidden="1"/>
    <cellStyle name="40% - Accent4 4 2 4 2" xfId="19435" hidden="1"/>
    <cellStyle name="40% - Accent4 4 2 4 2" xfId="20158" hidden="1"/>
    <cellStyle name="40% - Accent4 4 2 4 2" xfId="20331" hidden="1"/>
    <cellStyle name="40% - Accent4 4 2 4 2" xfId="20724" hidden="1"/>
    <cellStyle name="40% - Accent4 4 2 4 2" xfId="20872" hidden="1"/>
    <cellStyle name="40% - Accent4 4 2 4 2" xfId="21210" hidden="1"/>
    <cellStyle name="40% - Accent4 4 2 4 2" xfId="21547" hidden="1"/>
    <cellStyle name="40% - Accent4 4 2 4 2" xfId="15649" hidden="1"/>
    <cellStyle name="40% - Accent4 4 2 4 2" xfId="9693" hidden="1"/>
    <cellStyle name="40% - Accent4 4 2 4 2" xfId="6543" hidden="1"/>
    <cellStyle name="40% - Accent4 4 2 4 2" xfId="5694" hidden="1"/>
    <cellStyle name="40% - Accent4 4 2 4 2" xfId="4163" hidden="1"/>
    <cellStyle name="40% - Accent4 4 2 4 2" xfId="3441" hidden="1"/>
    <cellStyle name="40% - Accent4 4 2 4 2" xfId="1948" hidden="1"/>
    <cellStyle name="40% - Accent4 4 2 4 2" xfId="509" hidden="1"/>
    <cellStyle name="40% - Accent4 4 2 4 2" xfId="22679" hidden="1"/>
    <cellStyle name="40% - Accent4 4 2 4 2" xfId="22794" hidden="1"/>
    <cellStyle name="40% - Accent4 4 2 4 2" xfId="23517" hidden="1"/>
    <cellStyle name="40% - Accent4 4 2 4 2" xfId="23690" hidden="1"/>
    <cellStyle name="40% - Accent4 4 2 4 2" xfId="24083" hidden="1"/>
    <cellStyle name="40% - Accent4 4 2 4 2" xfId="24231" hidden="1"/>
    <cellStyle name="40% - Accent4 4 2 4 2" xfId="24569" hidden="1"/>
    <cellStyle name="40% - Accent4 4 2 4 2" xfId="24906" hidden="1"/>
    <cellStyle name="40% - Accent4 4 2 4 2" xfId="25471" hidden="1"/>
    <cellStyle name="40% - Accent4 4 2 4 2" xfId="25586" hidden="1"/>
    <cellStyle name="40% - Accent4 4 2 4 2" xfId="26309" hidden="1"/>
    <cellStyle name="40% - Accent4 4 2 4 2" xfId="26482" hidden="1"/>
    <cellStyle name="40% - Accent4 4 2 4 2" xfId="26875" hidden="1"/>
    <cellStyle name="40% - Accent4 4 2 4 2" xfId="27023" hidden="1"/>
    <cellStyle name="40% - Accent4 4 2 4 2" xfId="27361" hidden="1"/>
    <cellStyle name="40% - Accent4 4 2 4 2" xfId="27698" hidden="1"/>
    <cellStyle name="40% - Accent4 4 2 4 2" xfId="21905" hidden="1"/>
    <cellStyle name="40% - Accent4 4 2 4 2" xfId="16074" hidden="1"/>
    <cellStyle name="40% - Accent4 4 2 4 2" xfId="7252" hidden="1"/>
    <cellStyle name="40% - Accent4 4 2 4 2" xfId="6205" hidden="1"/>
    <cellStyle name="40% - Accent4 4 2 4 2" xfId="4418" hidden="1"/>
    <cellStyle name="40% - Accent4 4 2 4 2" xfId="3698" hidden="1"/>
    <cellStyle name="40% - Accent4 4 2 4 2" xfId="2133" hidden="1"/>
    <cellStyle name="40% - Accent4 4 2 4 2" xfId="620" hidden="1"/>
    <cellStyle name="40% - Accent4 4 2 4 2" xfId="28398" hidden="1"/>
    <cellStyle name="40% - Accent4 4 2 4 2" xfId="28513" hidden="1"/>
    <cellStyle name="40% - Accent4 4 2 4 2" xfId="29236" hidden="1"/>
    <cellStyle name="40% - Accent4 4 2 4 2" xfId="29409" hidden="1"/>
    <cellStyle name="40% - Accent4 4 2 4 2" xfId="29802" hidden="1"/>
    <cellStyle name="40% - Accent4 4 2 4 2" xfId="29950" hidden="1"/>
    <cellStyle name="40% - Accent4 4 2 4 2" xfId="30288" hidden="1"/>
    <cellStyle name="40% - Accent4 4 2 4 2" xfId="30625" hidden="1"/>
    <cellStyle name="40% - Accent4 4 2 4 2" xfId="31190" hidden="1"/>
    <cellStyle name="40% - Accent4 4 2 4 2" xfId="31305" hidden="1"/>
    <cellStyle name="40% - Accent4 4 2 4 2" xfId="32028" hidden="1"/>
    <cellStyle name="40% - Accent4 4 2 4 2" xfId="32201" hidden="1"/>
    <cellStyle name="40% - Accent4 4 2 4 2" xfId="32594" hidden="1"/>
    <cellStyle name="40% - Accent4 4 2 4 2" xfId="32742" hidden="1"/>
    <cellStyle name="40% - Accent4 4 2 4 2" xfId="33080" hidden="1"/>
    <cellStyle name="40% - Accent4 4 2 4 2" xfId="33417" hidden="1"/>
    <cellStyle name="40% - Accent4 4 3 3 2" xfId="805" hidden="1"/>
    <cellStyle name="40% - Accent4 4 3 3 2" xfId="1013" hidden="1"/>
    <cellStyle name="40% - Accent4 4 3 3 2" xfId="3577" hidden="1"/>
    <cellStyle name="40% - Accent4 4 3 3 2" xfId="4092" hidden="1"/>
    <cellStyle name="40% - Accent4 4 3 3 2" xfId="5411" hidden="1"/>
    <cellStyle name="40% - Accent4 4 3 3 2" xfId="6108" hidden="1"/>
    <cellStyle name="40% - Accent4 4 3 3 2" xfId="7125" hidden="1"/>
    <cellStyle name="40% - Accent4 4 3 3 2" xfId="8329" hidden="1"/>
    <cellStyle name="40% - Accent4 4 3 3 2" xfId="10186" hidden="1"/>
    <cellStyle name="40% - Accent4 4 3 3 2" xfId="10301" hidden="1"/>
    <cellStyle name="40% - Accent4 4 3 3 2" xfId="11024" hidden="1"/>
    <cellStyle name="40% - Accent4 4 3 3 2" xfId="11197" hidden="1"/>
    <cellStyle name="40% - Accent4 4 3 3 2" xfId="11590" hidden="1"/>
    <cellStyle name="40% - Accent4 4 3 3 2" xfId="11738" hidden="1"/>
    <cellStyle name="40% - Accent4 4 3 3 2" xfId="12076" hidden="1"/>
    <cellStyle name="40% - Accent4 4 3 3 2" xfId="12413" hidden="1"/>
    <cellStyle name="40% - Accent4 4 3 3 2" xfId="12978" hidden="1"/>
    <cellStyle name="40% - Accent4 4 3 3 2" xfId="13093" hidden="1"/>
    <cellStyle name="40% - Accent4 4 3 3 2" xfId="13816" hidden="1"/>
    <cellStyle name="40% - Accent4 4 3 3 2" xfId="13989" hidden="1"/>
    <cellStyle name="40% - Accent4 4 3 3 2" xfId="14382" hidden="1"/>
    <cellStyle name="40% - Accent4 4 3 3 2" xfId="14530" hidden="1"/>
    <cellStyle name="40% - Accent4 4 3 3 2" xfId="14868" hidden="1"/>
    <cellStyle name="40% - Accent4 4 3 3 2" xfId="15205" hidden="1"/>
    <cellStyle name="40% - Accent4 4 3 3 2" xfId="9142" hidden="1"/>
    <cellStyle name="40% - Accent4 4 3 3 2" xfId="8597" hidden="1"/>
    <cellStyle name="40% - Accent4 4 3 3 2" xfId="5969" hidden="1"/>
    <cellStyle name="40% - Accent4 4 3 3 2" xfId="5178" hidden="1"/>
    <cellStyle name="40% - Accent4 4 3 3 2" xfId="3895" hidden="1"/>
    <cellStyle name="40% - Accent4 4 3 3 2" xfId="3215" hidden="1"/>
    <cellStyle name="40% - Accent4 4 3 3 2" xfId="1772" hidden="1"/>
    <cellStyle name="40% - Accent4 4 3 3 2" xfId="376" hidden="1"/>
    <cellStyle name="40% - Accent4 4 3 3 2" xfId="16527" hidden="1"/>
    <cellStyle name="40% - Accent4 4 3 3 2" xfId="16642" hidden="1"/>
    <cellStyle name="40% - Accent4 4 3 3 2" xfId="17365" hidden="1"/>
    <cellStyle name="40% - Accent4 4 3 3 2" xfId="17538" hidden="1"/>
    <cellStyle name="40% - Accent4 4 3 3 2" xfId="17931" hidden="1"/>
    <cellStyle name="40% - Accent4 4 3 3 2" xfId="18079" hidden="1"/>
    <cellStyle name="40% - Accent4 4 3 3 2" xfId="18417" hidden="1"/>
    <cellStyle name="40% - Accent4 4 3 3 2" xfId="18754" hidden="1"/>
    <cellStyle name="40% - Accent4 4 3 3 2" xfId="19319" hidden="1"/>
    <cellStyle name="40% - Accent4 4 3 3 2" xfId="19434" hidden="1"/>
    <cellStyle name="40% - Accent4 4 3 3 2" xfId="20157" hidden="1"/>
    <cellStyle name="40% - Accent4 4 3 3 2" xfId="20330" hidden="1"/>
    <cellStyle name="40% - Accent4 4 3 3 2" xfId="20723" hidden="1"/>
    <cellStyle name="40% - Accent4 4 3 3 2" xfId="20871" hidden="1"/>
    <cellStyle name="40% - Accent4 4 3 3 2" xfId="21209" hidden="1"/>
    <cellStyle name="40% - Accent4 4 3 3 2" xfId="21546" hidden="1"/>
    <cellStyle name="40% - Accent4 4 3 3 2" xfId="15650" hidden="1"/>
    <cellStyle name="40% - Accent4 4 3 3 2" xfId="9694" hidden="1"/>
    <cellStyle name="40% - Accent4 4 3 3 2" xfId="6544" hidden="1"/>
    <cellStyle name="40% - Accent4 4 3 3 2" xfId="5695" hidden="1"/>
    <cellStyle name="40% - Accent4 4 3 3 2" xfId="4164" hidden="1"/>
    <cellStyle name="40% - Accent4 4 3 3 2" xfId="3442" hidden="1"/>
    <cellStyle name="40% - Accent4 4 3 3 2" xfId="1949" hidden="1"/>
    <cellStyle name="40% - Accent4 4 3 3 2" xfId="510" hidden="1"/>
    <cellStyle name="40% - Accent4 4 3 3 2" xfId="22678" hidden="1"/>
    <cellStyle name="40% - Accent4 4 3 3 2" xfId="22793" hidden="1"/>
    <cellStyle name="40% - Accent4 4 3 3 2" xfId="23516" hidden="1"/>
    <cellStyle name="40% - Accent4 4 3 3 2" xfId="23689" hidden="1"/>
    <cellStyle name="40% - Accent4 4 3 3 2" xfId="24082" hidden="1"/>
    <cellStyle name="40% - Accent4 4 3 3 2" xfId="24230" hidden="1"/>
    <cellStyle name="40% - Accent4 4 3 3 2" xfId="24568" hidden="1"/>
    <cellStyle name="40% - Accent4 4 3 3 2" xfId="24905" hidden="1"/>
    <cellStyle name="40% - Accent4 4 3 3 2" xfId="25470" hidden="1"/>
    <cellStyle name="40% - Accent4 4 3 3 2" xfId="25585" hidden="1"/>
    <cellStyle name="40% - Accent4 4 3 3 2" xfId="26308" hidden="1"/>
    <cellStyle name="40% - Accent4 4 3 3 2" xfId="26481" hidden="1"/>
    <cellStyle name="40% - Accent4 4 3 3 2" xfId="26874" hidden="1"/>
    <cellStyle name="40% - Accent4 4 3 3 2" xfId="27022" hidden="1"/>
    <cellStyle name="40% - Accent4 4 3 3 2" xfId="27360" hidden="1"/>
    <cellStyle name="40% - Accent4 4 3 3 2" xfId="27697" hidden="1"/>
    <cellStyle name="40% - Accent4 4 3 3 2" xfId="21906" hidden="1"/>
    <cellStyle name="40% - Accent4 4 3 3 2" xfId="16075" hidden="1"/>
    <cellStyle name="40% - Accent4 4 3 3 2" xfId="7253" hidden="1"/>
    <cellStyle name="40% - Accent4 4 3 3 2" xfId="6206" hidden="1"/>
    <cellStyle name="40% - Accent4 4 3 3 2" xfId="4421" hidden="1"/>
    <cellStyle name="40% - Accent4 4 3 3 2" xfId="3700" hidden="1"/>
    <cellStyle name="40% - Accent4 4 3 3 2" xfId="2134" hidden="1"/>
    <cellStyle name="40% - Accent4 4 3 3 2" xfId="621" hidden="1"/>
    <cellStyle name="40% - Accent4 4 3 3 2" xfId="28397" hidden="1"/>
    <cellStyle name="40% - Accent4 4 3 3 2" xfId="28512" hidden="1"/>
    <cellStyle name="40% - Accent4 4 3 3 2" xfId="29235" hidden="1"/>
    <cellStyle name="40% - Accent4 4 3 3 2" xfId="29408" hidden="1"/>
    <cellStyle name="40% - Accent4 4 3 3 2" xfId="29801" hidden="1"/>
    <cellStyle name="40% - Accent4 4 3 3 2" xfId="29949" hidden="1"/>
    <cellStyle name="40% - Accent4 4 3 3 2" xfId="30287" hidden="1"/>
    <cellStyle name="40% - Accent4 4 3 3 2" xfId="30624" hidden="1"/>
    <cellStyle name="40% - Accent4 4 3 3 2" xfId="31189" hidden="1"/>
    <cellStyle name="40% - Accent4 4 3 3 2" xfId="31304" hidden="1"/>
    <cellStyle name="40% - Accent4 4 3 3 2" xfId="32027" hidden="1"/>
    <cellStyle name="40% - Accent4 4 3 3 2" xfId="32200" hidden="1"/>
    <cellStyle name="40% - Accent4 4 3 3 2" xfId="32593" hidden="1"/>
    <cellStyle name="40% - Accent4 4 3 3 2" xfId="32741" hidden="1"/>
    <cellStyle name="40% - Accent4 4 3 3 2" xfId="33079" hidden="1"/>
    <cellStyle name="40% - Accent4 4 3 3 2" xfId="33416" hidden="1"/>
    <cellStyle name="40% - Accent4 5 2" xfId="764" hidden="1"/>
    <cellStyle name="40% - Accent4 5 2" xfId="972" hidden="1"/>
    <cellStyle name="40% - Accent4 5 2" xfId="3536" hidden="1"/>
    <cellStyle name="40% - Accent4 5 2" xfId="4051" hidden="1"/>
    <cellStyle name="40% - Accent4 5 2" xfId="5370" hidden="1"/>
    <cellStyle name="40% - Accent4 5 2" xfId="6067" hidden="1"/>
    <cellStyle name="40% - Accent4 5 2" xfId="7084" hidden="1"/>
    <cellStyle name="40% - Accent4 5 2" xfId="8288" hidden="1"/>
    <cellStyle name="40% - Accent4 5 2" xfId="10145" hidden="1"/>
    <cellStyle name="40% - Accent4 5 2" xfId="10260" hidden="1"/>
    <cellStyle name="40% - Accent4 5 2" xfId="10983" hidden="1"/>
    <cellStyle name="40% - Accent4 5 2" xfId="11156" hidden="1"/>
    <cellStyle name="40% - Accent4 5 2" xfId="11549" hidden="1"/>
    <cellStyle name="40% - Accent4 5 2" xfId="11697" hidden="1"/>
    <cellStyle name="40% - Accent4 5 2" xfId="12035" hidden="1"/>
    <cellStyle name="40% - Accent4 5 2" xfId="12372" hidden="1"/>
    <cellStyle name="40% - Accent4 5 2" xfId="12937" hidden="1"/>
    <cellStyle name="40% - Accent4 5 2" xfId="13052" hidden="1"/>
    <cellStyle name="40% - Accent4 5 2" xfId="13775" hidden="1"/>
    <cellStyle name="40% - Accent4 5 2" xfId="13948" hidden="1"/>
    <cellStyle name="40% - Accent4 5 2" xfId="14341" hidden="1"/>
    <cellStyle name="40% - Accent4 5 2" xfId="14489" hidden="1"/>
    <cellStyle name="40% - Accent4 5 2" xfId="14827" hidden="1"/>
    <cellStyle name="40% - Accent4 5 2" xfId="15164" hidden="1"/>
    <cellStyle name="40% - Accent4 5 2" xfId="9183" hidden="1"/>
    <cellStyle name="40% - Accent4 5 2" xfId="8638" hidden="1"/>
    <cellStyle name="40% - Accent4 5 2" xfId="6010" hidden="1"/>
    <cellStyle name="40% - Accent4 5 2" xfId="5219" hidden="1"/>
    <cellStyle name="40% - Accent4 5 2" xfId="3937" hidden="1"/>
    <cellStyle name="40% - Accent4 5 2" xfId="3256" hidden="1"/>
    <cellStyle name="40% - Accent4 5 2" xfId="1821" hidden="1"/>
    <cellStyle name="40% - Accent4 5 2" xfId="445" hidden="1"/>
    <cellStyle name="40% - Accent4 5 2" xfId="16486" hidden="1"/>
    <cellStyle name="40% - Accent4 5 2" xfId="16601" hidden="1"/>
    <cellStyle name="40% - Accent4 5 2" xfId="17324" hidden="1"/>
    <cellStyle name="40% - Accent4 5 2" xfId="17497" hidden="1"/>
    <cellStyle name="40% - Accent4 5 2" xfId="17890" hidden="1"/>
    <cellStyle name="40% - Accent4 5 2" xfId="18038" hidden="1"/>
    <cellStyle name="40% - Accent4 5 2" xfId="18376" hidden="1"/>
    <cellStyle name="40% - Accent4 5 2" xfId="18713" hidden="1"/>
    <cellStyle name="40% - Accent4 5 2" xfId="19278" hidden="1"/>
    <cellStyle name="40% - Accent4 5 2" xfId="19393" hidden="1"/>
    <cellStyle name="40% - Accent4 5 2" xfId="20116" hidden="1"/>
    <cellStyle name="40% - Accent4 5 2" xfId="20289" hidden="1"/>
    <cellStyle name="40% - Accent4 5 2" xfId="20682" hidden="1"/>
    <cellStyle name="40% - Accent4 5 2" xfId="20830" hidden="1"/>
    <cellStyle name="40% - Accent4 5 2" xfId="21168" hidden="1"/>
    <cellStyle name="40% - Accent4 5 2" xfId="21505" hidden="1"/>
    <cellStyle name="40% - Accent4 5 2" xfId="15691" hidden="1"/>
    <cellStyle name="40% - Accent4 5 2" xfId="9735" hidden="1"/>
    <cellStyle name="40% - Accent4 5 2" xfId="6594" hidden="1"/>
    <cellStyle name="40% - Accent4 5 2" xfId="5748" hidden="1"/>
    <cellStyle name="40% - Accent4 5 2" xfId="4205" hidden="1"/>
    <cellStyle name="40% - Accent4 5 2" xfId="3486" hidden="1"/>
    <cellStyle name="40% - Accent4 5 2" xfId="1996" hidden="1"/>
    <cellStyle name="40% - Accent4 5 2" xfId="557" hidden="1"/>
    <cellStyle name="40% - Accent4 5 2" xfId="22637" hidden="1"/>
    <cellStyle name="40% - Accent4 5 2" xfId="22752" hidden="1"/>
    <cellStyle name="40% - Accent4 5 2" xfId="23475" hidden="1"/>
    <cellStyle name="40% - Accent4 5 2" xfId="23648" hidden="1"/>
    <cellStyle name="40% - Accent4 5 2" xfId="24041" hidden="1"/>
    <cellStyle name="40% - Accent4 5 2" xfId="24189" hidden="1"/>
    <cellStyle name="40% - Accent4 5 2" xfId="24527" hidden="1"/>
    <cellStyle name="40% - Accent4 5 2" xfId="24864" hidden="1"/>
    <cellStyle name="40% - Accent4 5 2" xfId="25429" hidden="1"/>
    <cellStyle name="40% - Accent4 5 2" xfId="25544" hidden="1"/>
    <cellStyle name="40% - Accent4 5 2" xfId="26267" hidden="1"/>
    <cellStyle name="40% - Accent4 5 2" xfId="26440" hidden="1"/>
    <cellStyle name="40% - Accent4 5 2" xfId="26833" hidden="1"/>
    <cellStyle name="40% - Accent4 5 2" xfId="26981" hidden="1"/>
    <cellStyle name="40% - Accent4 5 2" xfId="27319" hidden="1"/>
    <cellStyle name="40% - Accent4 5 2" xfId="27656" hidden="1"/>
    <cellStyle name="40% - Accent4 5 2" xfId="21947" hidden="1"/>
    <cellStyle name="40% - Accent4 5 2" xfId="16116" hidden="1"/>
    <cellStyle name="40% - Accent4 5 2" xfId="7297" hidden="1"/>
    <cellStyle name="40% - Accent4 5 2" xfId="6257" hidden="1"/>
    <cellStyle name="40% - Accent4 5 2" xfId="4504" hidden="1"/>
    <cellStyle name="40% - Accent4 5 2" xfId="3742" hidden="1"/>
    <cellStyle name="40% - Accent4 5 2" xfId="2177" hidden="1"/>
    <cellStyle name="40% - Accent4 5 2" xfId="686" hidden="1"/>
    <cellStyle name="40% - Accent4 5 2" xfId="28356" hidden="1"/>
    <cellStyle name="40% - Accent4 5 2" xfId="28471" hidden="1"/>
    <cellStyle name="40% - Accent4 5 2" xfId="29194" hidden="1"/>
    <cellStyle name="40% - Accent4 5 2" xfId="29367" hidden="1"/>
    <cellStyle name="40% - Accent4 5 2" xfId="29760" hidden="1"/>
    <cellStyle name="40% - Accent4 5 2" xfId="29908" hidden="1"/>
    <cellStyle name="40% - Accent4 5 2" xfId="30246" hidden="1"/>
    <cellStyle name="40% - Accent4 5 2" xfId="30583" hidden="1"/>
    <cellStyle name="40% - Accent4 5 2" xfId="31148" hidden="1"/>
    <cellStyle name="40% - Accent4 5 2" xfId="31263" hidden="1"/>
    <cellStyle name="40% - Accent4 5 2" xfId="31986" hidden="1"/>
    <cellStyle name="40% - Accent4 5 2" xfId="32159" hidden="1"/>
    <cellStyle name="40% - Accent4 5 2" xfId="32552" hidden="1"/>
    <cellStyle name="40% - Accent4 5 2" xfId="32700" hidden="1"/>
    <cellStyle name="40% - Accent4 5 2" xfId="33038" hidden="1"/>
    <cellStyle name="40% - Accent4 5 2" xfId="33375" hidden="1"/>
    <cellStyle name="40% - Accent4 7" xfId="131" hidden="1"/>
    <cellStyle name="40% - Accent4 7" xfId="228" hidden="1"/>
    <cellStyle name="40% - Accent4 7" xfId="308" hidden="1"/>
    <cellStyle name="40% - Accent4 7" xfId="607" hidden="1"/>
    <cellStyle name="40% - Accent4 7" xfId="2384" hidden="1"/>
    <cellStyle name="40% - Accent4 7" xfId="2527" hidden="1"/>
    <cellStyle name="40% - Accent4 7" xfId="2700" hidden="1"/>
    <cellStyle name="40% - Accent4 7" xfId="2032" hidden="1"/>
    <cellStyle name="40% - Accent4 7" xfId="3086" hidden="1"/>
    <cellStyle name="40% - Accent4 7" xfId="2044" hidden="1"/>
    <cellStyle name="40% - Accent4 7" xfId="1700" hidden="1"/>
    <cellStyle name="40% - Accent4 7" xfId="4554" hidden="1"/>
    <cellStyle name="40% - Accent4 7" xfId="4708" hidden="1"/>
    <cellStyle name="40% - Accent4 7" xfId="2088" hidden="1"/>
    <cellStyle name="40% - Accent4 7" xfId="4942" hidden="1"/>
    <cellStyle name="40% - Accent4 7" xfId="3798" hidden="1"/>
    <cellStyle name="40% - Accent4 7" xfId="1854" hidden="1"/>
    <cellStyle name="40% - Accent4 7" xfId="6435" hidden="1"/>
    <cellStyle name="40% - Accent4 7" xfId="6631" hidden="1"/>
    <cellStyle name="40% - Accent4 7" xfId="4896" hidden="1"/>
    <cellStyle name="40% - Accent4 7" xfId="7634" hidden="1"/>
    <cellStyle name="40% - Accent4 7" xfId="7816" hidden="1"/>
    <cellStyle name="40% - Accent4 7" xfId="3836" hidden="1"/>
    <cellStyle name="40% - Accent4 7" xfId="8903" hidden="1"/>
    <cellStyle name="40% - Accent4 7" xfId="9822" hidden="1"/>
    <cellStyle name="40% - Accent4 7" xfId="9913" hidden="1"/>
    <cellStyle name="40% - Accent4 7" xfId="9990" hidden="1"/>
    <cellStyle name="40% - Accent4 7" xfId="10068" hidden="1"/>
    <cellStyle name="40% - Accent4 7" xfId="10652" hidden="1"/>
    <cellStyle name="40% - Accent4 7" xfId="10729" hidden="1"/>
    <cellStyle name="40% - Accent4 7" xfId="10808" hidden="1"/>
    <cellStyle name="40% - Accent4 7" xfId="10500" hidden="1"/>
    <cellStyle name="40% - Accent4 7" xfId="10917" hidden="1"/>
    <cellStyle name="40% - Accent4 7" xfId="10510" hidden="1"/>
    <cellStyle name="40% - Accent4 7" xfId="10381" hidden="1"/>
    <cellStyle name="40% - Accent4 7" xfId="11324" hidden="1"/>
    <cellStyle name="40% - Accent4 7" xfId="11402" hidden="1"/>
    <cellStyle name="40% - Accent4 7" xfId="10546" hidden="1"/>
    <cellStyle name="40% - Accent4 7" xfId="11497" hidden="1"/>
    <cellStyle name="40% - Accent4 7" xfId="11082" hidden="1"/>
    <cellStyle name="40% - Accent4 7" xfId="10431" hidden="1"/>
    <cellStyle name="40% - Accent4 7" xfId="11856" hidden="1"/>
    <cellStyle name="40% - Accent4 7" xfId="11934" hidden="1"/>
    <cellStyle name="40% - Accent4 7" xfId="11485" hidden="1"/>
    <cellStyle name="40% - Accent4 7" xfId="12193" hidden="1"/>
    <cellStyle name="40% - Accent4 7" xfId="12271" hidden="1"/>
    <cellStyle name="40% - Accent4 7" xfId="11103" hidden="1"/>
    <cellStyle name="40% - Accent4 7" xfId="12530" hidden="1"/>
    <cellStyle name="40% - Accent4 7" xfId="12614" hidden="1"/>
    <cellStyle name="40% - Accent4 7" xfId="12705" hidden="1"/>
    <cellStyle name="40% - Accent4 7" xfId="12782" hidden="1"/>
    <cellStyle name="40% - Accent4 7" xfId="12860" hidden="1"/>
    <cellStyle name="40% - Accent4 7" xfId="13444" hidden="1"/>
    <cellStyle name="40% - Accent4 7" xfId="13521" hidden="1"/>
    <cellStyle name="40% - Accent4 7" xfId="13600" hidden="1"/>
    <cellStyle name="40% - Accent4 7" xfId="13292" hidden="1"/>
    <cellStyle name="40% - Accent4 7" xfId="13709" hidden="1"/>
    <cellStyle name="40% - Accent4 7" xfId="13302" hidden="1"/>
    <cellStyle name="40% - Accent4 7" xfId="13173" hidden="1"/>
    <cellStyle name="40% - Accent4 7" xfId="14116" hidden="1"/>
    <cellStyle name="40% - Accent4 7" xfId="14194" hidden="1"/>
    <cellStyle name="40% - Accent4 7" xfId="13338" hidden="1"/>
    <cellStyle name="40% - Accent4 7" xfId="14289" hidden="1"/>
    <cellStyle name="40% - Accent4 7" xfId="13874" hidden="1"/>
    <cellStyle name="40% - Accent4 7" xfId="13223" hidden="1"/>
    <cellStyle name="40% - Accent4 7" xfId="14648" hidden="1"/>
    <cellStyle name="40% - Accent4 7" xfId="14726" hidden="1"/>
    <cellStyle name="40% - Accent4 7" xfId="14277" hidden="1"/>
    <cellStyle name="40% - Accent4 7" xfId="14985" hidden="1"/>
    <cellStyle name="40% - Accent4 7" xfId="15063" hidden="1"/>
    <cellStyle name="40% - Accent4 7" xfId="13895" hidden="1"/>
    <cellStyle name="40% - Accent4 7" xfId="15322" hidden="1"/>
    <cellStyle name="40% - Accent4 7" xfId="9639" hidden="1"/>
    <cellStyle name="40% - Accent4 7" xfId="9514" hidden="1"/>
    <cellStyle name="40% - Accent4 7" xfId="9398" hidden="1"/>
    <cellStyle name="40% - Accent4 7" xfId="9289" hidden="1"/>
    <cellStyle name="40% - Accent4 7" xfId="7023" hidden="1"/>
    <cellStyle name="40% - Accent4 7" xfId="6933" hidden="1"/>
    <cellStyle name="40% - Accent4 7" xfId="6841" hidden="1"/>
    <cellStyle name="40% - Accent4 7" xfId="7567" hidden="1"/>
    <cellStyle name="40% - Accent4 7" xfId="6427" hidden="1"/>
    <cellStyle name="40% - Accent4 7" xfId="7489" hidden="1"/>
    <cellStyle name="40% - Accent4 7" xfId="8045" hidden="1"/>
    <cellStyle name="40% - Accent4 7" xfId="4732" hidden="1"/>
    <cellStyle name="40% - Accent4 7" xfId="4540" hidden="1"/>
    <cellStyle name="40% - Accent4 7" xfId="7411" hidden="1"/>
    <cellStyle name="40% - Accent4 7" xfId="4258" hidden="1"/>
    <cellStyle name="40% - Accent4 7" xfId="5698" hidden="1"/>
    <cellStyle name="40% - Accent4 7" xfId="7877" hidden="1"/>
    <cellStyle name="40% - Accent4 7" xfId="2573" hidden="1"/>
    <cellStyle name="40% - Accent4 7" xfId="2378" hidden="1"/>
    <cellStyle name="40% - Accent4 7" xfId="4278" hidden="1"/>
    <cellStyle name="40% - Accent4 7" xfId="1244" hidden="1"/>
    <cellStyle name="40% - Accent4 7" xfId="1073" hidden="1"/>
    <cellStyle name="40% - Accent4 7" xfId="5634" hidden="1"/>
    <cellStyle name="40% - Accent4 7" xfId="15487" hidden="1"/>
    <cellStyle name="40% - Accent4 7" xfId="16163" hidden="1"/>
    <cellStyle name="40% - Accent4 7" xfId="16254" hidden="1"/>
    <cellStyle name="40% - Accent4 7" xfId="16331" hidden="1"/>
    <cellStyle name="40% - Accent4 7" xfId="16409" hidden="1"/>
    <cellStyle name="40% - Accent4 7" xfId="16993" hidden="1"/>
    <cellStyle name="40% - Accent4 7" xfId="17070" hidden="1"/>
    <cellStyle name="40% - Accent4 7" xfId="17149" hidden="1"/>
    <cellStyle name="40% - Accent4 7" xfId="16841" hidden="1"/>
    <cellStyle name="40% - Accent4 7" xfId="17258" hidden="1"/>
    <cellStyle name="40% - Accent4 7" xfId="16851" hidden="1"/>
    <cellStyle name="40% - Accent4 7" xfId="16722" hidden="1"/>
    <cellStyle name="40% - Accent4 7" xfId="17665" hidden="1"/>
    <cellStyle name="40% - Accent4 7" xfId="17743" hidden="1"/>
    <cellStyle name="40% - Accent4 7" xfId="16887" hidden="1"/>
    <cellStyle name="40% - Accent4 7" xfId="17838" hidden="1"/>
    <cellStyle name="40% - Accent4 7" xfId="17423" hidden="1"/>
    <cellStyle name="40% - Accent4 7" xfId="16772" hidden="1"/>
    <cellStyle name="40% - Accent4 7" xfId="18197" hidden="1"/>
    <cellStyle name="40% - Accent4 7" xfId="18275" hidden="1"/>
    <cellStyle name="40% - Accent4 7" xfId="17826" hidden="1"/>
    <cellStyle name="40% - Accent4 7" xfId="18534" hidden="1"/>
    <cellStyle name="40% - Accent4 7" xfId="18612" hidden="1"/>
    <cellStyle name="40% - Accent4 7" xfId="17444" hidden="1"/>
    <cellStyle name="40% - Accent4 7" xfId="18871" hidden="1"/>
    <cellStyle name="40% - Accent4 7" xfId="18955" hidden="1"/>
    <cellStyle name="40% - Accent4 7" xfId="19046" hidden="1"/>
    <cellStyle name="40% - Accent4 7" xfId="19123" hidden="1"/>
    <cellStyle name="40% - Accent4 7" xfId="19201" hidden="1"/>
    <cellStyle name="40% - Accent4 7" xfId="19785" hidden="1"/>
    <cellStyle name="40% - Accent4 7" xfId="19862" hidden="1"/>
    <cellStyle name="40% - Accent4 7" xfId="19941" hidden="1"/>
    <cellStyle name="40% - Accent4 7" xfId="19633" hidden="1"/>
    <cellStyle name="40% - Accent4 7" xfId="20050" hidden="1"/>
    <cellStyle name="40% - Accent4 7" xfId="19643" hidden="1"/>
    <cellStyle name="40% - Accent4 7" xfId="19514" hidden="1"/>
    <cellStyle name="40% - Accent4 7" xfId="20457" hidden="1"/>
    <cellStyle name="40% - Accent4 7" xfId="20535" hidden="1"/>
    <cellStyle name="40% - Accent4 7" xfId="19679" hidden="1"/>
    <cellStyle name="40% - Accent4 7" xfId="20630" hidden="1"/>
    <cellStyle name="40% - Accent4 7" xfId="20215" hidden="1"/>
    <cellStyle name="40% - Accent4 7" xfId="19564" hidden="1"/>
    <cellStyle name="40% - Accent4 7" xfId="20989" hidden="1"/>
    <cellStyle name="40% - Accent4 7" xfId="21067" hidden="1"/>
    <cellStyle name="40% - Accent4 7" xfId="20618" hidden="1"/>
    <cellStyle name="40% - Accent4 7" xfId="21326" hidden="1"/>
    <cellStyle name="40% - Accent4 7" xfId="21404" hidden="1"/>
    <cellStyle name="40% - Accent4 7" xfId="20236" hidden="1"/>
    <cellStyle name="40% - Accent4 7" xfId="21663" hidden="1"/>
    <cellStyle name="40% - Accent4 7" xfId="16028" hidden="1"/>
    <cellStyle name="40% - Accent4 7" xfId="15937" hidden="1"/>
    <cellStyle name="40% - Accent4 7" xfId="15858" hidden="1"/>
    <cellStyle name="40% - Accent4 7" xfId="15774" hidden="1"/>
    <cellStyle name="40% - Accent4 7" xfId="8015" hidden="1"/>
    <cellStyle name="40% - Accent4 7" xfId="7821" hidden="1"/>
    <cellStyle name="40% - Accent4 7" xfId="7590" hidden="1"/>
    <cellStyle name="40% - Accent4 7" xfId="8465" hidden="1"/>
    <cellStyle name="40% - Accent4 7" xfId="7165" hidden="1"/>
    <cellStyle name="40% - Accent4 7" xfId="8430" hidden="1"/>
    <cellStyle name="40% - Accent4 7" xfId="8997" hidden="1"/>
    <cellStyle name="40% - Accent4 7" xfId="5125" hidden="1"/>
    <cellStyle name="40% - Accent4 7" xfId="5020" hidden="1"/>
    <cellStyle name="40% - Accent4 7" xfId="8261" hidden="1"/>
    <cellStyle name="40% - Accent4 7" xfId="4753" hidden="1"/>
    <cellStyle name="40% - Accent4 7" xfId="6193" hidden="1"/>
    <cellStyle name="40% - Accent4 7" xfId="8728" hidden="1"/>
    <cellStyle name="40% - Accent4 7" xfId="2936" hidden="1"/>
    <cellStyle name="40% - Accent4 7" xfId="2815" hidden="1"/>
    <cellStyle name="40% - Accent4 7" xfId="4895" hidden="1"/>
    <cellStyle name="40% - Accent4 7" xfId="1427" hidden="1"/>
    <cellStyle name="40% - Accent4 7" xfId="1169" hidden="1"/>
    <cellStyle name="40% - Accent4 7" xfId="6145" hidden="1"/>
    <cellStyle name="40% - Accent4 7" xfId="21801" hidden="1"/>
    <cellStyle name="40% - Accent4 7" xfId="22314" hidden="1"/>
    <cellStyle name="40% - Accent4 7" xfId="22405" hidden="1"/>
    <cellStyle name="40% - Accent4 7" xfId="22482" hidden="1"/>
    <cellStyle name="40% - Accent4 7" xfId="22560" hidden="1"/>
    <cellStyle name="40% - Accent4 7" xfId="23144" hidden="1"/>
    <cellStyle name="40% - Accent4 7" xfId="23221" hidden="1"/>
    <cellStyle name="40% - Accent4 7" xfId="23300" hidden="1"/>
    <cellStyle name="40% - Accent4 7" xfId="22992" hidden="1"/>
    <cellStyle name="40% - Accent4 7" xfId="23409" hidden="1"/>
    <cellStyle name="40% - Accent4 7" xfId="23002" hidden="1"/>
    <cellStyle name="40% - Accent4 7" xfId="22873" hidden="1"/>
    <cellStyle name="40% - Accent4 7" xfId="23816" hidden="1"/>
    <cellStyle name="40% - Accent4 7" xfId="23894" hidden="1"/>
    <cellStyle name="40% - Accent4 7" xfId="23038" hidden="1"/>
    <cellStyle name="40% - Accent4 7" xfId="23989" hidden="1"/>
    <cellStyle name="40% - Accent4 7" xfId="23574" hidden="1"/>
    <cellStyle name="40% - Accent4 7" xfId="22923" hidden="1"/>
    <cellStyle name="40% - Accent4 7" xfId="24348" hidden="1"/>
    <cellStyle name="40% - Accent4 7" xfId="24426" hidden="1"/>
    <cellStyle name="40% - Accent4 7" xfId="23977" hidden="1"/>
    <cellStyle name="40% - Accent4 7" xfId="24685" hidden="1"/>
    <cellStyle name="40% - Accent4 7" xfId="24763" hidden="1"/>
    <cellStyle name="40% - Accent4 7" xfId="23595" hidden="1"/>
    <cellStyle name="40% - Accent4 7" xfId="25022" hidden="1"/>
    <cellStyle name="40% - Accent4 7" xfId="25106" hidden="1"/>
    <cellStyle name="40% - Accent4 7" xfId="25197" hidden="1"/>
    <cellStyle name="40% - Accent4 7" xfId="25274" hidden="1"/>
    <cellStyle name="40% - Accent4 7" xfId="25352" hidden="1"/>
    <cellStyle name="40% - Accent4 7" xfId="25936" hidden="1"/>
    <cellStyle name="40% - Accent4 7" xfId="26013" hidden="1"/>
    <cellStyle name="40% - Accent4 7" xfId="26092" hidden="1"/>
    <cellStyle name="40% - Accent4 7" xfId="25784" hidden="1"/>
    <cellStyle name="40% - Accent4 7" xfId="26201" hidden="1"/>
    <cellStyle name="40% - Accent4 7" xfId="25794" hidden="1"/>
    <cellStyle name="40% - Accent4 7" xfId="25665" hidden="1"/>
    <cellStyle name="40% - Accent4 7" xfId="26608" hidden="1"/>
    <cellStyle name="40% - Accent4 7" xfId="26686" hidden="1"/>
    <cellStyle name="40% - Accent4 7" xfId="25830" hidden="1"/>
    <cellStyle name="40% - Accent4 7" xfId="26781" hidden="1"/>
    <cellStyle name="40% - Accent4 7" xfId="26366" hidden="1"/>
    <cellStyle name="40% - Accent4 7" xfId="25715" hidden="1"/>
    <cellStyle name="40% - Accent4 7" xfId="27140" hidden="1"/>
    <cellStyle name="40% - Accent4 7" xfId="27218" hidden="1"/>
    <cellStyle name="40% - Accent4 7" xfId="26769" hidden="1"/>
    <cellStyle name="40% - Accent4 7" xfId="27477" hidden="1"/>
    <cellStyle name="40% - Accent4 7" xfId="27555" hidden="1"/>
    <cellStyle name="40% - Accent4 7" xfId="26387" hidden="1"/>
    <cellStyle name="40% - Accent4 7" xfId="27814" hidden="1"/>
    <cellStyle name="40% - Accent4 7" xfId="22281" hidden="1"/>
    <cellStyle name="40% - Accent4 7" xfId="22190" hidden="1"/>
    <cellStyle name="40% - Accent4 7" xfId="22111" hidden="1"/>
    <cellStyle name="40% - Accent4 7" xfId="22027" hidden="1"/>
    <cellStyle name="40% - Accent4 7" xfId="8941" hidden="1"/>
    <cellStyle name="40% - Accent4 7" xfId="8716" hidden="1"/>
    <cellStyle name="40% - Accent4 7" xfId="8478" hidden="1"/>
    <cellStyle name="40% - Accent4 7" xfId="9517" hidden="1"/>
    <cellStyle name="40% - Accent4 7" xfId="8090" hidden="1"/>
    <cellStyle name="40% - Accent4 7" xfId="9481" hidden="1"/>
    <cellStyle name="40% - Accent4 7" xfId="15561" hidden="1"/>
    <cellStyle name="40% - Accent4 7" xfId="5631" hidden="1"/>
    <cellStyle name="40% - Accent4 7" xfId="5534" hidden="1"/>
    <cellStyle name="40% - Accent4 7" xfId="9372" hidden="1"/>
    <cellStyle name="40% - Accent4 7" xfId="5134" hidden="1"/>
    <cellStyle name="40% - Accent4 7" xfId="6747" hidden="1"/>
    <cellStyle name="40% - Accent4 7" xfId="9792" hidden="1"/>
    <cellStyle name="40% - Accent4 7" xfId="3304" hidden="1"/>
    <cellStyle name="40% - Accent4 7" xfId="3095" hidden="1"/>
    <cellStyle name="40% - Accent4 7" xfId="5328" hidden="1"/>
    <cellStyle name="40% - Accent4 7" xfId="1578" hidden="1"/>
    <cellStyle name="40% - Accent4 7" xfId="1332" hidden="1"/>
    <cellStyle name="40% - Accent4 7" xfId="6702" hidden="1"/>
    <cellStyle name="40% - Accent4 7" xfId="27949" hidden="1"/>
    <cellStyle name="40% - Accent4 7" xfId="28033" hidden="1"/>
    <cellStyle name="40% - Accent4 7" xfId="28124" hidden="1"/>
    <cellStyle name="40% - Accent4 7" xfId="28201" hidden="1"/>
    <cellStyle name="40% - Accent4 7" xfId="28279" hidden="1"/>
    <cellStyle name="40% - Accent4 7" xfId="28863" hidden="1"/>
    <cellStyle name="40% - Accent4 7" xfId="28940" hidden="1"/>
    <cellStyle name="40% - Accent4 7" xfId="29019" hidden="1"/>
    <cellStyle name="40% - Accent4 7" xfId="28711" hidden="1"/>
    <cellStyle name="40% - Accent4 7" xfId="29128" hidden="1"/>
    <cellStyle name="40% - Accent4 7" xfId="28721" hidden="1"/>
    <cellStyle name="40% - Accent4 7" xfId="28592" hidden="1"/>
    <cellStyle name="40% - Accent4 7" xfId="29535" hidden="1"/>
    <cellStyle name="40% - Accent4 7" xfId="29613" hidden="1"/>
    <cellStyle name="40% - Accent4 7" xfId="28757" hidden="1"/>
    <cellStyle name="40% - Accent4 7" xfId="29708" hidden="1"/>
    <cellStyle name="40% - Accent4 7" xfId="29293" hidden="1"/>
    <cellStyle name="40% - Accent4 7" xfId="28642" hidden="1"/>
    <cellStyle name="40% - Accent4 7" xfId="30067" hidden="1"/>
    <cellStyle name="40% - Accent4 7" xfId="30145" hidden="1"/>
    <cellStyle name="40% - Accent4 7" xfId="29696" hidden="1"/>
    <cellStyle name="40% - Accent4 7" xfId="30404" hidden="1"/>
    <cellStyle name="40% - Accent4 7" xfId="30482" hidden="1"/>
    <cellStyle name="40% - Accent4 7" xfId="29314" hidden="1"/>
    <cellStyle name="40% - Accent4 7" xfId="30741" hidden="1"/>
    <cellStyle name="40% - Accent4 7" xfId="30825" hidden="1"/>
    <cellStyle name="40% - Accent4 7" xfId="30916" hidden="1"/>
    <cellStyle name="40% - Accent4 7" xfId="30993" hidden="1"/>
    <cellStyle name="40% - Accent4 7" xfId="31071" hidden="1"/>
    <cellStyle name="40% - Accent4 7" xfId="31655" hidden="1"/>
    <cellStyle name="40% - Accent4 7" xfId="31732" hidden="1"/>
    <cellStyle name="40% - Accent4 7" xfId="31811" hidden="1"/>
    <cellStyle name="40% - Accent4 7" xfId="31503" hidden="1"/>
    <cellStyle name="40% - Accent4 7" xfId="31920" hidden="1"/>
    <cellStyle name="40% - Accent4 7" xfId="31513" hidden="1"/>
    <cellStyle name="40% - Accent4 7" xfId="31384" hidden="1"/>
    <cellStyle name="40% - Accent4 7" xfId="32327" hidden="1"/>
    <cellStyle name="40% - Accent4 7" xfId="32405" hidden="1"/>
    <cellStyle name="40% - Accent4 7" xfId="31549" hidden="1"/>
    <cellStyle name="40% - Accent4 7" xfId="32500" hidden="1"/>
    <cellStyle name="40% - Accent4 7" xfId="32085" hidden="1"/>
    <cellStyle name="40% - Accent4 7" xfId="31434" hidden="1"/>
    <cellStyle name="40% - Accent4 7" xfId="32859" hidden="1"/>
    <cellStyle name="40% - Accent4 7" xfId="32937" hidden="1"/>
    <cellStyle name="40% - Accent4 7" xfId="32488" hidden="1"/>
    <cellStyle name="40% - Accent4 7" xfId="33196" hidden="1"/>
    <cellStyle name="40% - Accent4 7" xfId="33274" hidden="1"/>
    <cellStyle name="40% - Accent4 7" xfId="32106" hidden="1"/>
    <cellStyle name="40% - Accent4 7" xfId="33533" hidden="1"/>
    <cellStyle name="40% - Accent4 8" xfId="147" hidden="1"/>
    <cellStyle name="40% - Accent4 8" xfId="219" hidden="1"/>
    <cellStyle name="40% - Accent4 8" xfId="300" hidden="1"/>
    <cellStyle name="40% - Accent4 8" xfId="541" hidden="1"/>
    <cellStyle name="40% - Accent4 8" xfId="2360" hidden="1"/>
    <cellStyle name="40% - Accent4 8" xfId="2493" hidden="1"/>
    <cellStyle name="40% - Accent4 8" xfId="2649" hidden="1"/>
    <cellStyle name="40% - Accent4 8" xfId="1683" hidden="1"/>
    <cellStyle name="40% - Accent4 8" xfId="2853" hidden="1"/>
    <cellStyle name="40% - Accent4 8" xfId="2233" hidden="1"/>
    <cellStyle name="40% - Accent4 8" xfId="1903" hidden="1"/>
    <cellStyle name="40% - Accent4 8" xfId="4521" hidden="1"/>
    <cellStyle name="40% - Accent4 8" xfId="4676" hidden="1"/>
    <cellStyle name="40% - Accent4 8" xfId="1862" hidden="1"/>
    <cellStyle name="40% - Accent4 8" xfId="4835" hidden="1"/>
    <cellStyle name="40% - Accent4 8" xfId="4274" hidden="1"/>
    <cellStyle name="40% - Accent4 8" xfId="4233" hidden="1"/>
    <cellStyle name="40% - Accent4 8" xfId="6417" hidden="1"/>
    <cellStyle name="40% - Accent4 8" xfId="6608" hidden="1"/>
    <cellStyle name="40% - Accent4 8" xfId="6721" hidden="1"/>
    <cellStyle name="40% - Accent4 8" xfId="7611" hidden="1"/>
    <cellStyle name="40% - Accent4 8" xfId="7783" hidden="1"/>
    <cellStyle name="40% - Accent4 8" xfId="7909" hidden="1"/>
    <cellStyle name="40% - Accent4 8" xfId="8868" hidden="1"/>
    <cellStyle name="40% - Accent4 8" xfId="9838" hidden="1"/>
    <cellStyle name="40% - Accent4 8" xfId="9904" hidden="1"/>
    <cellStyle name="40% - Accent4 8" xfId="9982" hidden="1"/>
    <cellStyle name="40% - Accent4 8" xfId="10060" hidden="1"/>
    <cellStyle name="40% - Accent4 8" xfId="10642" hidden="1"/>
    <cellStyle name="40% - Accent4 8" xfId="10721" hidden="1"/>
    <cellStyle name="40% - Accent4 8" xfId="10800" hidden="1"/>
    <cellStyle name="40% - Accent4 8" xfId="10374" hidden="1"/>
    <cellStyle name="40% - Accent4 8" xfId="10876" hidden="1"/>
    <cellStyle name="40% - Accent4 8" xfId="10582" hidden="1"/>
    <cellStyle name="40% - Accent4 8" xfId="10472" hidden="1"/>
    <cellStyle name="40% - Accent4 8" xfId="11316" hidden="1"/>
    <cellStyle name="40% - Accent4 8" xfId="11394" hidden="1"/>
    <cellStyle name="40% - Accent4 8" xfId="10437" hidden="1"/>
    <cellStyle name="40% - Accent4 8" xfId="11465" hidden="1"/>
    <cellStyle name="40% - Accent4 8" xfId="11243" hidden="1"/>
    <cellStyle name="40% - Accent4 8" xfId="11235" hidden="1"/>
    <cellStyle name="40% - Accent4 8" xfId="11848" hidden="1"/>
    <cellStyle name="40% - Accent4 8" xfId="11926" hidden="1"/>
    <cellStyle name="40% - Accent4 8" xfId="11991" hidden="1"/>
    <cellStyle name="40% - Accent4 8" xfId="12185" hidden="1"/>
    <cellStyle name="40% - Accent4 8" xfId="12263" hidden="1"/>
    <cellStyle name="40% - Accent4 8" xfId="12328" hidden="1"/>
    <cellStyle name="40% - Accent4 8" xfId="12522" hidden="1"/>
    <cellStyle name="40% - Accent4 8" xfId="12630" hidden="1"/>
    <cellStyle name="40% - Accent4 8" xfId="12696" hidden="1"/>
    <cellStyle name="40% - Accent4 8" xfId="12774" hidden="1"/>
    <cellStyle name="40% - Accent4 8" xfId="12852" hidden="1"/>
    <cellStyle name="40% - Accent4 8" xfId="13434" hidden="1"/>
    <cellStyle name="40% - Accent4 8" xfId="13513" hidden="1"/>
    <cellStyle name="40% - Accent4 8" xfId="13592" hidden="1"/>
    <cellStyle name="40% - Accent4 8" xfId="13166" hidden="1"/>
    <cellStyle name="40% - Accent4 8" xfId="13668" hidden="1"/>
    <cellStyle name="40% - Accent4 8" xfId="13374" hidden="1"/>
    <cellStyle name="40% - Accent4 8" xfId="13264" hidden="1"/>
    <cellStyle name="40% - Accent4 8" xfId="14108" hidden="1"/>
    <cellStyle name="40% - Accent4 8" xfId="14186" hidden="1"/>
    <cellStyle name="40% - Accent4 8" xfId="13229" hidden="1"/>
    <cellStyle name="40% - Accent4 8" xfId="14257" hidden="1"/>
    <cellStyle name="40% - Accent4 8" xfId="14035" hidden="1"/>
    <cellStyle name="40% - Accent4 8" xfId="14027" hidden="1"/>
    <cellStyle name="40% - Accent4 8" xfId="14640" hidden="1"/>
    <cellStyle name="40% - Accent4 8" xfId="14718" hidden="1"/>
    <cellStyle name="40% - Accent4 8" xfId="14783" hidden="1"/>
    <cellStyle name="40% - Accent4 8" xfId="14977" hidden="1"/>
    <cellStyle name="40% - Accent4 8" xfId="15055" hidden="1"/>
    <cellStyle name="40% - Accent4 8" xfId="15120" hidden="1"/>
    <cellStyle name="40% - Accent4 8" xfId="15314" hidden="1"/>
    <cellStyle name="40% - Accent4 8" xfId="9622" hidden="1"/>
    <cellStyle name="40% - Accent4 8" xfId="9535" hidden="1"/>
    <cellStyle name="40% - Accent4 8" xfId="9415" hidden="1"/>
    <cellStyle name="40% - Accent4 8" xfId="9306" hidden="1"/>
    <cellStyle name="40% - Accent4 8" xfId="7041" hidden="1"/>
    <cellStyle name="40% - Accent4 8" xfId="6944" hidden="1"/>
    <cellStyle name="40% - Accent4 8" xfId="6854" hidden="1"/>
    <cellStyle name="40% - Accent4 8" xfId="8068" hidden="1"/>
    <cellStyle name="40% - Accent4 8" xfId="6738" hidden="1"/>
    <cellStyle name="40% - Accent4 8" xfId="7335" hidden="1"/>
    <cellStyle name="40% - Accent4 8" xfId="7651" hidden="1"/>
    <cellStyle name="40% - Accent4 8" xfId="4788" hidden="1"/>
    <cellStyle name="40% - Accent4 8" xfId="4568" hidden="1"/>
    <cellStyle name="40% - Accent4 8" xfId="7825" hidden="1"/>
    <cellStyle name="40% - Accent4 8" xfId="4303" hidden="1"/>
    <cellStyle name="40% - Accent4 8" xfId="4946" hidden="1"/>
    <cellStyle name="40% - Accent4 8" xfId="5104" hidden="1"/>
    <cellStyle name="40% - Accent4 8" xfId="2618" hidden="1"/>
    <cellStyle name="40% - Accent4 8" xfId="2408" hidden="1"/>
    <cellStyle name="40% - Accent4 8" xfId="2295" hidden="1"/>
    <cellStyle name="40% - Accent4 8" xfId="1281" hidden="1"/>
    <cellStyle name="40% - Accent4 8" xfId="1105" hidden="1"/>
    <cellStyle name="40% - Accent4 8" xfId="908" hidden="1"/>
    <cellStyle name="40% - Accent4 8" xfId="15472" hidden="1"/>
    <cellStyle name="40% - Accent4 8" xfId="16179" hidden="1"/>
    <cellStyle name="40% - Accent4 8" xfId="16245" hidden="1"/>
    <cellStyle name="40% - Accent4 8" xfId="16323" hidden="1"/>
    <cellStyle name="40% - Accent4 8" xfId="16401" hidden="1"/>
    <cellStyle name="40% - Accent4 8" xfId="16983" hidden="1"/>
    <cellStyle name="40% - Accent4 8" xfId="17062" hidden="1"/>
    <cellStyle name="40% - Accent4 8" xfId="17141" hidden="1"/>
    <cellStyle name="40% - Accent4 8" xfId="16715" hidden="1"/>
    <cellStyle name="40% - Accent4 8" xfId="17217" hidden="1"/>
    <cellStyle name="40% - Accent4 8" xfId="16923" hidden="1"/>
    <cellStyle name="40% - Accent4 8" xfId="16813" hidden="1"/>
    <cellStyle name="40% - Accent4 8" xfId="17657" hidden="1"/>
    <cellStyle name="40% - Accent4 8" xfId="17735" hidden="1"/>
    <cellStyle name="40% - Accent4 8" xfId="16778" hidden="1"/>
    <cellStyle name="40% - Accent4 8" xfId="17806" hidden="1"/>
    <cellStyle name="40% - Accent4 8" xfId="17584" hidden="1"/>
    <cellStyle name="40% - Accent4 8" xfId="17576" hidden="1"/>
    <cellStyle name="40% - Accent4 8" xfId="18189" hidden="1"/>
    <cellStyle name="40% - Accent4 8" xfId="18267" hidden="1"/>
    <cellStyle name="40% - Accent4 8" xfId="18332" hidden="1"/>
    <cellStyle name="40% - Accent4 8" xfId="18526" hidden="1"/>
    <cellStyle name="40% - Accent4 8" xfId="18604" hidden="1"/>
    <cellStyle name="40% - Accent4 8" xfId="18669" hidden="1"/>
    <cellStyle name="40% - Accent4 8" xfId="18863" hidden="1"/>
    <cellStyle name="40% - Accent4 8" xfId="18971" hidden="1"/>
    <cellStyle name="40% - Accent4 8" xfId="19037" hidden="1"/>
    <cellStyle name="40% - Accent4 8" xfId="19115" hidden="1"/>
    <cellStyle name="40% - Accent4 8" xfId="19193" hidden="1"/>
    <cellStyle name="40% - Accent4 8" xfId="19775" hidden="1"/>
    <cellStyle name="40% - Accent4 8" xfId="19854" hidden="1"/>
    <cellStyle name="40% - Accent4 8" xfId="19933" hidden="1"/>
    <cellStyle name="40% - Accent4 8" xfId="19507" hidden="1"/>
    <cellStyle name="40% - Accent4 8" xfId="20009" hidden="1"/>
    <cellStyle name="40% - Accent4 8" xfId="19715" hidden="1"/>
    <cellStyle name="40% - Accent4 8" xfId="19605" hidden="1"/>
    <cellStyle name="40% - Accent4 8" xfId="20449" hidden="1"/>
    <cellStyle name="40% - Accent4 8" xfId="20527" hidden="1"/>
    <cellStyle name="40% - Accent4 8" xfId="19570" hidden="1"/>
    <cellStyle name="40% - Accent4 8" xfId="20598" hidden="1"/>
    <cellStyle name="40% - Accent4 8" xfId="20376" hidden="1"/>
    <cellStyle name="40% - Accent4 8" xfId="20368" hidden="1"/>
    <cellStyle name="40% - Accent4 8" xfId="20981" hidden="1"/>
    <cellStyle name="40% - Accent4 8" xfId="21059" hidden="1"/>
    <cellStyle name="40% - Accent4 8" xfId="21124" hidden="1"/>
    <cellStyle name="40% - Accent4 8" xfId="21318" hidden="1"/>
    <cellStyle name="40% - Accent4 8" xfId="21396" hidden="1"/>
    <cellStyle name="40% - Accent4 8" xfId="21461" hidden="1"/>
    <cellStyle name="40% - Accent4 8" xfId="21655" hidden="1"/>
    <cellStyle name="40% - Accent4 8" xfId="16012" hidden="1"/>
    <cellStyle name="40% - Accent4 8" xfId="15946" hidden="1"/>
    <cellStyle name="40% - Accent4 8" xfId="15867" hidden="1"/>
    <cellStyle name="40% - Accent4 8" xfId="15784" hidden="1"/>
    <cellStyle name="40% - Accent4 8" xfId="8041" hidden="1"/>
    <cellStyle name="40% - Accent4 8" xfId="7888" hidden="1"/>
    <cellStyle name="40% - Accent4 8" xfId="7619" hidden="1"/>
    <cellStyle name="40% - Accent4 8" xfId="9014" hidden="1"/>
    <cellStyle name="40% - Accent4 8" xfId="7394" hidden="1"/>
    <cellStyle name="40% - Accent4 8" xfId="8186" hidden="1"/>
    <cellStyle name="40% - Accent4 8" xfId="8510" hidden="1"/>
    <cellStyle name="40% - Accent4 8" xfId="5139" hidden="1"/>
    <cellStyle name="40% - Accent4 8" xfId="5037" hidden="1"/>
    <cellStyle name="40% - Accent4 8" xfId="8714" hidden="1"/>
    <cellStyle name="40% - Accent4 8" xfId="4925" hidden="1"/>
    <cellStyle name="40% - Accent4 8" xfId="5466" hidden="1"/>
    <cellStyle name="40% - Accent4 8" xfId="5606" hidden="1"/>
    <cellStyle name="40% - Accent4 8" xfId="2955" hidden="1"/>
    <cellStyle name="40% - Accent4 8" xfId="2829" hidden="1"/>
    <cellStyle name="40% - Accent4 8" xfId="2574" hidden="1"/>
    <cellStyle name="40% - Accent4 8" xfId="1444" hidden="1"/>
    <cellStyle name="40% - Accent4 8" xfId="1235" hidden="1"/>
    <cellStyle name="40% - Accent4 8" xfId="1054" hidden="1"/>
    <cellStyle name="40% - Accent4 8" xfId="21792" hidden="1"/>
    <cellStyle name="40% - Accent4 8" xfId="22330" hidden="1"/>
    <cellStyle name="40% - Accent4 8" xfId="22396" hidden="1"/>
    <cellStyle name="40% - Accent4 8" xfId="22474" hidden="1"/>
    <cellStyle name="40% - Accent4 8" xfId="22552" hidden="1"/>
    <cellStyle name="40% - Accent4 8" xfId="23134" hidden="1"/>
    <cellStyle name="40% - Accent4 8" xfId="23213" hidden="1"/>
    <cellStyle name="40% - Accent4 8" xfId="23292" hidden="1"/>
    <cellStyle name="40% - Accent4 8" xfId="22866" hidden="1"/>
    <cellStyle name="40% - Accent4 8" xfId="23368" hidden="1"/>
    <cellStyle name="40% - Accent4 8" xfId="23074" hidden="1"/>
    <cellStyle name="40% - Accent4 8" xfId="22964" hidden="1"/>
    <cellStyle name="40% - Accent4 8" xfId="23808" hidden="1"/>
    <cellStyle name="40% - Accent4 8" xfId="23886" hidden="1"/>
    <cellStyle name="40% - Accent4 8" xfId="22929" hidden="1"/>
    <cellStyle name="40% - Accent4 8" xfId="23957" hidden="1"/>
    <cellStyle name="40% - Accent4 8" xfId="23735" hidden="1"/>
    <cellStyle name="40% - Accent4 8" xfId="23727" hidden="1"/>
    <cellStyle name="40% - Accent4 8" xfId="24340" hidden="1"/>
    <cellStyle name="40% - Accent4 8" xfId="24418" hidden="1"/>
    <cellStyle name="40% - Accent4 8" xfId="24483" hidden="1"/>
    <cellStyle name="40% - Accent4 8" xfId="24677" hidden="1"/>
    <cellStyle name="40% - Accent4 8" xfId="24755" hidden="1"/>
    <cellStyle name="40% - Accent4 8" xfId="24820" hidden="1"/>
    <cellStyle name="40% - Accent4 8" xfId="25014" hidden="1"/>
    <cellStyle name="40% - Accent4 8" xfId="25122" hidden="1"/>
    <cellStyle name="40% - Accent4 8" xfId="25188" hidden="1"/>
    <cellStyle name="40% - Accent4 8" xfId="25266" hidden="1"/>
    <cellStyle name="40% - Accent4 8" xfId="25344" hidden="1"/>
    <cellStyle name="40% - Accent4 8" xfId="25926" hidden="1"/>
    <cellStyle name="40% - Accent4 8" xfId="26005" hidden="1"/>
    <cellStyle name="40% - Accent4 8" xfId="26084" hidden="1"/>
    <cellStyle name="40% - Accent4 8" xfId="25658" hidden="1"/>
    <cellStyle name="40% - Accent4 8" xfId="26160" hidden="1"/>
    <cellStyle name="40% - Accent4 8" xfId="25866" hidden="1"/>
    <cellStyle name="40% - Accent4 8" xfId="25756" hidden="1"/>
    <cellStyle name="40% - Accent4 8" xfId="26600" hidden="1"/>
    <cellStyle name="40% - Accent4 8" xfId="26678" hidden="1"/>
    <cellStyle name="40% - Accent4 8" xfId="25721" hidden="1"/>
    <cellStyle name="40% - Accent4 8" xfId="26749" hidden="1"/>
    <cellStyle name="40% - Accent4 8" xfId="26527" hidden="1"/>
    <cellStyle name="40% - Accent4 8" xfId="26519" hidden="1"/>
    <cellStyle name="40% - Accent4 8" xfId="27132" hidden="1"/>
    <cellStyle name="40% - Accent4 8" xfId="27210" hidden="1"/>
    <cellStyle name="40% - Accent4 8" xfId="27275" hidden="1"/>
    <cellStyle name="40% - Accent4 8" xfId="27469" hidden="1"/>
    <cellStyle name="40% - Accent4 8" xfId="27547" hidden="1"/>
    <cellStyle name="40% - Accent4 8" xfId="27612" hidden="1"/>
    <cellStyle name="40% - Accent4 8" xfId="27806" hidden="1"/>
    <cellStyle name="40% - Accent4 8" xfId="22265" hidden="1"/>
    <cellStyle name="40% - Accent4 8" xfId="22199" hidden="1"/>
    <cellStyle name="40% - Accent4 8" xfId="22120" hidden="1"/>
    <cellStyle name="40% - Accent4 8" xfId="22037" hidden="1"/>
    <cellStyle name="40% - Accent4 8" xfId="8996" hidden="1"/>
    <cellStyle name="40% - Accent4 8" xfId="8734" hidden="1"/>
    <cellStyle name="40% - Accent4 8" xfId="8496" hidden="1"/>
    <cellStyle name="40% - Accent4 8" xfId="15569" hidden="1"/>
    <cellStyle name="40% - Accent4 8" xfId="8250" hidden="1"/>
    <cellStyle name="40% - Accent4 8" xfId="9212" hidden="1"/>
    <cellStyle name="40% - Accent4 8" xfId="9599" hidden="1"/>
    <cellStyle name="40% - Accent4 8" xfId="5651" hidden="1"/>
    <cellStyle name="40% - Accent4 8" xfId="5547" hidden="1"/>
    <cellStyle name="40% - Accent4 8" xfId="9783" hidden="1"/>
    <cellStyle name="40% - Accent4 8" xfId="5455" hidden="1"/>
    <cellStyle name="40% - Accent4 8" xfId="5901" hidden="1"/>
    <cellStyle name="40% - Accent4 8" xfId="6037" hidden="1"/>
    <cellStyle name="40% - Accent4 8" xfId="3313" hidden="1"/>
    <cellStyle name="40% - Accent4 8" xfId="3111" hidden="1"/>
    <cellStyle name="40% - Accent4 8" xfId="2942" hidden="1"/>
    <cellStyle name="40% - Accent4 8" xfId="1602" hidden="1"/>
    <cellStyle name="40% - Accent4 8" xfId="1426" hidden="1"/>
    <cellStyle name="40% - Accent4 8" xfId="1141" hidden="1"/>
    <cellStyle name="40% - Accent4 8" xfId="27941" hidden="1"/>
    <cellStyle name="40% - Accent4 8" xfId="28049" hidden="1"/>
    <cellStyle name="40% - Accent4 8" xfId="28115" hidden="1"/>
    <cellStyle name="40% - Accent4 8" xfId="28193" hidden="1"/>
    <cellStyle name="40% - Accent4 8" xfId="28271" hidden="1"/>
    <cellStyle name="40% - Accent4 8" xfId="28853" hidden="1"/>
    <cellStyle name="40% - Accent4 8" xfId="28932" hidden="1"/>
    <cellStyle name="40% - Accent4 8" xfId="29011" hidden="1"/>
    <cellStyle name="40% - Accent4 8" xfId="28585" hidden="1"/>
    <cellStyle name="40% - Accent4 8" xfId="29087" hidden="1"/>
    <cellStyle name="40% - Accent4 8" xfId="28793" hidden="1"/>
    <cellStyle name="40% - Accent4 8" xfId="28683" hidden="1"/>
    <cellStyle name="40% - Accent4 8" xfId="29527" hidden="1"/>
    <cellStyle name="40% - Accent4 8" xfId="29605" hidden="1"/>
    <cellStyle name="40% - Accent4 8" xfId="28648" hidden="1"/>
    <cellStyle name="40% - Accent4 8" xfId="29676" hidden="1"/>
    <cellStyle name="40% - Accent4 8" xfId="29454" hidden="1"/>
    <cellStyle name="40% - Accent4 8" xfId="29446" hidden="1"/>
    <cellStyle name="40% - Accent4 8" xfId="30059" hidden="1"/>
    <cellStyle name="40% - Accent4 8" xfId="30137" hidden="1"/>
    <cellStyle name="40% - Accent4 8" xfId="30202" hidden="1"/>
    <cellStyle name="40% - Accent4 8" xfId="30396" hidden="1"/>
    <cellStyle name="40% - Accent4 8" xfId="30474" hidden="1"/>
    <cellStyle name="40% - Accent4 8" xfId="30539" hidden="1"/>
    <cellStyle name="40% - Accent4 8" xfId="30733" hidden="1"/>
    <cellStyle name="40% - Accent4 8" xfId="30841" hidden="1"/>
    <cellStyle name="40% - Accent4 8" xfId="30907" hidden="1"/>
    <cellStyle name="40% - Accent4 8" xfId="30985" hidden="1"/>
    <cellStyle name="40% - Accent4 8" xfId="31063" hidden="1"/>
    <cellStyle name="40% - Accent4 8" xfId="31645" hidden="1"/>
    <cellStyle name="40% - Accent4 8" xfId="31724" hidden="1"/>
    <cellStyle name="40% - Accent4 8" xfId="31803" hidden="1"/>
    <cellStyle name="40% - Accent4 8" xfId="31377" hidden="1"/>
    <cellStyle name="40% - Accent4 8" xfId="31879" hidden="1"/>
    <cellStyle name="40% - Accent4 8" xfId="31585" hidden="1"/>
    <cellStyle name="40% - Accent4 8" xfId="31475" hidden="1"/>
    <cellStyle name="40% - Accent4 8" xfId="32319" hidden="1"/>
    <cellStyle name="40% - Accent4 8" xfId="32397" hidden="1"/>
    <cellStyle name="40% - Accent4 8" xfId="31440" hidden="1"/>
    <cellStyle name="40% - Accent4 8" xfId="32468" hidden="1"/>
    <cellStyle name="40% - Accent4 8" xfId="32246" hidden="1"/>
    <cellStyle name="40% - Accent4 8" xfId="32238" hidden="1"/>
    <cellStyle name="40% - Accent4 8" xfId="32851" hidden="1"/>
    <cellStyle name="40% - Accent4 8" xfId="32929" hidden="1"/>
    <cellStyle name="40% - Accent4 8" xfId="32994" hidden="1"/>
    <cellStyle name="40% - Accent4 8" xfId="33188" hidden="1"/>
    <cellStyle name="40% - Accent4 8" xfId="33266" hidden="1"/>
    <cellStyle name="40% - Accent4 8" xfId="33331" hidden="1"/>
    <cellStyle name="40% - Accent4 8" xfId="33525" hidden="1"/>
    <cellStyle name="40% - Accent4 9" xfId="160" hidden="1"/>
    <cellStyle name="40% - Accent4 9" xfId="240" hidden="1"/>
    <cellStyle name="40% - Accent4 9" xfId="320" hidden="1"/>
    <cellStyle name="40% - Accent4 9" xfId="654" hidden="1"/>
    <cellStyle name="40% - Accent4 9" xfId="2401" hidden="1"/>
    <cellStyle name="40% - Accent4 9" xfId="2552" hidden="1"/>
    <cellStyle name="40% - Accent4 9" xfId="2732" hidden="1"/>
    <cellStyle name="40% - Accent4 9" xfId="2888" hidden="1"/>
    <cellStyle name="40% - Accent4 9" xfId="2263" hidden="1"/>
    <cellStyle name="40% - Accent4 9" xfId="1906" hidden="1"/>
    <cellStyle name="40% - Accent4 9" xfId="4325" hidden="1"/>
    <cellStyle name="40% - Accent4 9" xfId="4570" hidden="1"/>
    <cellStyle name="40% - Accent4 9" xfId="4729" hidden="1"/>
    <cellStyle name="40% - Accent4 9" xfId="4867" hidden="1"/>
    <cellStyle name="40% - Accent4 9" xfId="2278" hidden="1"/>
    <cellStyle name="40% - Accent4 9" xfId="2203" hidden="1"/>
    <cellStyle name="40% - Accent4 9" xfId="6343" hidden="1"/>
    <cellStyle name="40% - Accent4 9" xfId="6450" hidden="1"/>
    <cellStyle name="40% - Accent4 9" xfId="6649" hidden="1"/>
    <cellStyle name="40% - Accent4 9" xfId="7503" hidden="1"/>
    <cellStyle name="40% - Accent4 9" xfId="7656" hidden="1"/>
    <cellStyle name="40% - Accent4 9" xfId="7837" hidden="1"/>
    <cellStyle name="40% - Accent4 9" xfId="8750" hidden="1"/>
    <cellStyle name="40% - Accent4 9" xfId="8927" hidden="1"/>
    <cellStyle name="40% - Accent4 9" xfId="9851" hidden="1"/>
    <cellStyle name="40% - Accent4 9" xfId="9925" hidden="1"/>
    <cellStyle name="40% - Accent4 9" xfId="10001" hidden="1"/>
    <cellStyle name="40% - Accent4 9" xfId="10079" hidden="1"/>
    <cellStyle name="40% - Accent4 9" xfId="10664" hidden="1"/>
    <cellStyle name="40% - Accent4 9" xfId="10740" hidden="1"/>
    <cellStyle name="40% - Accent4 9" xfId="10819" hidden="1"/>
    <cellStyle name="40% - Accent4 9" xfId="10887" hidden="1"/>
    <cellStyle name="40% - Accent4 9" xfId="10604" hidden="1"/>
    <cellStyle name="40% - Accent4 9" xfId="10475" hidden="1"/>
    <cellStyle name="40% - Accent4 9" xfId="11259" hidden="1"/>
    <cellStyle name="40% - Accent4 9" xfId="11335" hidden="1"/>
    <cellStyle name="40% - Accent4 9" xfId="11413" hidden="1"/>
    <cellStyle name="40% - Accent4 9" xfId="11475" hidden="1"/>
    <cellStyle name="40% - Accent4 9" xfId="10617" hidden="1"/>
    <cellStyle name="40% - Accent4 9" xfId="10557" hidden="1"/>
    <cellStyle name="40% - Accent4 9" xfId="11791" hidden="1"/>
    <cellStyle name="40% - Accent4 9" xfId="11867" hidden="1"/>
    <cellStyle name="40% - Accent4 9" xfId="11945" hidden="1"/>
    <cellStyle name="40% - Accent4 9" xfId="12128" hidden="1"/>
    <cellStyle name="40% - Accent4 9" xfId="12204" hidden="1"/>
    <cellStyle name="40% - Accent4 9" xfId="12282" hidden="1"/>
    <cellStyle name="40% - Accent4 9" xfId="12465" hidden="1"/>
    <cellStyle name="40% - Accent4 9" xfId="12541" hidden="1"/>
    <cellStyle name="40% - Accent4 9" xfId="12643" hidden="1"/>
    <cellStyle name="40% - Accent4 9" xfId="12717" hidden="1"/>
    <cellStyle name="40% - Accent4 9" xfId="12793" hidden="1"/>
    <cellStyle name="40% - Accent4 9" xfId="12871" hidden="1"/>
    <cellStyle name="40% - Accent4 9" xfId="13456" hidden="1"/>
    <cellStyle name="40% - Accent4 9" xfId="13532" hidden="1"/>
    <cellStyle name="40% - Accent4 9" xfId="13611" hidden="1"/>
    <cellStyle name="40% - Accent4 9" xfId="13679" hidden="1"/>
    <cellStyle name="40% - Accent4 9" xfId="13396" hidden="1"/>
    <cellStyle name="40% - Accent4 9" xfId="13267" hidden="1"/>
    <cellStyle name="40% - Accent4 9" xfId="14051" hidden="1"/>
    <cellStyle name="40% - Accent4 9" xfId="14127" hidden="1"/>
    <cellStyle name="40% - Accent4 9" xfId="14205" hidden="1"/>
    <cellStyle name="40% - Accent4 9" xfId="14267" hidden="1"/>
    <cellStyle name="40% - Accent4 9" xfId="13409" hidden="1"/>
    <cellStyle name="40% - Accent4 9" xfId="13349" hidden="1"/>
    <cellStyle name="40% - Accent4 9" xfId="14583" hidden="1"/>
    <cellStyle name="40% - Accent4 9" xfId="14659" hidden="1"/>
    <cellStyle name="40% - Accent4 9" xfId="14737" hidden="1"/>
    <cellStyle name="40% - Accent4 9" xfId="14920" hidden="1"/>
    <cellStyle name="40% - Accent4 9" xfId="14996" hidden="1"/>
    <cellStyle name="40% - Accent4 9" xfId="15074" hidden="1"/>
    <cellStyle name="40% - Accent4 9" xfId="15257" hidden="1"/>
    <cellStyle name="40% - Accent4 9" xfId="15333" hidden="1"/>
    <cellStyle name="40% - Accent4 9" xfId="9606" hidden="1"/>
    <cellStyle name="40% - Accent4 9" xfId="9497" hidden="1"/>
    <cellStyle name="40% - Accent4 9" xfId="9378" hidden="1"/>
    <cellStyle name="40% - Accent4 9" xfId="9271" hidden="1"/>
    <cellStyle name="40% - Accent4 9" xfId="7010" hidden="1"/>
    <cellStyle name="40% - Accent4 9" xfId="6922" hidden="1"/>
    <cellStyle name="40% - Accent4 9" xfId="6828" hidden="1"/>
    <cellStyle name="40% - Accent4 9" xfId="6709" hidden="1"/>
    <cellStyle name="40% - Accent4 9" xfId="7215" hidden="1"/>
    <cellStyle name="40% - Accent4 9" xfId="7641" hidden="1"/>
    <cellStyle name="40% - Accent4 9" xfId="4875" hidden="1"/>
    <cellStyle name="40% - Accent4 9" xfId="4702" hidden="1"/>
    <cellStyle name="40% - Accent4 9" xfId="4501" hidden="1"/>
    <cellStyle name="40% - Accent4 9" xfId="4291" hidden="1"/>
    <cellStyle name="40% - Accent4 9" xfId="7191" hidden="1"/>
    <cellStyle name="40% - Accent4 9" xfId="7373" hidden="1"/>
    <cellStyle name="40% - Accent4 9" xfId="2776" hidden="1"/>
    <cellStyle name="40% - Accent4 9" xfId="2532" hidden="1"/>
    <cellStyle name="40% - Accent4 9" xfId="2358" hidden="1"/>
    <cellStyle name="40% - Accent4 9" xfId="1407" hidden="1"/>
    <cellStyle name="40% - Accent4 9" xfId="1217" hidden="1"/>
    <cellStyle name="40% - Accent4 9" xfId="1061" hidden="1"/>
    <cellStyle name="40% - Accent4 9" xfId="15394" hidden="1"/>
    <cellStyle name="40% - Accent4 9" xfId="15502" hidden="1"/>
    <cellStyle name="40% - Accent4 9" xfId="16192" hidden="1"/>
    <cellStyle name="40% - Accent4 9" xfId="16266" hidden="1"/>
    <cellStyle name="40% - Accent4 9" xfId="16342" hidden="1"/>
    <cellStyle name="40% - Accent4 9" xfId="16420" hidden="1"/>
    <cellStyle name="40% - Accent4 9" xfId="17005" hidden="1"/>
    <cellStyle name="40% - Accent4 9" xfId="17081" hidden="1"/>
    <cellStyle name="40% - Accent4 9" xfId="17160" hidden="1"/>
    <cellStyle name="40% - Accent4 9" xfId="17228" hidden="1"/>
    <cellStyle name="40% - Accent4 9" xfId="16945" hidden="1"/>
    <cellStyle name="40% - Accent4 9" xfId="16816" hidden="1"/>
    <cellStyle name="40% - Accent4 9" xfId="17600" hidden="1"/>
    <cellStyle name="40% - Accent4 9" xfId="17676" hidden="1"/>
    <cellStyle name="40% - Accent4 9" xfId="17754" hidden="1"/>
    <cellStyle name="40% - Accent4 9" xfId="17816" hidden="1"/>
    <cellStyle name="40% - Accent4 9" xfId="16958" hidden="1"/>
    <cellStyle name="40% - Accent4 9" xfId="16898" hidden="1"/>
    <cellStyle name="40% - Accent4 9" xfId="18132" hidden="1"/>
    <cellStyle name="40% - Accent4 9" xfId="18208" hidden="1"/>
    <cellStyle name="40% - Accent4 9" xfId="18286" hidden="1"/>
    <cellStyle name="40% - Accent4 9" xfId="18469" hidden="1"/>
    <cellStyle name="40% - Accent4 9" xfId="18545" hidden="1"/>
    <cellStyle name="40% - Accent4 9" xfId="18623" hidden="1"/>
    <cellStyle name="40% - Accent4 9" xfId="18806" hidden="1"/>
    <cellStyle name="40% - Accent4 9" xfId="18882" hidden="1"/>
    <cellStyle name="40% - Accent4 9" xfId="18984" hidden="1"/>
    <cellStyle name="40% - Accent4 9" xfId="19058" hidden="1"/>
    <cellStyle name="40% - Accent4 9" xfId="19134" hidden="1"/>
    <cellStyle name="40% - Accent4 9" xfId="19212" hidden="1"/>
    <cellStyle name="40% - Accent4 9" xfId="19797" hidden="1"/>
    <cellStyle name="40% - Accent4 9" xfId="19873" hidden="1"/>
    <cellStyle name="40% - Accent4 9" xfId="19952" hidden="1"/>
    <cellStyle name="40% - Accent4 9" xfId="20020" hidden="1"/>
    <cellStyle name="40% - Accent4 9" xfId="19737" hidden="1"/>
    <cellStyle name="40% - Accent4 9" xfId="19608" hidden="1"/>
    <cellStyle name="40% - Accent4 9" xfId="20392" hidden="1"/>
    <cellStyle name="40% - Accent4 9" xfId="20468" hidden="1"/>
    <cellStyle name="40% - Accent4 9" xfId="20546" hidden="1"/>
    <cellStyle name="40% - Accent4 9" xfId="20608" hidden="1"/>
    <cellStyle name="40% - Accent4 9" xfId="19750" hidden="1"/>
    <cellStyle name="40% - Accent4 9" xfId="19690" hidden="1"/>
    <cellStyle name="40% - Accent4 9" xfId="20924" hidden="1"/>
    <cellStyle name="40% - Accent4 9" xfId="21000" hidden="1"/>
    <cellStyle name="40% - Accent4 9" xfId="21078" hidden="1"/>
    <cellStyle name="40% - Accent4 9" xfId="21261" hidden="1"/>
    <cellStyle name="40% - Accent4 9" xfId="21337" hidden="1"/>
    <cellStyle name="40% - Accent4 9" xfId="21415" hidden="1"/>
    <cellStyle name="40% - Accent4 9" xfId="21598" hidden="1"/>
    <cellStyle name="40% - Accent4 9" xfId="21674" hidden="1"/>
    <cellStyle name="40% - Accent4 9" xfId="15999" hidden="1"/>
    <cellStyle name="40% - Accent4 9" xfId="15925" hidden="1"/>
    <cellStyle name="40% - Accent4 9" xfId="15846" hidden="1"/>
    <cellStyle name="40% - Accent4 9" xfId="15762" hidden="1"/>
    <cellStyle name="40% - Accent4 9" xfId="7990" hidden="1"/>
    <cellStyle name="40% - Accent4 9" xfId="7791" hidden="1"/>
    <cellStyle name="40% - Accent4 9" xfId="7537" hidden="1"/>
    <cellStyle name="40% - Accent4 9" xfId="7379" hidden="1"/>
    <cellStyle name="40% - Accent4 9" xfId="8155" hidden="1"/>
    <cellStyle name="40% - Accent4 9" xfId="8506" hidden="1"/>
    <cellStyle name="40% - Accent4 9" xfId="5311" hidden="1"/>
    <cellStyle name="40% - Accent4 9" xfId="5111" hidden="1"/>
    <cellStyle name="40% - Accent4 9" xfId="5005" hidden="1"/>
    <cellStyle name="40% - Accent4 9" xfId="4914" hidden="1"/>
    <cellStyle name="40% - Accent4 9" xfId="8120" hidden="1"/>
    <cellStyle name="40% - Accent4 9" xfId="8226" hidden="1"/>
    <cellStyle name="40% - Accent4 9" xfId="3068" hidden="1"/>
    <cellStyle name="40% - Accent4 9" xfId="2920" hidden="1"/>
    <cellStyle name="40% - Accent4 9" xfId="2757" hidden="1"/>
    <cellStyle name="40% - Accent4 9" xfId="1555" hidden="1"/>
    <cellStyle name="40% - Accent4 9" xfId="1398" hidden="1"/>
    <cellStyle name="40% - Accent4 9" xfId="1136" hidden="1"/>
    <cellStyle name="40% - Accent4 9" xfId="9791" hidden="1"/>
    <cellStyle name="40% - Accent4 9" xfId="21812" hidden="1"/>
    <cellStyle name="40% - Accent4 9" xfId="22343" hidden="1"/>
    <cellStyle name="40% - Accent4 9" xfId="22417" hidden="1"/>
    <cellStyle name="40% - Accent4 9" xfId="22493" hidden="1"/>
    <cellStyle name="40% - Accent4 9" xfId="22571" hidden="1"/>
    <cellStyle name="40% - Accent4 9" xfId="23156" hidden="1"/>
    <cellStyle name="40% - Accent4 9" xfId="23232" hidden="1"/>
    <cellStyle name="40% - Accent4 9" xfId="23311" hidden="1"/>
    <cellStyle name="40% - Accent4 9" xfId="23379" hidden="1"/>
    <cellStyle name="40% - Accent4 9" xfId="23096" hidden="1"/>
    <cellStyle name="40% - Accent4 9" xfId="22967" hidden="1"/>
    <cellStyle name="40% - Accent4 9" xfId="23751" hidden="1"/>
    <cellStyle name="40% - Accent4 9" xfId="23827" hidden="1"/>
    <cellStyle name="40% - Accent4 9" xfId="23905" hidden="1"/>
    <cellStyle name="40% - Accent4 9" xfId="23967" hidden="1"/>
    <cellStyle name="40% - Accent4 9" xfId="23109" hidden="1"/>
    <cellStyle name="40% - Accent4 9" xfId="23049" hidden="1"/>
    <cellStyle name="40% - Accent4 9" xfId="24283" hidden="1"/>
    <cellStyle name="40% - Accent4 9" xfId="24359" hidden="1"/>
    <cellStyle name="40% - Accent4 9" xfId="24437" hidden="1"/>
    <cellStyle name="40% - Accent4 9" xfId="24620" hidden="1"/>
    <cellStyle name="40% - Accent4 9" xfId="24696" hidden="1"/>
    <cellStyle name="40% - Accent4 9" xfId="24774" hidden="1"/>
    <cellStyle name="40% - Accent4 9" xfId="24957" hidden="1"/>
    <cellStyle name="40% - Accent4 9" xfId="25033" hidden="1"/>
    <cellStyle name="40% - Accent4 9" xfId="25135" hidden="1"/>
    <cellStyle name="40% - Accent4 9" xfId="25209" hidden="1"/>
    <cellStyle name="40% - Accent4 9" xfId="25285" hidden="1"/>
    <cellStyle name="40% - Accent4 9" xfId="25363" hidden="1"/>
    <cellStyle name="40% - Accent4 9" xfId="25948" hidden="1"/>
    <cellStyle name="40% - Accent4 9" xfId="26024" hidden="1"/>
    <cellStyle name="40% - Accent4 9" xfId="26103" hidden="1"/>
    <cellStyle name="40% - Accent4 9" xfId="26171" hidden="1"/>
    <cellStyle name="40% - Accent4 9" xfId="25888" hidden="1"/>
    <cellStyle name="40% - Accent4 9" xfId="25759" hidden="1"/>
    <cellStyle name="40% - Accent4 9" xfId="26543" hidden="1"/>
    <cellStyle name="40% - Accent4 9" xfId="26619" hidden="1"/>
    <cellStyle name="40% - Accent4 9" xfId="26697" hidden="1"/>
    <cellStyle name="40% - Accent4 9" xfId="26759" hidden="1"/>
    <cellStyle name="40% - Accent4 9" xfId="25901" hidden="1"/>
    <cellStyle name="40% - Accent4 9" xfId="25841" hidden="1"/>
    <cellStyle name="40% - Accent4 9" xfId="27075" hidden="1"/>
    <cellStyle name="40% - Accent4 9" xfId="27151" hidden="1"/>
    <cellStyle name="40% - Accent4 9" xfId="27229" hidden="1"/>
    <cellStyle name="40% - Accent4 9" xfId="27412" hidden="1"/>
    <cellStyle name="40% - Accent4 9" xfId="27488" hidden="1"/>
    <cellStyle name="40% - Accent4 9" xfId="27566" hidden="1"/>
    <cellStyle name="40% - Accent4 9" xfId="27749" hidden="1"/>
    <cellStyle name="40% - Accent4 9" xfId="27825" hidden="1"/>
    <cellStyle name="40% - Accent4 9" xfId="22252" hidden="1"/>
    <cellStyle name="40% - Accent4 9" xfId="22178" hidden="1"/>
    <cellStyle name="40% - Accent4 9" xfId="22099" hidden="1"/>
    <cellStyle name="40% - Accent4 9" xfId="22015" hidden="1"/>
    <cellStyle name="40% - Accent4 9" xfId="8898" hidden="1"/>
    <cellStyle name="40% - Accent4 9" xfId="8689" hidden="1"/>
    <cellStyle name="40% - Accent4 9" xfId="8456" hidden="1"/>
    <cellStyle name="40% - Accent4 9" xfId="8233" hidden="1"/>
    <cellStyle name="40% - Accent4 9" xfId="9081" hidden="1"/>
    <cellStyle name="40% - Accent4 9" xfId="9584" hidden="1"/>
    <cellStyle name="40% - Accent4 9" xfId="5864" hidden="1"/>
    <cellStyle name="40% - Accent4 9" xfId="5618" hidden="1"/>
    <cellStyle name="40% - Accent4 9" xfId="5519" hidden="1"/>
    <cellStyle name="40% - Accent4 9" xfId="5345" hidden="1"/>
    <cellStyle name="40% - Accent4 9" xfId="9052" hidden="1"/>
    <cellStyle name="40% - Accent4 9" xfId="9300" hidden="1"/>
    <cellStyle name="40% - Accent4 9" xfId="3383" hidden="1"/>
    <cellStyle name="40% - Accent4 9" xfId="3288" hidden="1"/>
    <cellStyle name="40% - Accent4 9" xfId="3064" hidden="1"/>
    <cellStyle name="40% - Accent4 9" xfId="1681" hidden="1"/>
    <cellStyle name="40% - Accent4 9" xfId="1559" hidden="1"/>
    <cellStyle name="40% - Accent4 9" xfId="1282" hidden="1"/>
    <cellStyle name="40% - Accent4 9" xfId="27886" hidden="1"/>
    <cellStyle name="40% - Accent4 9" xfId="27960" hidden="1"/>
    <cellStyle name="40% - Accent4 9" xfId="28062" hidden="1"/>
    <cellStyle name="40% - Accent4 9" xfId="28136" hidden="1"/>
    <cellStyle name="40% - Accent4 9" xfId="28212" hidden="1"/>
    <cellStyle name="40% - Accent4 9" xfId="28290" hidden="1"/>
    <cellStyle name="40% - Accent4 9" xfId="28875" hidden="1"/>
    <cellStyle name="40% - Accent4 9" xfId="28951" hidden="1"/>
    <cellStyle name="40% - Accent4 9" xfId="29030" hidden="1"/>
    <cellStyle name="40% - Accent4 9" xfId="29098" hidden="1"/>
    <cellStyle name="40% - Accent4 9" xfId="28815" hidden="1"/>
    <cellStyle name="40% - Accent4 9" xfId="28686" hidden="1"/>
    <cellStyle name="40% - Accent4 9" xfId="29470" hidden="1"/>
    <cellStyle name="40% - Accent4 9" xfId="29546" hidden="1"/>
    <cellStyle name="40% - Accent4 9" xfId="29624" hidden="1"/>
    <cellStyle name="40% - Accent4 9" xfId="29686" hidden="1"/>
    <cellStyle name="40% - Accent4 9" xfId="28828" hidden="1"/>
    <cellStyle name="40% - Accent4 9" xfId="28768" hidden="1"/>
    <cellStyle name="40% - Accent4 9" xfId="30002" hidden="1"/>
    <cellStyle name="40% - Accent4 9" xfId="30078" hidden="1"/>
    <cellStyle name="40% - Accent4 9" xfId="30156" hidden="1"/>
    <cellStyle name="40% - Accent4 9" xfId="30339" hidden="1"/>
    <cellStyle name="40% - Accent4 9" xfId="30415" hidden="1"/>
    <cellStyle name="40% - Accent4 9" xfId="30493" hidden="1"/>
    <cellStyle name="40% - Accent4 9" xfId="30676" hidden="1"/>
    <cellStyle name="40% - Accent4 9" xfId="30752" hidden="1"/>
    <cellStyle name="40% - Accent4 9" xfId="30854" hidden="1"/>
    <cellStyle name="40% - Accent4 9" xfId="30928" hidden="1"/>
    <cellStyle name="40% - Accent4 9" xfId="31004" hidden="1"/>
    <cellStyle name="40% - Accent4 9" xfId="31082" hidden="1"/>
    <cellStyle name="40% - Accent4 9" xfId="31667" hidden="1"/>
    <cellStyle name="40% - Accent4 9" xfId="31743" hidden="1"/>
    <cellStyle name="40% - Accent4 9" xfId="31822" hidden="1"/>
    <cellStyle name="40% - Accent4 9" xfId="31890" hidden="1"/>
    <cellStyle name="40% - Accent4 9" xfId="31607" hidden="1"/>
    <cellStyle name="40% - Accent4 9" xfId="31478" hidden="1"/>
    <cellStyle name="40% - Accent4 9" xfId="32262" hidden="1"/>
    <cellStyle name="40% - Accent4 9" xfId="32338" hidden="1"/>
    <cellStyle name="40% - Accent4 9" xfId="32416" hidden="1"/>
    <cellStyle name="40% - Accent4 9" xfId="32478" hidden="1"/>
    <cellStyle name="40% - Accent4 9" xfId="31620" hidden="1"/>
    <cellStyle name="40% - Accent4 9" xfId="31560" hidden="1"/>
    <cellStyle name="40% - Accent4 9" xfId="32794" hidden="1"/>
    <cellStyle name="40% - Accent4 9" xfId="32870" hidden="1"/>
    <cellStyle name="40% - Accent4 9" xfId="32948" hidden="1"/>
    <cellStyle name="40% - Accent4 9" xfId="33131" hidden="1"/>
    <cellStyle name="40% - Accent4 9" xfId="33207" hidden="1"/>
    <cellStyle name="40% - Accent4 9" xfId="33285" hidden="1"/>
    <cellStyle name="40% - Accent4 9" xfId="33468" hidden="1"/>
    <cellStyle name="40% - Accent4 9" xfId="33544" hidden="1"/>
    <cellStyle name="40% - Accent5" xfId="40" builtinId="47" hidden="1"/>
    <cellStyle name="40% - Accent5" xfId="84" builtinId="47" hidden="1" customBuiltin="1"/>
    <cellStyle name="40% - Accent5 10" xfId="175" hidden="1"/>
    <cellStyle name="40% - Accent5 10" xfId="255" hidden="1"/>
    <cellStyle name="40% - Accent5 10" xfId="359" hidden="1"/>
    <cellStyle name="40% - Accent5 10" xfId="693" hidden="1"/>
    <cellStyle name="40% - Accent5 10" xfId="2419" hidden="1"/>
    <cellStyle name="40% - Accent5 10" xfId="2570" hidden="1"/>
    <cellStyle name="40% - Accent5 10" xfId="2762" hidden="1"/>
    <cellStyle name="40% - Accent5 10" xfId="3795" hidden="1"/>
    <cellStyle name="40% - Accent5 10" xfId="1859" hidden="1"/>
    <cellStyle name="40% - Accent5 10" xfId="2231" hidden="1"/>
    <cellStyle name="40% - Accent5 10" xfId="4361" hidden="1"/>
    <cellStyle name="40% - Accent5 10" xfId="4586" hidden="1"/>
    <cellStyle name="40% - Accent5 10" xfId="4749" hidden="1"/>
    <cellStyle name="40% - Accent5 10" xfId="5807" hidden="1"/>
    <cellStyle name="40% - Accent5 10" xfId="1709" hidden="1"/>
    <cellStyle name="40% - Accent5 10" xfId="4277" hidden="1"/>
    <cellStyle name="40% - Accent5 10" xfId="6363" hidden="1"/>
    <cellStyle name="40% - Accent5 10" xfId="6469" hidden="1"/>
    <cellStyle name="40% - Accent5 10" xfId="6666" hidden="1"/>
    <cellStyle name="40% - Accent5 10" xfId="7527" hidden="1"/>
    <cellStyle name="40% - Accent5 10" xfId="7679" hidden="1"/>
    <cellStyle name="40% - Accent5 10" xfId="7857" hidden="1"/>
    <cellStyle name="40% - Accent5 10" xfId="8772" hidden="1"/>
    <cellStyle name="40% - Accent5 10" xfId="8948" hidden="1"/>
    <cellStyle name="40% - Accent5 10" xfId="9866" hidden="1"/>
    <cellStyle name="40% - Accent5 10" xfId="9940" hidden="1"/>
    <cellStyle name="40% - Accent5 10" xfId="10016" hidden="1"/>
    <cellStyle name="40% - Accent5 10" xfId="10094" hidden="1"/>
    <cellStyle name="40% - Accent5 10" xfId="10679" hidden="1"/>
    <cellStyle name="40% - Accent5 10" xfId="10755" hidden="1"/>
    <cellStyle name="40% - Accent5 10" xfId="10834" hidden="1"/>
    <cellStyle name="40% - Accent5 10" xfId="11079" hidden="1"/>
    <cellStyle name="40% - Accent5 10" xfId="10435" hidden="1"/>
    <cellStyle name="40% - Accent5 10" xfId="10580" hidden="1"/>
    <cellStyle name="40% - Accent5 10" xfId="11274" hidden="1"/>
    <cellStyle name="40% - Accent5 10" xfId="11350" hidden="1"/>
    <cellStyle name="40% - Accent5 10" xfId="11428" hidden="1"/>
    <cellStyle name="40% - Accent5 10" xfId="11638" hidden="1"/>
    <cellStyle name="40% - Accent5 10" xfId="10389" hidden="1"/>
    <cellStyle name="40% - Accent5 10" xfId="11244" hidden="1"/>
    <cellStyle name="40% - Accent5 10" xfId="11806" hidden="1"/>
    <cellStyle name="40% - Accent5 10" xfId="11882" hidden="1"/>
    <cellStyle name="40% - Accent5 10" xfId="11960" hidden="1"/>
    <cellStyle name="40% - Accent5 10" xfId="12143" hidden="1"/>
    <cellStyle name="40% - Accent5 10" xfId="12219" hidden="1"/>
    <cellStyle name="40% - Accent5 10" xfId="12297" hidden="1"/>
    <cellStyle name="40% - Accent5 10" xfId="12480" hidden="1"/>
    <cellStyle name="40% - Accent5 10" xfId="12556" hidden="1"/>
    <cellStyle name="40% - Accent5 10" xfId="12658" hidden="1"/>
    <cellStyle name="40% - Accent5 10" xfId="12732" hidden="1"/>
    <cellStyle name="40% - Accent5 10" xfId="12808" hidden="1"/>
    <cellStyle name="40% - Accent5 10" xfId="12886" hidden="1"/>
    <cellStyle name="40% - Accent5 10" xfId="13471" hidden="1"/>
    <cellStyle name="40% - Accent5 10" xfId="13547" hidden="1"/>
    <cellStyle name="40% - Accent5 10" xfId="13626" hidden="1"/>
    <cellStyle name="40% - Accent5 10" xfId="13871" hidden="1"/>
    <cellStyle name="40% - Accent5 10" xfId="13227" hidden="1"/>
    <cellStyle name="40% - Accent5 10" xfId="13372" hidden="1"/>
    <cellStyle name="40% - Accent5 10" xfId="14066" hidden="1"/>
    <cellStyle name="40% - Accent5 10" xfId="14142" hidden="1"/>
    <cellStyle name="40% - Accent5 10" xfId="14220" hidden="1"/>
    <cellStyle name="40% - Accent5 10" xfId="14430" hidden="1"/>
    <cellStyle name="40% - Accent5 10" xfId="13181" hidden="1"/>
    <cellStyle name="40% - Accent5 10" xfId="14036" hidden="1"/>
    <cellStyle name="40% - Accent5 10" xfId="14598" hidden="1"/>
    <cellStyle name="40% - Accent5 10" xfId="14674" hidden="1"/>
    <cellStyle name="40% - Accent5 10" xfId="14752" hidden="1"/>
    <cellStyle name="40% - Accent5 10" xfId="14935" hidden="1"/>
    <cellStyle name="40% - Accent5 10" xfId="15011" hidden="1"/>
    <cellStyle name="40% - Accent5 10" xfId="15089" hidden="1"/>
    <cellStyle name="40% - Accent5 10" xfId="15272" hidden="1"/>
    <cellStyle name="40% - Accent5 10" xfId="15348" hidden="1"/>
    <cellStyle name="40% - Accent5 10" xfId="9588" hidden="1"/>
    <cellStyle name="40% - Accent5 10" xfId="9476" hidden="1"/>
    <cellStyle name="40% - Accent5 10" xfId="9361" hidden="1"/>
    <cellStyle name="40% - Accent5 10" xfId="9249" hidden="1"/>
    <cellStyle name="40% - Accent5 10" xfId="6991" hidden="1"/>
    <cellStyle name="40% - Accent5 10" xfId="6904" hidden="1"/>
    <cellStyle name="40% - Accent5 10" xfId="6811" hidden="1"/>
    <cellStyle name="40% - Accent5 10" xfId="5719" hidden="1"/>
    <cellStyle name="40% - Accent5 10" xfId="7853" hidden="1"/>
    <cellStyle name="40% - Accent5 10" xfId="7339" hidden="1"/>
    <cellStyle name="40% - Accent5 10" xfId="4851" hidden="1"/>
    <cellStyle name="40% - Accent5 10" xfId="4683" hidden="1"/>
    <cellStyle name="40% - Accent5 10" xfId="4454" hidden="1"/>
    <cellStyle name="40% - Accent5 10" xfId="3645" hidden="1"/>
    <cellStyle name="40% - Accent5 10" xfId="8022" hidden="1"/>
    <cellStyle name="40% - Accent5 10" xfId="4941" hidden="1"/>
    <cellStyle name="40% - Accent5 10" xfId="2727" hidden="1"/>
    <cellStyle name="40% - Accent5 10" xfId="2514" hidden="1"/>
    <cellStyle name="40% - Accent5 10" xfId="2339" hidden="1"/>
    <cellStyle name="40% - Accent5 10" xfId="1379" hidden="1"/>
    <cellStyle name="40% - Accent5 10" xfId="1189" hidden="1"/>
    <cellStyle name="40% - Accent5 10" xfId="946" hidden="1"/>
    <cellStyle name="40% - Accent5 10" xfId="15410" hidden="1"/>
    <cellStyle name="40% - Accent5 10" xfId="15521" hidden="1"/>
    <cellStyle name="40% - Accent5 10" xfId="16207" hidden="1"/>
    <cellStyle name="40% - Accent5 10" xfId="16281" hidden="1"/>
    <cellStyle name="40% - Accent5 10" xfId="16357" hidden="1"/>
    <cellStyle name="40% - Accent5 10" xfId="16435" hidden="1"/>
    <cellStyle name="40% - Accent5 10" xfId="17020" hidden="1"/>
    <cellStyle name="40% - Accent5 10" xfId="17096" hidden="1"/>
    <cellStyle name="40% - Accent5 10" xfId="17175" hidden="1"/>
    <cellStyle name="40% - Accent5 10" xfId="17420" hidden="1"/>
    <cellStyle name="40% - Accent5 10" xfId="16776" hidden="1"/>
    <cellStyle name="40% - Accent5 10" xfId="16921" hidden="1"/>
    <cellStyle name="40% - Accent5 10" xfId="17615" hidden="1"/>
    <cellStyle name="40% - Accent5 10" xfId="17691" hidden="1"/>
    <cellStyle name="40% - Accent5 10" xfId="17769" hidden="1"/>
    <cellStyle name="40% - Accent5 10" xfId="17979" hidden="1"/>
    <cellStyle name="40% - Accent5 10" xfId="16730" hidden="1"/>
    <cellStyle name="40% - Accent5 10" xfId="17585" hidden="1"/>
    <cellStyle name="40% - Accent5 10" xfId="18147" hidden="1"/>
    <cellStyle name="40% - Accent5 10" xfId="18223" hidden="1"/>
    <cellStyle name="40% - Accent5 10" xfId="18301" hidden="1"/>
    <cellStyle name="40% - Accent5 10" xfId="18484" hidden="1"/>
    <cellStyle name="40% - Accent5 10" xfId="18560" hidden="1"/>
    <cellStyle name="40% - Accent5 10" xfId="18638" hidden="1"/>
    <cellStyle name="40% - Accent5 10" xfId="18821" hidden="1"/>
    <cellStyle name="40% - Accent5 10" xfId="18897" hidden="1"/>
    <cellStyle name="40% - Accent5 10" xfId="18999" hidden="1"/>
    <cellStyle name="40% - Accent5 10" xfId="19073" hidden="1"/>
    <cellStyle name="40% - Accent5 10" xfId="19149" hidden="1"/>
    <cellStyle name="40% - Accent5 10" xfId="19227" hidden="1"/>
    <cellStyle name="40% - Accent5 10" xfId="19812" hidden="1"/>
    <cellStyle name="40% - Accent5 10" xfId="19888" hidden="1"/>
    <cellStyle name="40% - Accent5 10" xfId="19967" hidden="1"/>
    <cellStyle name="40% - Accent5 10" xfId="20212" hidden="1"/>
    <cellStyle name="40% - Accent5 10" xfId="19568" hidden="1"/>
    <cellStyle name="40% - Accent5 10" xfId="19713" hidden="1"/>
    <cellStyle name="40% - Accent5 10" xfId="20407" hidden="1"/>
    <cellStyle name="40% - Accent5 10" xfId="20483" hidden="1"/>
    <cellStyle name="40% - Accent5 10" xfId="20561" hidden="1"/>
    <cellStyle name="40% - Accent5 10" xfId="20771" hidden="1"/>
    <cellStyle name="40% - Accent5 10" xfId="19522" hidden="1"/>
    <cellStyle name="40% - Accent5 10" xfId="20377" hidden="1"/>
    <cellStyle name="40% - Accent5 10" xfId="20939" hidden="1"/>
    <cellStyle name="40% - Accent5 10" xfId="21015" hidden="1"/>
    <cellStyle name="40% - Accent5 10" xfId="21093" hidden="1"/>
    <cellStyle name="40% - Accent5 10" xfId="21276" hidden="1"/>
    <cellStyle name="40% - Accent5 10" xfId="21352" hidden="1"/>
    <cellStyle name="40% - Accent5 10" xfId="21430" hidden="1"/>
    <cellStyle name="40% - Accent5 10" xfId="21613" hidden="1"/>
    <cellStyle name="40% - Accent5 10" xfId="21689" hidden="1"/>
    <cellStyle name="40% - Accent5 10" xfId="15984" hidden="1"/>
    <cellStyle name="40% - Accent5 10" xfId="15910" hidden="1"/>
    <cellStyle name="40% - Accent5 10" xfId="15830" hidden="1"/>
    <cellStyle name="40% - Accent5 10" xfId="15747" hidden="1"/>
    <cellStyle name="40% - Accent5 10" xfId="7971" hidden="1"/>
    <cellStyle name="40% - Accent5 10" xfId="7769" hidden="1"/>
    <cellStyle name="40% - Accent5 10" xfId="7486" hidden="1"/>
    <cellStyle name="40% - Accent5 10" xfId="6216" hidden="1"/>
    <cellStyle name="40% - Accent5 10" xfId="8721" hidden="1"/>
    <cellStyle name="40% - Accent5 10" xfId="8189" hidden="1"/>
    <cellStyle name="40% - Accent5 10" xfId="5292" hidden="1"/>
    <cellStyle name="40% - Accent5 10" xfId="5091" hidden="1"/>
    <cellStyle name="40% - Accent5 10" xfId="4987" hidden="1"/>
    <cellStyle name="40% - Accent5 10" xfId="3837" hidden="1"/>
    <cellStyle name="40% - Accent5 10" xfId="8967" hidden="1"/>
    <cellStyle name="40% - Accent5 10" xfId="5463" hidden="1"/>
    <cellStyle name="40% - Accent5 10" xfId="3039" hidden="1"/>
    <cellStyle name="40% - Accent5 10" xfId="2901" hidden="1"/>
    <cellStyle name="40% - Accent5 10" xfId="2693" hidden="1"/>
    <cellStyle name="40% - Accent5 10" xfId="1530" hidden="1"/>
    <cellStyle name="40% - Accent5 10" xfId="1362" hidden="1"/>
    <cellStyle name="40% - Accent5 10" xfId="1111" hidden="1"/>
    <cellStyle name="40% - Accent5 10" xfId="21749" hidden="1"/>
    <cellStyle name="40% - Accent5 10" xfId="21828" hidden="1"/>
    <cellStyle name="40% - Accent5 10" xfId="22358" hidden="1"/>
    <cellStyle name="40% - Accent5 10" xfId="22432" hidden="1"/>
    <cellStyle name="40% - Accent5 10" xfId="22508" hidden="1"/>
    <cellStyle name="40% - Accent5 10" xfId="22586" hidden="1"/>
    <cellStyle name="40% - Accent5 10" xfId="23171" hidden="1"/>
    <cellStyle name="40% - Accent5 10" xfId="23247" hidden="1"/>
    <cellStyle name="40% - Accent5 10" xfId="23326" hidden="1"/>
    <cellStyle name="40% - Accent5 10" xfId="23571" hidden="1"/>
    <cellStyle name="40% - Accent5 10" xfId="22927" hidden="1"/>
    <cellStyle name="40% - Accent5 10" xfId="23072" hidden="1"/>
    <cellStyle name="40% - Accent5 10" xfId="23766" hidden="1"/>
    <cellStyle name="40% - Accent5 10" xfId="23842" hidden="1"/>
    <cellStyle name="40% - Accent5 10" xfId="23920" hidden="1"/>
    <cellStyle name="40% - Accent5 10" xfId="24130" hidden="1"/>
    <cellStyle name="40% - Accent5 10" xfId="22881" hidden="1"/>
    <cellStyle name="40% - Accent5 10" xfId="23736" hidden="1"/>
    <cellStyle name="40% - Accent5 10" xfId="24298" hidden="1"/>
    <cellStyle name="40% - Accent5 10" xfId="24374" hidden="1"/>
    <cellStyle name="40% - Accent5 10" xfId="24452" hidden="1"/>
    <cellStyle name="40% - Accent5 10" xfId="24635" hidden="1"/>
    <cellStyle name="40% - Accent5 10" xfId="24711" hidden="1"/>
    <cellStyle name="40% - Accent5 10" xfId="24789" hidden="1"/>
    <cellStyle name="40% - Accent5 10" xfId="24972" hidden="1"/>
    <cellStyle name="40% - Accent5 10" xfId="25048" hidden="1"/>
    <cellStyle name="40% - Accent5 10" xfId="25150" hidden="1"/>
    <cellStyle name="40% - Accent5 10" xfId="25224" hidden="1"/>
    <cellStyle name="40% - Accent5 10" xfId="25300" hidden="1"/>
    <cellStyle name="40% - Accent5 10" xfId="25378" hidden="1"/>
    <cellStyle name="40% - Accent5 10" xfId="25963" hidden="1"/>
    <cellStyle name="40% - Accent5 10" xfId="26039" hidden="1"/>
    <cellStyle name="40% - Accent5 10" xfId="26118" hidden="1"/>
    <cellStyle name="40% - Accent5 10" xfId="26363" hidden="1"/>
    <cellStyle name="40% - Accent5 10" xfId="25719" hidden="1"/>
    <cellStyle name="40% - Accent5 10" xfId="25864" hidden="1"/>
    <cellStyle name="40% - Accent5 10" xfId="26558" hidden="1"/>
    <cellStyle name="40% - Accent5 10" xfId="26634" hidden="1"/>
    <cellStyle name="40% - Accent5 10" xfId="26712" hidden="1"/>
    <cellStyle name="40% - Accent5 10" xfId="26922" hidden="1"/>
    <cellStyle name="40% - Accent5 10" xfId="25673" hidden="1"/>
    <cellStyle name="40% - Accent5 10" xfId="26528" hidden="1"/>
    <cellStyle name="40% - Accent5 10" xfId="27090" hidden="1"/>
    <cellStyle name="40% - Accent5 10" xfId="27166" hidden="1"/>
    <cellStyle name="40% - Accent5 10" xfId="27244" hidden="1"/>
    <cellStyle name="40% - Accent5 10" xfId="27427" hidden="1"/>
    <cellStyle name="40% - Accent5 10" xfId="27503" hidden="1"/>
    <cellStyle name="40% - Accent5 10" xfId="27581" hidden="1"/>
    <cellStyle name="40% - Accent5 10" xfId="27764" hidden="1"/>
    <cellStyle name="40% - Accent5 10" xfId="27840" hidden="1"/>
    <cellStyle name="40% - Accent5 10" xfId="22237" hidden="1"/>
    <cellStyle name="40% - Accent5 10" xfId="22163" hidden="1"/>
    <cellStyle name="40% - Accent5 10" xfId="22083" hidden="1"/>
    <cellStyle name="40% - Accent5 10" xfId="22000" hidden="1"/>
    <cellStyle name="40% - Accent5 10" xfId="8873" hidden="1"/>
    <cellStyle name="40% - Accent5 10" xfId="8667" hidden="1"/>
    <cellStyle name="40% - Accent5 10" xfId="8436" hidden="1"/>
    <cellStyle name="40% - Accent5 10" xfId="6755" hidden="1"/>
    <cellStyle name="40% - Accent5 10" xfId="9787" hidden="1"/>
    <cellStyle name="40% - Accent5 10" xfId="9222" hidden="1"/>
    <cellStyle name="40% - Accent5 10" xfId="5848" hidden="1"/>
    <cellStyle name="40% - Accent5 10" xfId="5599" hidden="1"/>
    <cellStyle name="40% - Accent5 10" xfId="5504" hidden="1"/>
    <cellStyle name="40% - Accent5 10" xfId="4013" hidden="1"/>
    <cellStyle name="40% - Accent5 10" xfId="15539" hidden="1"/>
    <cellStyle name="40% - Accent5 10" xfId="5897" hidden="1"/>
    <cellStyle name="40% - Accent5 10" xfId="3362" hidden="1"/>
    <cellStyle name="40% - Accent5 10" xfId="3171" hidden="1"/>
    <cellStyle name="40% - Accent5 10" xfId="3028" hidden="1"/>
    <cellStyle name="40% - Accent5 10" xfId="1658" hidden="1"/>
    <cellStyle name="40% - Accent5 10" xfId="1523" hidden="1"/>
    <cellStyle name="40% - Accent5 10" xfId="1253" hidden="1"/>
    <cellStyle name="40% - Accent5 10" xfId="27899" hidden="1"/>
    <cellStyle name="40% - Accent5 10" xfId="27975" hidden="1"/>
    <cellStyle name="40% - Accent5 10" xfId="28077" hidden="1"/>
    <cellStyle name="40% - Accent5 10" xfId="28151" hidden="1"/>
    <cellStyle name="40% - Accent5 10" xfId="28227" hidden="1"/>
    <cellStyle name="40% - Accent5 10" xfId="28305" hidden="1"/>
    <cellStyle name="40% - Accent5 10" xfId="28890" hidden="1"/>
    <cellStyle name="40% - Accent5 10" xfId="28966" hidden="1"/>
    <cellStyle name="40% - Accent5 10" xfId="29045" hidden="1"/>
    <cellStyle name="40% - Accent5 10" xfId="29290" hidden="1"/>
    <cellStyle name="40% - Accent5 10" xfId="28646" hidden="1"/>
    <cellStyle name="40% - Accent5 10" xfId="28791" hidden="1"/>
    <cellStyle name="40% - Accent5 10" xfId="29485" hidden="1"/>
    <cellStyle name="40% - Accent5 10" xfId="29561" hidden="1"/>
    <cellStyle name="40% - Accent5 10" xfId="29639" hidden="1"/>
    <cellStyle name="40% - Accent5 10" xfId="29849" hidden="1"/>
    <cellStyle name="40% - Accent5 10" xfId="28600" hidden="1"/>
    <cellStyle name="40% - Accent5 10" xfId="29455" hidden="1"/>
    <cellStyle name="40% - Accent5 10" xfId="30017" hidden="1"/>
    <cellStyle name="40% - Accent5 10" xfId="30093" hidden="1"/>
    <cellStyle name="40% - Accent5 10" xfId="30171" hidden="1"/>
    <cellStyle name="40% - Accent5 10" xfId="30354" hidden="1"/>
    <cellStyle name="40% - Accent5 10" xfId="30430" hidden="1"/>
    <cellStyle name="40% - Accent5 10" xfId="30508" hidden="1"/>
    <cellStyle name="40% - Accent5 10" xfId="30691" hidden="1"/>
    <cellStyle name="40% - Accent5 10" xfId="30767" hidden="1"/>
    <cellStyle name="40% - Accent5 10" xfId="30869" hidden="1"/>
    <cellStyle name="40% - Accent5 10" xfId="30943" hidden="1"/>
    <cellStyle name="40% - Accent5 10" xfId="31019" hidden="1"/>
    <cellStyle name="40% - Accent5 10" xfId="31097" hidden="1"/>
    <cellStyle name="40% - Accent5 10" xfId="31682" hidden="1"/>
    <cellStyle name="40% - Accent5 10" xfId="31758" hidden="1"/>
    <cellStyle name="40% - Accent5 10" xfId="31837" hidden="1"/>
    <cellStyle name="40% - Accent5 10" xfId="32082" hidden="1"/>
    <cellStyle name="40% - Accent5 10" xfId="31438" hidden="1"/>
    <cellStyle name="40% - Accent5 10" xfId="31583" hidden="1"/>
    <cellStyle name="40% - Accent5 10" xfId="32277" hidden="1"/>
    <cellStyle name="40% - Accent5 10" xfId="32353" hidden="1"/>
    <cellStyle name="40% - Accent5 10" xfId="32431" hidden="1"/>
    <cellStyle name="40% - Accent5 10" xfId="32641" hidden="1"/>
    <cellStyle name="40% - Accent5 10" xfId="31392" hidden="1"/>
    <cellStyle name="40% - Accent5 10" xfId="32247" hidden="1"/>
    <cellStyle name="40% - Accent5 10" xfId="32809" hidden="1"/>
    <cellStyle name="40% - Accent5 10" xfId="32885" hidden="1"/>
    <cellStyle name="40% - Accent5 10" xfId="32963" hidden="1"/>
    <cellStyle name="40% - Accent5 10" xfId="33146" hidden="1"/>
    <cellStyle name="40% - Accent5 10" xfId="33222" hidden="1"/>
    <cellStyle name="40% - Accent5 10" xfId="33300" hidden="1"/>
    <cellStyle name="40% - Accent5 10" xfId="33483" hidden="1"/>
    <cellStyle name="40% - Accent5 10" xfId="33559" hidden="1"/>
    <cellStyle name="40% - Accent5 11" xfId="188" hidden="1"/>
    <cellStyle name="40% - Accent5 11" xfId="268" hidden="1"/>
    <cellStyle name="40% - Accent5 11" xfId="395" hidden="1"/>
    <cellStyle name="40% - Accent5 11" xfId="720" hidden="1"/>
    <cellStyle name="40% - Accent5 11" xfId="2435" hidden="1"/>
    <cellStyle name="40% - Accent5 11" xfId="2588" hidden="1"/>
    <cellStyle name="40% - Accent5 11" xfId="2791" hidden="1"/>
    <cellStyle name="40% - Accent5 11" xfId="1902" hidden="1"/>
    <cellStyle name="40% - Accent5 11" xfId="1699" hidden="1"/>
    <cellStyle name="40% - Accent5 11" xfId="1591" hidden="1"/>
    <cellStyle name="40% - Accent5 11" xfId="4397" hidden="1"/>
    <cellStyle name="40% - Accent5 11" xfId="4605" hidden="1"/>
    <cellStyle name="40% - Accent5 11" xfId="4769" hidden="1"/>
    <cellStyle name="40% - Accent5 11" xfId="2269" hidden="1"/>
    <cellStyle name="40% - Accent5 11" xfId="1701" hidden="1"/>
    <cellStyle name="40% - Accent5 11" xfId="2267" hidden="1"/>
    <cellStyle name="40% - Accent5 11" xfId="6378" hidden="1"/>
    <cellStyle name="40% - Accent5 11" xfId="6483" hidden="1"/>
    <cellStyle name="40% - Accent5 11" xfId="6680" hidden="1"/>
    <cellStyle name="40% - Accent5 11" xfId="7554" hidden="1"/>
    <cellStyle name="40% - Accent5 11" xfId="7695" hidden="1"/>
    <cellStyle name="40% - Accent5 11" xfId="7874" hidden="1"/>
    <cellStyle name="40% - Accent5 11" xfId="8793" hidden="1"/>
    <cellStyle name="40% - Accent5 11" xfId="8964" hidden="1"/>
    <cellStyle name="40% - Accent5 11" xfId="9879" hidden="1"/>
    <cellStyle name="40% - Accent5 11" xfId="9953" hidden="1"/>
    <cellStyle name="40% - Accent5 11" xfId="10029" hidden="1"/>
    <cellStyle name="40% - Accent5 11" xfId="10107" hidden="1"/>
    <cellStyle name="40% - Accent5 11" xfId="10692" hidden="1"/>
    <cellStyle name="40% - Accent5 11" xfId="10768" hidden="1"/>
    <cellStyle name="40% - Accent5 11" xfId="10847" hidden="1"/>
    <cellStyle name="40% - Accent5 11" xfId="10471" hidden="1"/>
    <cellStyle name="40% - Accent5 11" xfId="10380" hidden="1"/>
    <cellStyle name="40% - Accent5 11" xfId="10347" hidden="1"/>
    <cellStyle name="40% - Accent5 11" xfId="11287" hidden="1"/>
    <cellStyle name="40% - Accent5 11" xfId="11363" hidden="1"/>
    <cellStyle name="40% - Accent5 11" xfId="11441" hidden="1"/>
    <cellStyle name="40% - Accent5 11" xfId="10609" hidden="1"/>
    <cellStyle name="40% - Accent5 11" xfId="10382" hidden="1"/>
    <cellStyle name="40% - Accent5 11" xfId="10607" hidden="1"/>
    <cellStyle name="40% - Accent5 11" xfId="11819" hidden="1"/>
    <cellStyle name="40% - Accent5 11" xfId="11895" hidden="1"/>
    <cellStyle name="40% - Accent5 11" xfId="11973" hidden="1"/>
    <cellStyle name="40% - Accent5 11" xfId="12156" hidden="1"/>
    <cellStyle name="40% - Accent5 11" xfId="12232" hidden="1"/>
    <cellStyle name="40% - Accent5 11" xfId="12310" hidden="1"/>
    <cellStyle name="40% - Accent5 11" xfId="12493" hidden="1"/>
    <cellStyle name="40% - Accent5 11" xfId="12569" hidden="1"/>
    <cellStyle name="40% - Accent5 11" xfId="12671" hidden="1"/>
    <cellStyle name="40% - Accent5 11" xfId="12745" hidden="1"/>
    <cellStyle name="40% - Accent5 11" xfId="12821" hidden="1"/>
    <cellStyle name="40% - Accent5 11" xfId="12899" hidden="1"/>
    <cellStyle name="40% - Accent5 11" xfId="13484" hidden="1"/>
    <cellStyle name="40% - Accent5 11" xfId="13560" hidden="1"/>
    <cellStyle name="40% - Accent5 11" xfId="13639" hidden="1"/>
    <cellStyle name="40% - Accent5 11" xfId="13263" hidden="1"/>
    <cellStyle name="40% - Accent5 11" xfId="13172" hidden="1"/>
    <cellStyle name="40% - Accent5 11" xfId="13139" hidden="1"/>
    <cellStyle name="40% - Accent5 11" xfId="14079" hidden="1"/>
    <cellStyle name="40% - Accent5 11" xfId="14155" hidden="1"/>
    <cellStyle name="40% - Accent5 11" xfId="14233" hidden="1"/>
    <cellStyle name="40% - Accent5 11" xfId="13401" hidden="1"/>
    <cellStyle name="40% - Accent5 11" xfId="13174" hidden="1"/>
    <cellStyle name="40% - Accent5 11" xfId="13399" hidden="1"/>
    <cellStyle name="40% - Accent5 11" xfId="14611" hidden="1"/>
    <cellStyle name="40% - Accent5 11" xfId="14687" hidden="1"/>
    <cellStyle name="40% - Accent5 11" xfId="14765" hidden="1"/>
    <cellStyle name="40% - Accent5 11" xfId="14948" hidden="1"/>
    <cellStyle name="40% - Accent5 11" xfId="15024" hidden="1"/>
    <cellStyle name="40% - Accent5 11" xfId="15102" hidden="1"/>
    <cellStyle name="40% - Accent5 11" xfId="15285" hidden="1"/>
    <cellStyle name="40% - Accent5 11" xfId="15361" hidden="1"/>
    <cellStyle name="40% - Accent5 11" xfId="9571" hidden="1"/>
    <cellStyle name="40% - Accent5 11" xfId="9458" hidden="1"/>
    <cellStyle name="40% - Accent5 11" xfId="9345" hidden="1"/>
    <cellStyle name="40% - Accent5 11" xfId="9229" hidden="1"/>
    <cellStyle name="40% - Accent5 11" xfId="6977" hidden="1"/>
    <cellStyle name="40% - Accent5 11" xfId="6891" hidden="1"/>
    <cellStyle name="40% - Accent5 11" xfId="6797" hidden="1"/>
    <cellStyle name="40% - Accent5 11" xfId="7661" hidden="1"/>
    <cellStyle name="40% - Accent5 11" xfId="8047" hidden="1"/>
    <cellStyle name="40% - Accent5 11" xfId="8141" hidden="1"/>
    <cellStyle name="40% - Accent5 11" xfId="4831" hidden="1"/>
    <cellStyle name="40% - Accent5 11" xfId="4666" hidden="1"/>
    <cellStyle name="40% - Accent5 11" xfId="4398" hidden="1"/>
    <cellStyle name="40% - Accent5 11" xfId="7202" hidden="1"/>
    <cellStyle name="40% - Accent5 11" xfId="8040" hidden="1"/>
    <cellStyle name="40% - Accent5 11" xfId="7206" hidden="1"/>
    <cellStyle name="40% - Accent5 11" xfId="2694" hidden="1"/>
    <cellStyle name="40% - Accent5 11" xfId="2498" hidden="1"/>
    <cellStyle name="40% - Accent5 11" xfId="2318" hidden="1"/>
    <cellStyle name="40% - Accent5 11" xfId="1354" hidden="1"/>
    <cellStyle name="40% - Accent5 11" xfId="1173" hidden="1"/>
    <cellStyle name="40% - Accent5 11" xfId="930" hidden="1"/>
    <cellStyle name="40% - Accent5 11" xfId="15428" hidden="1"/>
    <cellStyle name="40% - Accent5 11" xfId="15536" hidden="1"/>
    <cellStyle name="40% - Accent5 11" xfId="16220" hidden="1"/>
    <cellStyle name="40% - Accent5 11" xfId="16294" hidden="1"/>
    <cellStyle name="40% - Accent5 11" xfId="16370" hidden="1"/>
    <cellStyle name="40% - Accent5 11" xfId="16448" hidden="1"/>
    <cellStyle name="40% - Accent5 11" xfId="17033" hidden="1"/>
    <cellStyle name="40% - Accent5 11" xfId="17109" hidden="1"/>
    <cellStyle name="40% - Accent5 11" xfId="17188" hidden="1"/>
    <cellStyle name="40% - Accent5 11" xfId="16812" hidden="1"/>
    <cellStyle name="40% - Accent5 11" xfId="16721" hidden="1"/>
    <cellStyle name="40% - Accent5 11" xfId="16688" hidden="1"/>
    <cellStyle name="40% - Accent5 11" xfId="17628" hidden="1"/>
    <cellStyle name="40% - Accent5 11" xfId="17704" hidden="1"/>
    <cellStyle name="40% - Accent5 11" xfId="17782" hidden="1"/>
    <cellStyle name="40% - Accent5 11" xfId="16950" hidden="1"/>
    <cellStyle name="40% - Accent5 11" xfId="16723" hidden="1"/>
    <cellStyle name="40% - Accent5 11" xfId="16948" hidden="1"/>
    <cellStyle name="40% - Accent5 11" xfId="18160" hidden="1"/>
    <cellStyle name="40% - Accent5 11" xfId="18236" hidden="1"/>
    <cellStyle name="40% - Accent5 11" xfId="18314" hidden="1"/>
    <cellStyle name="40% - Accent5 11" xfId="18497" hidden="1"/>
    <cellStyle name="40% - Accent5 11" xfId="18573" hidden="1"/>
    <cellStyle name="40% - Accent5 11" xfId="18651" hidden="1"/>
    <cellStyle name="40% - Accent5 11" xfId="18834" hidden="1"/>
    <cellStyle name="40% - Accent5 11" xfId="18910" hidden="1"/>
    <cellStyle name="40% - Accent5 11" xfId="19012" hidden="1"/>
    <cellStyle name="40% - Accent5 11" xfId="19086" hidden="1"/>
    <cellStyle name="40% - Accent5 11" xfId="19162" hidden="1"/>
    <cellStyle name="40% - Accent5 11" xfId="19240" hidden="1"/>
    <cellStyle name="40% - Accent5 11" xfId="19825" hidden="1"/>
    <cellStyle name="40% - Accent5 11" xfId="19901" hidden="1"/>
    <cellStyle name="40% - Accent5 11" xfId="19980" hidden="1"/>
    <cellStyle name="40% - Accent5 11" xfId="19604" hidden="1"/>
    <cellStyle name="40% - Accent5 11" xfId="19513" hidden="1"/>
    <cellStyle name="40% - Accent5 11" xfId="19480" hidden="1"/>
    <cellStyle name="40% - Accent5 11" xfId="20420" hidden="1"/>
    <cellStyle name="40% - Accent5 11" xfId="20496" hidden="1"/>
    <cellStyle name="40% - Accent5 11" xfId="20574" hidden="1"/>
    <cellStyle name="40% - Accent5 11" xfId="19742" hidden="1"/>
    <cellStyle name="40% - Accent5 11" xfId="19515" hidden="1"/>
    <cellStyle name="40% - Accent5 11" xfId="19740" hidden="1"/>
    <cellStyle name="40% - Accent5 11" xfId="20952" hidden="1"/>
    <cellStyle name="40% - Accent5 11" xfId="21028" hidden="1"/>
    <cellStyle name="40% - Accent5 11" xfId="21106" hidden="1"/>
    <cellStyle name="40% - Accent5 11" xfId="21289" hidden="1"/>
    <cellStyle name="40% - Accent5 11" xfId="21365" hidden="1"/>
    <cellStyle name="40% - Accent5 11" xfId="21443" hidden="1"/>
    <cellStyle name="40% - Accent5 11" xfId="21626" hidden="1"/>
    <cellStyle name="40% - Accent5 11" xfId="21702" hidden="1"/>
    <cellStyle name="40% - Accent5 11" xfId="15971" hidden="1"/>
    <cellStyle name="40% - Accent5 11" xfId="15897" hidden="1"/>
    <cellStyle name="40% - Accent5 11" xfId="15816" hidden="1"/>
    <cellStyle name="40% - Accent5 11" xfId="15730" hidden="1"/>
    <cellStyle name="40% - Accent5 11" xfId="7948" hidden="1"/>
    <cellStyle name="40% - Accent5 11" xfId="7742" hidden="1"/>
    <cellStyle name="40% - Accent5 11" xfId="7463" hidden="1"/>
    <cellStyle name="40% - Accent5 11" xfId="8513" hidden="1"/>
    <cellStyle name="40% - Accent5 11" xfId="8998" hidden="1"/>
    <cellStyle name="40% - Accent5 11" xfId="9067" hidden="1"/>
    <cellStyle name="40% - Accent5 11" xfId="5279" hidden="1"/>
    <cellStyle name="40% - Accent5 11" xfId="5078" hidden="1"/>
    <cellStyle name="40% - Accent5 11" xfId="4971" hidden="1"/>
    <cellStyle name="40% - Accent5 11" xfId="8144" hidden="1"/>
    <cellStyle name="40% - Accent5 11" xfId="8993" hidden="1"/>
    <cellStyle name="40% - Accent5 11" xfId="8149" hidden="1"/>
    <cellStyle name="40% - Accent5 11" xfId="3014" hidden="1"/>
    <cellStyle name="40% - Accent5 11" xfId="2882" hidden="1"/>
    <cellStyle name="40% - Accent5 11" xfId="2655" hidden="1"/>
    <cellStyle name="40% - Accent5 11" xfId="1510" hidden="1"/>
    <cellStyle name="40% - Accent5 11" xfId="1322" hidden="1"/>
    <cellStyle name="40% - Accent5 11" xfId="1095" hidden="1"/>
    <cellStyle name="40% - Accent5 11" xfId="21762" hidden="1"/>
    <cellStyle name="40% - Accent5 11" xfId="21842" hidden="1"/>
    <cellStyle name="40% - Accent5 11" xfId="22371" hidden="1"/>
    <cellStyle name="40% - Accent5 11" xfId="22445" hidden="1"/>
    <cellStyle name="40% - Accent5 11" xfId="22521" hidden="1"/>
    <cellStyle name="40% - Accent5 11" xfId="22599" hidden="1"/>
    <cellStyle name="40% - Accent5 11" xfId="23184" hidden="1"/>
    <cellStyle name="40% - Accent5 11" xfId="23260" hidden="1"/>
    <cellStyle name="40% - Accent5 11" xfId="23339" hidden="1"/>
    <cellStyle name="40% - Accent5 11" xfId="22963" hidden="1"/>
    <cellStyle name="40% - Accent5 11" xfId="22872" hidden="1"/>
    <cellStyle name="40% - Accent5 11" xfId="22839" hidden="1"/>
    <cellStyle name="40% - Accent5 11" xfId="23779" hidden="1"/>
    <cellStyle name="40% - Accent5 11" xfId="23855" hidden="1"/>
    <cellStyle name="40% - Accent5 11" xfId="23933" hidden="1"/>
    <cellStyle name="40% - Accent5 11" xfId="23101" hidden="1"/>
    <cellStyle name="40% - Accent5 11" xfId="22874" hidden="1"/>
    <cellStyle name="40% - Accent5 11" xfId="23099" hidden="1"/>
    <cellStyle name="40% - Accent5 11" xfId="24311" hidden="1"/>
    <cellStyle name="40% - Accent5 11" xfId="24387" hidden="1"/>
    <cellStyle name="40% - Accent5 11" xfId="24465" hidden="1"/>
    <cellStyle name="40% - Accent5 11" xfId="24648" hidden="1"/>
    <cellStyle name="40% - Accent5 11" xfId="24724" hidden="1"/>
    <cellStyle name="40% - Accent5 11" xfId="24802" hidden="1"/>
    <cellStyle name="40% - Accent5 11" xfId="24985" hidden="1"/>
    <cellStyle name="40% - Accent5 11" xfId="25061" hidden="1"/>
    <cellStyle name="40% - Accent5 11" xfId="25163" hidden="1"/>
    <cellStyle name="40% - Accent5 11" xfId="25237" hidden="1"/>
    <cellStyle name="40% - Accent5 11" xfId="25313" hidden="1"/>
    <cellStyle name="40% - Accent5 11" xfId="25391" hidden="1"/>
    <cellStyle name="40% - Accent5 11" xfId="25976" hidden="1"/>
    <cellStyle name="40% - Accent5 11" xfId="26052" hidden="1"/>
    <cellStyle name="40% - Accent5 11" xfId="26131" hidden="1"/>
    <cellStyle name="40% - Accent5 11" xfId="25755" hidden="1"/>
    <cellStyle name="40% - Accent5 11" xfId="25664" hidden="1"/>
    <cellStyle name="40% - Accent5 11" xfId="25631" hidden="1"/>
    <cellStyle name="40% - Accent5 11" xfId="26571" hidden="1"/>
    <cellStyle name="40% - Accent5 11" xfId="26647" hidden="1"/>
    <cellStyle name="40% - Accent5 11" xfId="26725" hidden="1"/>
    <cellStyle name="40% - Accent5 11" xfId="25893" hidden="1"/>
    <cellStyle name="40% - Accent5 11" xfId="25666" hidden="1"/>
    <cellStyle name="40% - Accent5 11" xfId="25891" hidden="1"/>
    <cellStyle name="40% - Accent5 11" xfId="27103" hidden="1"/>
    <cellStyle name="40% - Accent5 11" xfId="27179" hidden="1"/>
    <cellStyle name="40% - Accent5 11" xfId="27257" hidden="1"/>
    <cellStyle name="40% - Accent5 11" xfId="27440" hidden="1"/>
    <cellStyle name="40% - Accent5 11" xfId="27516" hidden="1"/>
    <cellStyle name="40% - Accent5 11" xfId="27594" hidden="1"/>
    <cellStyle name="40% - Accent5 11" xfId="27777" hidden="1"/>
    <cellStyle name="40% - Accent5 11" xfId="27853" hidden="1"/>
    <cellStyle name="40% - Accent5 11" xfId="22224" hidden="1"/>
    <cellStyle name="40% - Accent5 11" xfId="22150" hidden="1"/>
    <cellStyle name="40% - Accent5 11" xfId="22069" hidden="1"/>
    <cellStyle name="40% - Accent5 11" xfId="21986" hidden="1"/>
    <cellStyle name="40% - Accent5 11" xfId="8848" hidden="1"/>
    <cellStyle name="40% - Accent5 11" xfId="8552" hidden="1"/>
    <cellStyle name="40% - Accent5 11" xfId="8413" hidden="1"/>
    <cellStyle name="40% - Accent5 11" xfId="9601" hidden="1"/>
    <cellStyle name="40% - Accent5 11" xfId="15562" hidden="1"/>
    <cellStyle name="40% - Accent5 11" xfId="15602" hidden="1"/>
    <cellStyle name="40% - Accent5 11" xfId="5825" hidden="1"/>
    <cellStyle name="40% - Accent5 11" xfId="5585" hidden="1"/>
    <cellStyle name="40% - Accent5 11" xfId="5489" hidden="1"/>
    <cellStyle name="40% - Accent5 11" xfId="9073" hidden="1"/>
    <cellStyle name="40% - Accent5 11" xfId="15560" hidden="1"/>
    <cellStyle name="40% - Accent5 11" xfId="9077" hidden="1"/>
    <cellStyle name="40% - Accent5 11" xfId="3347" hidden="1"/>
    <cellStyle name="40% - Accent5 11" xfId="3155" hidden="1"/>
    <cellStyle name="40% - Accent5 11" xfId="2984" hidden="1"/>
    <cellStyle name="40% - Accent5 11" xfId="1641" hidden="1"/>
    <cellStyle name="40% - Accent5 11" xfId="1487" hidden="1"/>
    <cellStyle name="40% - Accent5 11" xfId="1233" hidden="1"/>
    <cellStyle name="40% - Accent5 11" xfId="27912" hidden="1"/>
    <cellStyle name="40% - Accent5 11" xfId="27988" hidden="1"/>
    <cellStyle name="40% - Accent5 11" xfId="28090" hidden="1"/>
    <cellStyle name="40% - Accent5 11" xfId="28164" hidden="1"/>
    <cellStyle name="40% - Accent5 11" xfId="28240" hidden="1"/>
    <cellStyle name="40% - Accent5 11" xfId="28318" hidden="1"/>
    <cellStyle name="40% - Accent5 11" xfId="28903" hidden="1"/>
    <cellStyle name="40% - Accent5 11" xfId="28979" hidden="1"/>
    <cellStyle name="40% - Accent5 11" xfId="29058" hidden="1"/>
    <cellStyle name="40% - Accent5 11" xfId="28682" hidden="1"/>
    <cellStyle name="40% - Accent5 11" xfId="28591" hidden="1"/>
    <cellStyle name="40% - Accent5 11" xfId="28558" hidden="1"/>
    <cellStyle name="40% - Accent5 11" xfId="29498" hidden="1"/>
    <cellStyle name="40% - Accent5 11" xfId="29574" hidden="1"/>
    <cellStyle name="40% - Accent5 11" xfId="29652" hidden="1"/>
    <cellStyle name="40% - Accent5 11" xfId="28820" hidden="1"/>
    <cellStyle name="40% - Accent5 11" xfId="28593" hidden="1"/>
    <cellStyle name="40% - Accent5 11" xfId="28818" hidden="1"/>
    <cellStyle name="40% - Accent5 11" xfId="30030" hidden="1"/>
    <cellStyle name="40% - Accent5 11" xfId="30106" hidden="1"/>
    <cellStyle name="40% - Accent5 11" xfId="30184" hidden="1"/>
    <cellStyle name="40% - Accent5 11" xfId="30367" hidden="1"/>
    <cellStyle name="40% - Accent5 11" xfId="30443" hidden="1"/>
    <cellStyle name="40% - Accent5 11" xfId="30521" hidden="1"/>
    <cellStyle name="40% - Accent5 11" xfId="30704" hidden="1"/>
    <cellStyle name="40% - Accent5 11" xfId="30780" hidden="1"/>
    <cellStyle name="40% - Accent5 11" xfId="30882" hidden="1"/>
    <cellStyle name="40% - Accent5 11" xfId="30956" hidden="1"/>
    <cellStyle name="40% - Accent5 11" xfId="31032" hidden="1"/>
    <cellStyle name="40% - Accent5 11" xfId="31110" hidden="1"/>
    <cellStyle name="40% - Accent5 11" xfId="31695" hidden="1"/>
    <cellStyle name="40% - Accent5 11" xfId="31771" hidden="1"/>
    <cellStyle name="40% - Accent5 11" xfId="31850" hidden="1"/>
    <cellStyle name="40% - Accent5 11" xfId="31474" hidden="1"/>
    <cellStyle name="40% - Accent5 11" xfId="31383" hidden="1"/>
    <cellStyle name="40% - Accent5 11" xfId="31350" hidden="1"/>
    <cellStyle name="40% - Accent5 11" xfId="32290" hidden="1"/>
    <cellStyle name="40% - Accent5 11" xfId="32366" hidden="1"/>
    <cellStyle name="40% - Accent5 11" xfId="32444" hidden="1"/>
    <cellStyle name="40% - Accent5 11" xfId="31612" hidden="1"/>
    <cellStyle name="40% - Accent5 11" xfId="31385" hidden="1"/>
    <cellStyle name="40% - Accent5 11" xfId="31610" hidden="1"/>
    <cellStyle name="40% - Accent5 11" xfId="32822" hidden="1"/>
    <cellStyle name="40% - Accent5 11" xfId="32898" hidden="1"/>
    <cellStyle name="40% - Accent5 11" xfId="32976" hidden="1"/>
    <cellStyle name="40% - Accent5 11" xfId="33159" hidden="1"/>
    <cellStyle name="40% - Accent5 11" xfId="33235" hidden="1"/>
    <cellStyle name="40% - Accent5 11" xfId="33313" hidden="1"/>
    <cellStyle name="40% - Accent5 11" xfId="33496" hidden="1"/>
    <cellStyle name="40% - Accent5 11" xfId="33572" hidden="1"/>
    <cellStyle name="40% - Accent5 12" xfId="204" hidden="1"/>
    <cellStyle name="40% - Accent5 12" xfId="282" hidden="1"/>
    <cellStyle name="40% - Accent5 12" xfId="429" hidden="1"/>
    <cellStyle name="40% - Accent5 12" xfId="738" hidden="1"/>
    <cellStyle name="40% - Accent5 12" xfId="2453" hidden="1"/>
    <cellStyle name="40% - Accent5 12" xfId="2605" hidden="1"/>
    <cellStyle name="40% - Accent5 12" xfId="2812" hidden="1"/>
    <cellStyle name="40% - Accent5 12" xfId="3794" hidden="1"/>
    <cellStyle name="40% - Accent5 12" xfId="2036" hidden="1"/>
    <cellStyle name="40% - Accent5 12" xfId="2024" hidden="1"/>
    <cellStyle name="40% - Accent5 12" xfId="4432" hidden="1"/>
    <cellStyle name="40% - Accent5 12" xfId="4622" hidden="1"/>
    <cellStyle name="40% - Accent5 12" xfId="4783" hidden="1"/>
    <cellStyle name="40% - Accent5 12" xfId="5804" hidden="1"/>
    <cellStyle name="40% - Accent5 12" xfId="2078" hidden="1"/>
    <cellStyle name="40% - Accent5 12" xfId="2943" hidden="1"/>
    <cellStyle name="40% - Accent5 12" xfId="6394" hidden="1"/>
    <cellStyle name="40% - Accent5 12" xfId="6499" hidden="1"/>
    <cellStyle name="40% - Accent5 12" xfId="6696" hidden="1"/>
    <cellStyle name="40% - Accent5 12" xfId="7575" hidden="1"/>
    <cellStyle name="40% - Accent5 12" xfId="7718" hidden="1"/>
    <cellStyle name="40% - Accent5 12" xfId="7892" hidden="1"/>
    <cellStyle name="40% - Accent5 12" xfId="8814" hidden="1"/>
    <cellStyle name="40% - Accent5 12" xfId="8983" hidden="1"/>
    <cellStyle name="40% - Accent5 12" xfId="9892" hidden="1"/>
    <cellStyle name="40% - Accent5 12" xfId="9967" hidden="1"/>
    <cellStyle name="40% - Accent5 12" xfId="10042" hidden="1"/>
    <cellStyle name="40% - Accent5 12" xfId="10120" hidden="1"/>
    <cellStyle name="40% - Accent5 12" xfId="10706" hidden="1"/>
    <cellStyle name="40% - Accent5 12" xfId="10781" hidden="1"/>
    <cellStyle name="40% - Accent5 12" xfId="10860" hidden="1"/>
    <cellStyle name="40% - Accent5 12" xfId="11078" hidden="1"/>
    <cellStyle name="40% - Accent5 12" xfId="10503" hidden="1"/>
    <cellStyle name="40% - Accent5 12" xfId="10492" hidden="1"/>
    <cellStyle name="40% - Accent5 12" xfId="11301" hidden="1"/>
    <cellStyle name="40% - Accent5 12" xfId="11376" hidden="1"/>
    <cellStyle name="40% - Accent5 12" xfId="11454" hidden="1"/>
    <cellStyle name="40% - Accent5 12" xfId="11637" hidden="1"/>
    <cellStyle name="40% - Accent5 12" xfId="10539" hidden="1"/>
    <cellStyle name="40% - Accent5 12" xfId="10900" hidden="1"/>
    <cellStyle name="40% - Accent5 12" xfId="11833" hidden="1"/>
    <cellStyle name="40% - Accent5 12" xfId="11908" hidden="1"/>
    <cellStyle name="40% - Accent5 12" xfId="11986" hidden="1"/>
    <cellStyle name="40% - Accent5 12" xfId="12170" hidden="1"/>
    <cellStyle name="40% - Accent5 12" xfId="12245" hidden="1"/>
    <cellStyle name="40% - Accent5 12" xfId="12323" hidden="1"/>
    <cellStyle name="40% - Accent5 12" xfId="12507" hidden="1"/>
    <cellStyle name="40% - Accent5 12" xfId="12582" hidden="1"/>
    <cellStyle name="40% - Accent5 12" xfId="12684" hidden="1"/>
    <cellStyle name="40% - Accent5 12" xfId="12759" hidden="1"/>
    <cellStyle name="40% - Accent5 12" xfId="12834" hidden="1"/>
    <cellStyle name="40% - Accent5 12" xfId="12912" hidden="1"/>
    <cellStyle name="40% - Accent5 12" xfId="13498" hidden="1"/>
    <cellStyle name="40% - Accent5 12" xfId="13573" hidden="1"/>
    <cellStyle name="40% - Accent5 12" xfId="13652" hidden="1"/>
    <cellStyle name="40% - Accent5 12" xfId="13870" hidden="1"/>
    <cellStyle name="40% - Accent5 12" xfId="13295" hidden="1"/>
    <cellStyle name="40% - Accent5 12" xfId="13284" hidden="1"/>
    <cellStyle name="40% - Accent5 12" xfId="14093" hidden="1"/>
    <cellStyle name="40% - Accent5 12" xfId="14168" hidden="1"/>
    <cellStyle name="40% - Accent5 12" xfId="14246" hidden="1"/>
    <cellStyle name="40% - Accent5 12" xfId="14429" hidden="1"/>
    <cellStyle name="40% - Accent5 12" xfId="13331" hidden="1"/>
    <cellStyle name="40% - Accent5 12" xfId="13692" hidden="1"/>
    <cellStyle name="40% - Accent5 12" xfId="14625" hidden="1"/>
    <cellStyle name="40% - Accent5 12" xfId="14700" hidden="1"/>
    <cellStyle name="40% - Accent5 12" xfId="14778" hidden="1"/>
    <cellStyle name="40% - Accent5 12" xfId="14962" hidden="1"/>
    <cellStyle name="40% - Accent5 12" xfId="15037" hidden="1"/>
    <cellStyle name="40% - Accent5 12" xfId="15115" hidden="1"/>
    <cellStyle name="40% - Accent5 12" xfId="15299" hidden="1"/>
    <cellStyle name="40% - Accent5 12" xfId="15374" hidden="1"/>
    <cellStyle name="40% - Accent5 12" xfId="9554" hidden="1"/>
    <cellStyle name="40% - Accent5 12" xfId="9443" hidden="1"/>
    <cellStyle name="40% - Accent5 12" xfId="9330" hidden="1"/>
    <cellStyle name="40% - Accent5 12" xfId="9213" hidden="1"/>
    <cellStyle name="40% - Accent5 12" xfId="6961" hidden="1"/>
    <cellStyle name="40% - Accent5 12" xfId="6877" hidden="1"/>
    <cellStyle name="40% - Accent5 12" xfId="6782" hidden="1"/>
    <cellStyle name="40% - Accent5 12" xfId="5721" hidden="1"/>
    <cellStyle name="40% - Accent5 12" xfId="7533" hidden="1"/>
    <cellStyle name="40% - Accent5 12" xfId="7594" hidden="1"/>
    <cellStyle name="40% - Accent5 12" xfId="4811" hidden="1"/>
    <cellStyle name="40% - Accent5 12" xfId="4647" hidden="1"/>
    <cellStyle name="40% - Accent5 12" xfId="4340" hidden="1"/>
    <cellStyle name="40% - Accent5 12" xfId="3646" hidden="1"/>
    <cellStyle name="40% - Accent5 12" xfId="7419" hidden="1"/>
    <cellStyle name="40% - Accent5 12" xfId="6633" hidden="1"/>
    <cellStyle name="40% - Accent5 12" xfId="2669" hidden="1"/>
    <cellStyle name="40% - Accent5 12" xfId="2480" hidden="1"/>
    <cellStyle name="40% - Accent5 12" xfId="2305" hidden="1"/>
    <cellStyle name="40% - Accent5 12" xfId="1333" hidden="1"/>
    <cellStyle name="40% - Accent5 12" xfId="1157" hidden="1"/>
    <cellStyle name="40% - Accent5 12" xfId="916" hidden="1"/>
    <cellStyle name="40% - Accent5 12" xfId="15445" hidden="1"/>
    <cellStyle name="40% - Accent5 12" xfId="15553" hidden="1"/>
    <cellStyle name="40% - Accent5 12" xfId="16233" hidden="1"/>
    <cellStyle name="40% - Accent5 12" xfId="16308" hidden="1"/>
    <cellStyle name="40% - Accent5 12" xfId="16383" hidden="1"/>
    <cellStyle name="40% - Accent5 12" xfId="16461" hidden="1"/>
    <cellStyle name="40% - Accent5 12" xfId="17047" hidden="1"/>
    <cellStyle name="40% - Accent5 12" xfId="17122" hidden="1"/>
    <cellStyle name="40% - Accent5 12" xfId="17201" hidden="1"/>
    <cellStyle name="40% - Accent5 12" xfId="17419" hidden="1"/>
    <cellStyle name="40% - Accent5 12" xfId="16844" hidden="1"/>
    <cellStyle name="40% - Accent5 12" xfId="16833" hidden="1"/>
    <cellStyle name="40% - Accent5 12" xfId="17642" hidden="1"/>
    <cellStyle name="40% - Accent5 12" xfId="17717" hidden="1"/>
    <cellStyle name="40% - Accent5 12" xfId="17795" hidden="1"/>
    <cellStyle name="40% - Accent5 12" xfId="17978" hidden="1"/>
    <cellStyle name="40% - Accent5 12" xfId="16880" hidden="1"/>
    <cellStyle name="40% - Accent5 12" xfId="17241" hidden="1"/>
    <cellStyle name="40% - Accent5 12" xfId="18174" hidden="1"/>
    <cellStyle name="40% - Accent5 12" xfId="18249" hidden="1"/>
    <cellStyle name="40% - Accent5 12" xfId="18327" hidden="1"/>
    <cellStyle name="40% - Accent5 12" xfId="18511" hidden="1"/>
    <cellStyle name="40% - Accent5 12" xfId="18586" hidden="1"/>
    <cellStyle name="40% - Accent5 12" xfId="18664" hidden="1"/>
    <cellStyle name="40% - Accent5 12" xfId="18848" hidden="1"/>
    <cellStyle name="40% - Accent5 12" xfId="18923" hidden="1"/>
    <cellStyle name="40% - Accent5 12" xfId="19025" hidden="1"/>
    <cellStyle name="40% - Accent5 12" xfId="19100" hidden="1"/>
    <cellStyle name="40% - Accent5 12" xfId="19175" hidden="1"/>
    <cellStyle name="40% - Accent5 12" xfId="19253" hidden="1"/>
    <cellStyle name="40% - Accent5 12" xfId="19839" hidden="1"/>
    <cellStyle name="40% - Accent5 12" xfId="19914" hidden="1"/>
    <cellStyle name="40% - Accent5 12" xfId="19993" hidden="1"/>
    <cellStyle name="40% - Accent5 12" xfId="20211" hidden="1"/>
    <cellStyle name="40% - Accent5 12" xfId="19636" hidden="1"/>
    <cellStyle name="40% - Accent5 12" xfId="19625" hidden="1"/>
    <cellStyle name="40% - Accent5 12" xfId="20434" hidden="1"/>
    <cellStyle name="40% - Accent5 12" xfId="20509" hidden="1"/>
    <cellStyle name="40% - Accent5 12" xfId="20587" hidden="1"/>
    <cellStyle name="40% - Accent5 12" xfId="20770" hidden="1"/>
    <cellStyle name="40% - Accent5 12" xfId="19672" hidden="1"/>
    <cellStyle name="40% - Accent5 12" xfId="20033" hidden="1"/>
    <cellStyle name="40% - Accent5 12" xfId="20966" hidden="1"/>
    <cellStyle name="40% - Accent5 12" xfId="21041" hidden="1"/>
    <cellStyle name="40% - Accent5 12" xfId="21119" hidden="1"/>
    <cellStyle name="40% - Accent5 12" xfId="21303" hidden="1"/>
    <cellStyle name="40% - Accent5 12" xfId="21378" hidden="1"/>
    <cellStyle name="40% - Accent5 12" xfId="21456" hidden="1"/>
    <cellStyle name="40% - Accent5 12" xfId="21640" hidden="1"/>
    <cellStyle name="40% - Accent5 12" xfId="21715" hidden="1"/>
    <cellStyle name="40% - Accent5 12" xfId="15958" hidden="1"/>
    <cellStyle name="40% - Accent5 12" xfId="15883" hidden="1"/>
    <cellStyle name="40% - Accent5 12" xfId="15803" hidden="1"/>
    <cellStyle name="40% - Accent5 12" xfId="15717" hidden="1"/>
    <cellStyle name="40% - Accent5 12" xfId="7928" hidden="1"/>
    <cellStyle name="40% - Accent5 12" xfId="7707" hidden="1"/>
    <cellStyle name="40% - Accent5 12" xfId="7440" hidden="1"/>
    <cellStyle name="40% - Accent5 12" xfId="6218" hidden="1"/>
    <cellStyle name="40% - Accent5 12" xfId="8450" hidden="1"/>
    <cellStyle name="40% - Accent5 12" xfId="8476" hidden="1"/>
    <cellStyle name="40% - Accent5 12" xfId="5264" hidden="1"/>
    <cellStyle name="40% - Accent5 12" xfId="5064" hidden="1"/>
    <cellStyle name="40% - Accent5 12" xfId="4957" hidden="1"/>
    <cellStyle name="40% - Accent5 12" xfId="3838" hidden="1"/>
    <cellStyle name="40% - Accent5 12" xfId="8369" hidden="1"/>
    <cellStyle name="40% - Accent5 12" xfId="7334" hidden="1"/>
    <cellStyle name="40% - Accent5 12" xfId="2990" hidden="1"/>
    <cellStyle name="40% - Accent5 12" xfId="2866" hidden="1"/>
    <cellStyle name="40% - Accent5 12" xfId="2629" hidden="1"/>
    <cellStyle name="40% - Accent5 12" xfId="1485" hidden="1"/>
    <cellStyle name="40% - Accent5 12" xfId="1300" hidden="1"/>
    <cellStyle name="40% - Accent5 12" xfId="1079" hidden="1"/>
    <cellStyle name="40% - Accent5 12" xfId="21776" hidden="1"/>
    <cellStyle name="40% - Accent5 12" xfId="21855" hidden="1"/>
    <cellStyle name="40% - Accent5 12" xfId="22384" hidden="1"/>
    <cellStyle name="40% - Accent5 12" xfId="22459" hidden="1"/>
    <cellStyle name="40% - Accent5 12" xfId="22534" hidden="1"/>
    <cellStyle name="40% - Accent5 12" xfId="22612" hidden="1"/>
    <cellStyle name="40% - Accent5 12" xfId="23198" hidden="1"/>
    <cellStyle name="40% - Accent5 12" xfId="23273" hidden="1"/>
    <cellStyle name="40% - Accent5 12" xfId="23352" hidden="1"/>
    <cellStyle name="40% - Accent5 12" xfId="23570" hidden="1"/>
    <cellStyle name="40% - Accent5 12" xfId="22995" hidden="1"/>
    <cellStyle name="40% - Accent5 12" xfId="22984" hidden="1"/>
    <cellStyle name="40% - Accent5 12" xfId="23793" hidden="1"/>
    <cellStyle name="40% - Accent5 12" xfId="23868" hidden="1"/>
    <cellStyle name="40% - Accent5 12" xfId="23946" hidden="1"/>
    <cellStyle name="40% - Accent5 12" xfId="24129" hidden="1"/>
    <cellStyle name="40% - Accent5 12" xfId="23031" hidden="1"/>
    <cellStyle name="40% - Accent5 12" xfId="23392" hidden="1"/>
    <cellStyle name="40% - Accent5 12" xfId="24325" hidden="1"/>
    <cellStyle name="40% - Accent5 12" xfId="24400" hidden="1"/>
    <cellStyle name="40% - Accent5 12" xfId="24478" hidden="1"/>
    <cellStyle name="40% - Accent5 12" xfId="24662" hidden="1"/>
    <cellStyle name="40% - Accent5 12" xfId="24737" hidden="1"/>
    <cellStyle name="40% - Accent5 12" xfId="24815" hidden="1"/>
    <cellStyle name="40% - Accent5 12" xfId="24999" hidden="1"/>
    <cellStyle name="40% - Accent5 12" xfId="25074" hidden="1"/>
    <cellStyle name="40% - Accent5 12" xfId="25176" hidden="1"/>
    <cellStyle name="40% - Accent5 12" xfId="25251" hidden="1"/>
    <cellStyle name="40% - Accent5 12" xfId="25326" hidden="1"/>
    <cellStyle name="40% - Accent5 12" xfId="25404" hidden="1"/>
    <cellStyle name="40% - Accent5 12" xfId="25990" hidden="1"/>
    <cellStyle name="40% - Accent5 12" xfId="26065" hidden="1"/>
    <cellStyle name="40% - Accent5 12" xfId="26144" hidden="1"/>
    <cellStyle name="40% - Accent5 12" xfId="26362" hidden="1"/>
    <cellStyle name="40% - Accent5 12" xfId="25787" hidden="1"/>
    <cellStyle name="40% - Accent5 12" xfId="25776" hidden="1"/>
    <cellStyle name="40% - Accent5 12" xfId="26585" hidden="1"/>
    <cellStyle name="40% - Accent5 12" xfId="26660" hidden="1"/>
    <cellStyle name="40% - Accent5 12" xfId="26738" hidden="1"/>
    <cellStyle name="40% - Accent5 12" xfId="26921" hidden="1"/>
    <cellStyle name="40% - Accent5 12" xfId="25823" hidden="1"/>
    <cellStyle name="40% - Accent5 12" xfId="26184" hidden="1"/>
    <cellStyle name="40% - Accent5 12" xfId="27117" hidden="1"/>
    <cellStyle name="40% - Accent5 12" xfId="27192" hidden="1"/>
    <cellStyle name="40% - Accent5 12" xfId="27270" hidden="1"/>
    <cellStyle name="40% - Accent5 12" xfId="27454" hidden="1"/>
    <cellStyle name="40% - Accent5 12" xfId="27529" hidden="1"/>
    <cellStyle name="40% - Accent5 12" xfId="27607" hidden="1"/>
    <cellStyle name="40% - Accent5 12" xfId="27791" hidden="1"/>
    <cellStyle name="40% - Accent5 12" xfId="27866" hidden="1"/>
    <cellStyle name="40% - Accent5 12" xfId="22211" hidden="1"/>
    <cellStyle name="40% - Accent5 12" xfId="22136" hidden="1"/>
    <cellStyle name="40% - Accent5 12" xfId="22056" hidden="1"/>
    <cellStyle name="40% - Accent5 12" xfId="21973" hidden="1"/>
    <cellStyle name="40% - Accent5 12" xfId="8822" hidden="1"/>
    <cellStyle name="40% - Accent5 12" xfId="8531" hidden="1"/>
    <cellStyle name="40% - Accent5 12" xfId="8393" hidden="1"/>
    <cellStyle name="40% - Accent5 12" xfId="6756" hidden="1"/>
    <cellStyle name="40% - Accent5 12" xfId="9510" hidden="1"/>
    <cellStyle name="40% - Accent5 12" xfId="9529" hidden="1"/>
    <cellStyle name="40% - Accent5 12" xfId="5805" hidden="1"/>
    <cellStyle name="40% - Accent5 12" xfId="5570" hidden="1"/>
    <cellStyle name="40% - Accent5 12" xfId="5475" hidden="1"/>
    <cellStyle name="40% - Accent5 12" xfId="4014" hidden="1"/>
    <cellStyle name="40% - Accent5 12" xfId="9396" hidden="1"/>
    <cellStyle name="40% - Accent5 12" xfId="8191" hidden="1"/>
    <cellStyle name="40% - Accent5 12" xfId="3330" hidden="1"/>
    <cellStyle name="40% - Accent5 12" xfId="3142" hidden="1"/>
    <cellStyle name="40% - Accent5 12" xfId="2961" hidden="1"/>
    <cellStyle name="40% - Accent5 12" xfId="1626" hidden="1"/>
    <cellStyle name="40% - Accent5 12" xfId="1458" hidden="1"/>
    <cellStyle name="40% - Accent5 12" xfId="1193" hidden="1"/>
    <cellStyle name="40% - Accent5 12" xfId="27926" hidden="1"/>
    <cellStyle name="40% - Accent5 12" xfId="28001" hidden="1"/>
    <cellStyle name="40% - Accent5 12" xfId="28103" hidden="1"/>
    <cellStyle name="40% - Accent5 12" xfId="28178" hidden="1"/>
    <cellStyle name="40% - Accent5 12" xfId="28253" hidden="1"/>
    <cellStyle name="40% - Accent5 12" xfId="28331" hidden="1"/>
    <cellStyle name="40% - Accent5 12" xfId="28917" hidden="1"/>
    <cellStyle name="40% - Accent5 12" xfId="28992" hidden="1"/>
    <cellStyle name="40% - Accent5 12" xfId="29071" hidden="1"/>
    <cellStyle name="40% - Accent5 12" xfId="29289" hidden="1"/>
    <cellStyle name="40% - Accent5 12" xfId="28714" hidden="1"/>
    <cellStyle name="40% - Accent5 12" xfId="28703" hidden="1"/>
    <cellStyle name="40% - Accent5 12" xfId="29512" hidden="1"/>
    <cellStyle name="40% - Accent5 12" xfId="29587" hidden="1"/>
    <cellStyle name="40% - Accent5 12" xfId="29665" hidden="1"/>
    <cellStyle name="40% - Accent5 12" xfId="29848" hidden="1"/>
    <cellStyle name="40% - Accent5 12" xfId="28750" hidden="1"/>
    <cellStyle name="40% - Accent5 12" xfId="29111" hidden="1"/>
    <cellStyle name="40% - Accent5 12" xfId="30044" hidden="1"/>
    <cellStyle name="40% - Accent5 12" xfId="30119" hidden="1"/>
    <cellStyle name="40% - Accent5 12" xfId="30197" hidden="1"/>
    <cellStyle name="40% - Accent5 12" xfId="30381" hidden="1"/>
    <cellStyle name="40% - Accent5 12" xfId="30456" hidden="1"/>
    <cellStyle name="40% - Accent5 12" xfId="30534" hidden="1"/>
    <cellStyle name="40% - Accent5 12" xfId="30718" hidden="1"/>
    <cellStyle name="40% - Accent5 12" xfId="30793" hidden="1"/>
    <cellStyle name="40% - Accent5 12" xfId="30895" hidden="1"/>
    <cellStyle name="40% - Accent5 12" xfId="30970" hidden="1"/>
    <cellStyle name="40% - Accent5 12" xfId="31045" hidden="1"/>
    <cellStyle name="40% - Accent5 12" xfId="31123" hidden="1"/>
    <cellStyle name="40% - Accent5 12" xfId="31709" hidden="1"/>
    <cellStyle name="40% - Accent5 12" xfId="31784" hidden="1"/>
    <cellStyle name="40% - Accent5 12" xfId="31863" hidden="1"/>
    <cellStyle name="40% - Accent5 12" xfId="32081" hidden="1"/>
    <cellStyle name="40% - Accent5 12" xfId="31506" hidden="1"/>
    <cellStyle name="40% - Accent5 12" xfId="31495" hidden="1"/>
    <cellStyle name="40% - Accent5 12" xfId="32304" hidden="1"/>
    <cellStyle name="40% - Accent5 12" xfId="32379" hidden="1"/>
    <cellStyle name="40% - Accent5 12" xfId="32457" hidden="1"/>
    <cellStyle name="40% - Accent5 12" xfId="32640" hidden="1"/>
    <cellStyle name="40% - Accent5 12" xfId="31542" hidden="1"/>
    <cellStyle name="40% - Accent5 12" xfId="31903" hidden="1"/>
    <cellStyle name="40% - Accent5 12" xfId="32836" hidden="1"/>
    <cellStyle name="40% - Accent5 12" xfId="32911" hidden="1"/>
    <cellStyle name="40% - Accent5 12" xfId="32989" hidden="1"/>
    <cellStyle name="40% - Accent5 12" xfId="33173" hidden="1"/>
    <cellStyle name="40% - Accent5 12" xfId="33248" hidden="1"/>
    <cellStyle name="40% - Accent5 12" xfId="33326" hidden="1"/>
    <cellStyle name="40% - Accent5 12" xfId="33510" hidden="1"/>
    <cellStyle name="40% - Accent5 12" xfId="33585" hidden="1"/>
    <cellStyle name="40% - Accent5 13" xfId="751" hidden="1"/>
    <cellStyle name="40% - Accent5 13" xfId="958" hidden="1"/>
    <cellStyle name="40% - Accent5 13" xfId="3524" hidden="1"/>
    <cellStyle name="40% - Accent5 13" xfId="4039" hidden="1"/>
    <cellStyle name="40% - Accent5 13" xfId="5358" hidden="1"/>
    <cellStyle name="40% - Accent5 13" xfId="6055" hidden="1"/>
    <cellStyle name="40% - Accent5 13" xfId="7072" hidden="1"/>
    <cellStyle name="40% - Accent5 13" xfId="8275" hidden="1"/>
    <cellStyle name="40% - Accent5 13" xfId="10133" hidden="1"/>
    <cellStyle name="40% - Accent5 13" xfId="10248" hidden="1"/>
    <cellStyle name="40% - Accent5 13" xfId="10971" hidden="1"/>
    <cellStyle name="40% - Accent5 13" xfId="11144" hidden="1"/>
    <cellStyle name="40% - Accent5 13" xfId="11537" hidden="1"/>
    <cellStyle name="40% - Accent5 13" xfId="11685" hidden="1"/>
    <cellStyle name="40% - Accent5 13" xfId="12023" hidden="1"/>
    <cellStyle name="40% - Accent5 13" xfId="12360" hidden="1"/>
    <cellStyle name="40% - Accent5 13" xfId="12925" hidden="1"/>
    <cellStyle name="40% - Accent5 13" xfId="13040" hidden="1"/>
    <cellStyle name="40% - Accent5 13" xfId="13763" hidden="1"/>
    <cellStyle name="40% - Accent5 13" xfId="13936" hidden="1"/>
    <cellStyle name="40% - Accent5 13" xfId="14329" hidden="1"/>
    <cellStyle name="40% - Accent5 13" xfId="14477" hidden="1"/>
    <cellStyle name="40% - Accent5 13" xfId="14815" hidden="1"/>
    <cellStyle name="40% - Accent5 13" xfId="15152" hidden="1"/>
    <cellStyle name="40% - Accent5 13" xfId="9196" hidden="1"/>
    <cellStyle name="40% - Accent5 13" xfId="8652" hidden="1"/>
    <cellStyle name="40% - Accent5 13" xfId="6023" hidden="1"/>
    <cellStyle name="40% - Accent5 13" xfId="5231" hidden="1"/>
    <cellStyle name="40% - Accent5 13" xfId="3950" hidden="1"/>
    <cellStyle name="40% - Accent5 13" xfId="3269" hidden="1"/>
    <cellStyle name="40% - Accent5 13" xfId="1836" hidden="1"/>
    <cellStyle name="40% - Accent5 13" xfId="462" hidden="1"/>
    <cellStyle name="40% - Accent5 13" xfId="16474" hidden="1"/>
    <cellStyle name="40% - Accent5 13" xfId="16589" hidden="1"/>
    <cellStyle name="40% - Accent5 13" xfId="17312" hidden="1"/>
    <cellStyle name="40% - Accent5 13" xfId="17485" hidden="1"/>
    <cellStyle name="40% - Accent5 13" xfId="17878" hidden="1"/>
    <cellStyle name="40% - Accent5 13" xfId="18026" hidden="1"/>
    <cellStyle name="40% - Accent5 13" xfId="18364" hidden="1"/>
    <cellStyle name="40% - Accent5 13" xfId="18701" hidden="1"/>
    <cellStyle name="40% - Accent5 13" xfId="19266" hidden="1"/>
    <cellStyle name="40% - Accent5 13" xfId="19381" hidden="1"/>
    <cellStyle name="40% - Accent5 13" xfId="20104" hidden="1"/>
    <cellStyle name="40% - Accent5 13" xfId="20277" hidden="1"/>
    <cellStyle name="40% - Accent5 13" xfId="20670" hidden="1"/>
    <cellStyle name="40% - Accent5 13" xfId="20818" hidden="1"/>
    <cellStyle name="40% - Accent5 13" xfId="21156" hidden="1"/>
    <cellStyle name="40% - Accent5 13" xfId="21493" hidden="1"/>
    <cellStyle name="40% - Accent5 13" xfId="15704" hidden="1"/>
    <cellStyle name="40% - Accent5 13" xfId="9747" hidden="1"/>
    <cellStyle name="40% - Accent5 13" xfId="6606" hidden="1"/>
    <cellStyle name="40% - Accent5 13" xfId="5762" hidden="1"/>
    <cellStyle name="40% - Accent5 13" xfId="4217" hidden="1"/>
    <cellStyle name="40% - Accent5 13" xfId="3498" hidden="1"/>
    <cellStyle name="40% - Accent5 13" xfId="2009" hidden="1"/>
    <cellStyle name="40% - Accent5 13" xfId="569" hidden="1"/>
    <cellStyle name="40% - Accent5 13" xfId="22625" hidden="1"/>
    <cellStyle name="40% - Accent5 13" xfId="22740" hidden="1"/>
    <cellStyle name="40% - Accent5 13" xfId="23463" hidden="1"/>
    <cellStyle name="40% - Accent5 13" xfId="23636" hidden="1"/>
    <cellStyle name="40% - Accent5 13" xfId="24029" hidden="1"/>
    <cellStyle name="40% - Accent5 13" xfId="24177" hidden="1"/>
    <cellStyle name="40% - Accent5 13" xfId="24515" hidden="1"/>
    <cellStyle name="40% - Accent5 13" xfId="24852" hidden="1"/>
    <cellStyle name="40% - Accent5 13" xfId="25417" hidden="1"/>
    <cellStyle name="40% - Accent5 13" xfId="25532" hidden="1"/>
    <cellStyle name="40% - Accent5 13" xfId="26255" hidden="1"/>
    <cellStyle name="40% - Accent5 13" xfId="26428" hidden="1"/>
    <cellStyle name="40% - Accent5 13" xfId="26821" hidden="1"/>
    <cellStyle name="40% - Accent5 13" xfId="26969" hidden="1"/>
    <cellStyle name="40% - Accent5 13" xfId="27307" hidden="1"/>
    <cellStyle name="40% - Accent5 13" xfId="27644" hidden="1"/>
    <cellStyle name="40% - Accent5 13" xfId="21960" hidden="1"/>
    <cellStyle name="40% - Accent5 13" xfId="16128" hidden="1"/>
    <cellStyle name="40% - Accent5 13" xfId="7309" hidden="1"/>
    <cellStyle name="40% - Accent5 13" xfId="6274" hidden="1"/>
    <cellStyle name="40% - Accent5 13" xfId="4529" hidden="1"/>
    <cellStyle name="40% - Accent5 13" xfId="3754" hidden="1"/>
    <cellStyle name="40% - Accent5 13" xfId="2190" hidden="1"/>
    <cellStyle name="40% - Accent5 13" xfId="704" hidden="1"/>
    <cellStyle name="40% - Accent5 13" xfId="28344" hidden="1"/>
    <cellStyle name="40% - Accent5 13" xfId="28459" hidden="1"/>
    <cellStyle name="40% - Accent5 13" xfId="29182" hidden="1"/>
    <cellStyle name="40% - Accent5 13" xfId="29355" hidden="1"/>
    <cellStyle name="40% - Accent5 13" xfId="29748" hidden="1"/>
    <cellStyle name="40% - Accent5 13" xfId="29896" hidden="1"/>
    <cellStyle name="40% - Accent5 13" xfId="30234" hidden="1"/>
    <cellStyle name="40% - Accent5 13" xfId="30571" hidden="1"/>
    <cellStyle name="40% - Accent5 13" xfId="31136" hidden="1"/>
    <cellStyle name="40% - Accent5 13" xfId="31251" hidden="1"/>
    <cellStyle name="40% - Accent5 13" xfId="31974" hidden="1"/>
    <cellStyle name="40% - Accent5 13" xfId="32147" hidden="1"/>
    <cellStyle name="40% - Accent5 13" xfId="32540" hidden="1"/>
    <cellStyle name="40% - Accent5 13" xfId="32688" hidden="1"/>
    <cellStyle name="40% - Accent5 13" xfId="33026" hidden="1"/>
    <cellStyle name="40% - Accent5 13" xfId="33363" hidden="1"/>
    <cellStyle name="40% - Accent5 3 2 3 2" xfId="837" hidden="1"/>
    <cellStyle name="40% - Accent5 3 2 3 2" xfId="1045" hidden="1"/>
    <cellStyle name="40% - Accent5 3 2 3 2" xfId="3609" hidden="1"/>
    <cellStyle name="40% - Accent5 3 2 3 2" xfId="4124" hidden="1"/>
    <cellStyle name="40% - Accent5 3 2 3 2" xfId="5443" hidden="1"/>
    <cellStyle name="40% - Accent5 3 2 3 2" xfId="6140" hidden="1"/>
    <cellStyle name="40% - Accent5 3 2 3 2" xfId="7157" hidden="1"/>
    <cellStyle name="40% - Accent5 3 2 3 2" xfId="8361" hidden="1"/>
    <cellStyle name="40% - Accent5 3 2 3 2" xfId="10218" hidden="1"/>
    <cellStyle name="40% - Accent5 3 2 3 2" xfId="10333" hidden="1"/>
    <cellStyle name="40% - Accent5 3 2 3 2" xfId="11056" hidden="1"/>
    <cellStyle name="40% - Accent5 3 2 3 2" xfId="11229" hidden="1"/>
    <cellStyle name="40% - Accent5 3 2 3 2" xfId="11622" hidden="1"/>
    <cellStyle name="40% - Accent5 3 2 3 2" xfId="11770" hidden="1"/>
    <cellStyle name="40% - Accent5 3 2 3 2" xfId="12108" hidden="1"/>
    <cellStyle name="40% - Accent5 3 2 3 2" xfId="12445" hidden="1"/>
    <cellStyle name="40% - Accent5 3 2 3 2" xfId="13010" hidden="1"/>
    <cellStyle name="40% - Accent5 3 2 3 2" xfId="13125" hidden="1"/>
    <cellStyle name="40% - Accent5 3 2 3 2" xfId="13848" hidden="1"/>
    <cellStyle name="40% - Accent5 3 2 3 2" xfId="14021" hidden="1"/>
    <cellStyle name="40% - Accent5 3 2 3 2" xfId="14414" hidden="1"/>
    <cellStyle name="40% - Accent5 3 2 3 2" xfId="14562" hidden="1"/>
    <cellStyle name="40% - Accent5 3 2 3 2" xfId="14900" hidden="1"/>
    <cellStyle name="40% - Accent5 3 2 3 2" xfId="15237" hidden="1"/>
    <cellStyle name="40% - Accent5 3 2 3 2" xfId="9109" hidden="1"/>
    <cellStyle name="40% - Accent5 3 2 3 2" xfId="8565" hidden="1"/>
    <cellStyle name="40% - Accent5 3 2 3 2" xfId="5937" hidden="1"/>
    <cellStyle name="40% - Accent5 3 2 3 2" xfId="5145" hidden="1"/>
    <cellStyle name="40% - Accent5 3 2 3 2" xfId="3860" hidden="1"/>
    <cellStyle name="40% - Accent5 3 2 3 2" xfId="3181" hidden="1"/>
    <cellStyle name="40% - Accent5 3 2 3 2" xfId="1738" hidden="1"/>
    <cellStyle name="40% - Accent5 3 2 3 2" xfId="330" hidden="1"/>
    <cellStyle name="40% - Accent5 3 2 3 2" xfId="16559" hidden="1"/>
    <cellStyle name="40% - Accent5 3 2 3 2" xfId="16674" hidden="1"/>
    <cellStyle name="40% - Accent5 3 2 3 2" xfId="17397" hidden="1"/>
    <cellStyle name="40% - Accent5 3 2 3 2" xfId="17570" hidden="1"/>
    <cellStyle name="40% - Accent5 3 2 3 2" xfId="17963" hidden="1"/>
    <cellStyle name="40% - Accent5 3 2 3 2" xfId="18111" hidden="1"/>
    <cellStyle name="40% - Accent5 3 2 3 2" xfId="18449" hidden="1"/>
    <cellStyle name="40% - Accent5 3 2 3 2" xfId="18786" hidden="1"/>
    <cellStyle name="40% - Accent5 3 2 3 2" xfId="19351" hidden="1"/>
    <cellStyle name="40% - Accent5 3 2 3 2" xfId="19466" hidden="1"/>
    <cellStyle name="40% - Accent5 3 2 3 2" xfId="20189" hidden="1"/>
    <cellStyle name="40% - Accent5 3 2 3 2" xfId="20362" hidden="1"/>
    <cellStyle name="40% - Accent5 3 2 3 2" xfId="20755" hidden="1"/>
    <cellStyle name="40% - Accent5 3 2 3 2" xfId="20903" hidden="1"/>
    <cellStyle name="40% - Accent5 3 2 3 2" xfId="21241" hidden="1"/>
    <cellStyle name="40% - Accent5 3 2 3 2" xfId="21578" hidden="1"/>
    <cellStyle name="40% - Accent5 3 2 3 2" xfId="15617" hidden="1"/>
    <cellStyle name="40% - Accent5 3 2 3 2" xfId="9662" hidden="1"/>
    <cellStyle name="40% - Accent5 3 2 3 2" xfId="6505" hidden="1"/>
    <cellStyle name="40% - Accent5 3 2 3 2" xfId="5657" hidden="1"/>
    <cellStyle name="40% - Accent5 3 2 3 2" xfId="4131" hidden="1"/>
    <cellStyle name="40% - Accent5 3 2 3 2" xfId="3409" hidden="1"/>
    <cellStyle name="40% - Accent5 3 2 3 2" xfId="1910" hidden="1"/>
    <cellStyle name="40% - Accent5 3 2 3 2" xfId="456" hidden="1"/>
    <cellStyle name="40% - Accent5 3 2 3 2" xfId="22710" hidden="1"/>
    <cellStyle name="40% - Accent5 3 2 3 2" xfId="22825" hidden="1"/>
    <cellStyle name="40% - Accent5 3 2 3 2" xfId="23548" hidden="1"/>
    <cellStyle name="40% - Accent5 3 2 3 2" xfId="23721" hidden="1"/>
    <cellStyle name="40% - Accent5 3 2 3 2" xfId="24114" hidden="1"/>
    <cellStyle name="40% - Accent5 3 2 3 2" xfId="24262" hidden="1"/>
    <cellStyle name="40% - Accent5 3 2 3 2" xfId="24600" hidden="1"/>
    <cellStyle name="40% - Accent5 3 2 3 2" xfId="24937" hidden="1"/>
    <cellStyle name="40% - Accent5 3 2 3 2" xfId="25502" hidden="1"/>
    <cellStyle name="40% - Accent5 3 2 3 2" xfId="25617" hidden="1"/>
    <cellStyle name="40% - Accent5 3 2 3 2" xfId="26340" hidden="1"/>
    <cellStyle name="40% - Accent5 3 2 3 2" xfId="26513" hidden="1"/>
    <cellStyle name="40% - Accent5 3 2 3 2" xfId="26906" hidden="1"/>
    <cellStyle name="40% - Accent5 3 2 3 2" xfId="27054" hidden="1"/>
    <cellStyle name="40% - Accent5 3 2 3 2" xfId="27392" hidden="1"/>
    <cellStyle name="40% - Accent5 3 2 3 2" xfId="27729" hidden="1"/>
    <cellStyle name="40% - Accent5 3 2 3 2" xfId="21873" hidden="1"/>
    <cellStyle name="40% - Accent5 3 2 3 2" xfId="16043" hidden="1"/>
    <cellStyle name="40% - Accent5 3 2 3 2" xfId="7209" hidden="1"/>
    <cellStyle name="40% - Accent5 3 2 3 2" xfId="6165" hidden="1"/>
    <cellStyle name="40% - Accent5 3 2 3 2" xfId="4333" hidden="1"/>
    <cellStyle name="40% - Accent5 3 2 3 2" xfId="3666" hidden="1"/>
    <cellStyle name="40% - Accent5 3 2 3 2" xfId="2097" hidden="1"/>
    <cellStyle name="40% - Accent5 3 2 3 2" xfId="585" hidden="1"/>
    <cellStyle name="40% - Accent5 3 2 3 2" xfId="28429" hidden="1"/>
    <cellStyle name="40% - Accent5 3 2 3 2" xfId="28544" hidden="1"/>
    <cellStyle name="40% - Accent5 3 2 3 2" xfId="29267" hidden="1"/>
    <cellStyle name="40% - Accent5 3 2 3 2" xfId="29440" hidden="1"/>
    <cellStyle name="40% - Accent5 3 2 3 2" xfId="29833" hidden="1"/>
    <cellStyle name="40% - Accent5 3 2 3 2" xfId="29981" hidden="1"/>
    <cellStyle name="40% - Accent5 3 2 3 2" xfId="30319" hidden="1"/>
    <cellStyle name="40% - Accent5 3 2 3 2" xfId="30656" hidden="1"/>
    <cellStyle name="40% - Accent5 3 2 3 2" xfId="31221" hidden="1"/>
    <cellStyle name="40% - Accent5 3 2 3 2" xfId="31336" hidden="1"/>
    <cellStyle name="40% - Accent5 3 2 3 2" xfId="32059" hidden="1"/>
    <cellStyle name="40% - Accent5 3 2 3 2" xfId="32232" hidden="1"/>
    <cellStyle name="40% - Accent5 3 2 3 2" xfId="32625" hidden="1"/>
    <cellStyle name="40% - Accent5 3 2 3 2" xfId="32773" hidden="1"/>
    <cellStyle name="40% - Accent5 3 2 3 2" xfId="33111" hidden="1"/>
    <cellStyle name="40% - Accent5 3 2 3 2" xfId="33448" hidden="1"/>
    <cellStyle name="40% - Accent5 3 2 4 2" xfId="808" hidden="1"/>
    <cellStyle name="40% - Accent5 3 2 4 2" xfId="1016" hidden="1"/>
    <cellStyle name="40% - Accent5 3 2 4 2" xfId="3580" hidden="1"/>
    <cellStyle name="40% - Accent5 3 2 4 2" xfId="4095" hidden="1"/>
    <cellStyle name="40% - Accent5 3 2 4 2" xfId="5414" hidden="1"/>
    <cellStyle name="40% - Accent5 3 2 4 2" xfId="6111" hidden="1"/>
    <cellStyle name="40% - Accent5 3 2 4 2" xfId="7128" hidden="1"/>
    <cellStyle name="40% - Accent5 3 2 4 2" xfId="8332" hidden="1"/>
    <cellStyle name="40% - Accent5 3 2 4 2" xfId="10189" hidden="1"/>
    <cellStyle name="40% - Accent5 3 2 4 2" xfId="10304" hidden="1"/>
    <cellStyle name="40% - Accent5 3 2 4 2" xfId="11027" hidden="1"/>
    <cellStyle name="40% - Accent5 3 2 4 2" xfId="11200" hidden="1"/>
    <cellStyle name="40% - Accent5 3 2 4 2" xfId="11593" hidden="1"/>
    <cellStyle name="40% - Accent5 3 2 4 2" xfId="11741" hidden="1"/>
    <cellStyle name="40% - Accent5 3 2 4 2" xfId="12079" hidden="1"/>
    <cellStyle name="40% - Accent5 3 2 4 2" xfId="12416" hidden="1"/>
    <cellStyle name="40% - Accent5 3 2 4 2" xfId="12981" hidden="1"/>
    <cellStyle name="40% - Accent5 3 2 4 2" xfId="13096" hidden="1"/>
    <cellStyle name="40% - Accent5 3 2 4 2" xfId="13819" hidden="1"/>
    <cellStyle name="40% - Accent5 3 2 4 2" xfId="13992" hidden="1"/>
    <cellStyle name="40% - Accent5 3 2 4 2" xfId="14385" hidden="1"/>
    <cellStyle name="40% - Accent5 3 2 4 2" xfId="14533" hidden="1"/>
    <cellStyle name="40% - Accent5 3 2 4 2" xfId="14871" hidden="1"/>
    <cellStyle name="40% - Accent5 3 2 4 2" xfId="15208" hidden="1"/>
    <cellStyle name="40% - Accent5 3 2 4 2" xfId="9138" hidden="1"/>
    <cellStyle name="40% - Accent5 3 2 4 2" xfId="8594" hidden="1"/>
    <cellStyle name="40% - Accent5 3 2 4 2" xfId="5966" hidden="1"/>
    <cellStyle name="40% - Accent5 3 2 4 2" xfId="5175" hidden="1"/>
    <cellStyle name="40% - Accent5 3 2 4 2" xfId="3892" hidden="1"/>
    <cellStyle name="40% - Accent5 3 2 4 2" xfId="3212" hidden="1"/>
    <cellStyle name="40% - Accent5 3 2 4 2" xfId="1769" hidden="1"/>
    <cellStyle name="40% - Accent5 3 2 4 2" xfId="372" hidden="1"/>
    <cellStyle name="40% - Accent5 3 2 4 2" xfId="16530" hidden="1"/>
    <cellStyle name="40% - Accent5 3 2 4 2" xfId="16645" hidden="1"/>
    <cellStyle name="40% - Accent5 3 2 4 2" xfId="17368" hidden="1"/>
    <cellStyle name="40% - Accent5 3 2 4 2" xfId="17541" hidden="1"/>
    <cellStyle name="40% - Accent5 3 2 4 2" xfId="17934" hidden="1"/>
    <cellStyle name="40% - Accent5 3 2 4 2" xfId="18082" hidden="1"/>
    <cellStyle name="40% - Accent5 3 2 4 2" xfId="18420" hidden="1"/>
    <cellStyle name="40% - Accent5 3 2 4 2" xfId="18757" hidden="1"/>
    <cellStyle name="40% - Accent5 3 2 4 2" xfId="19322" hidden="1"/>
    <cellStyle name="40% - Accent5 3 2 4 2" xfId="19437" hidden="1"/>
    <cellStyle name="40% - Accent5 3 2 4 2" xfId="20160" hidden="1"/>
    <cellStyle name="40% - Accent5 3 2 4 2" xfId="20333" hidden="1"/>
    <cellStyle name="40% - Accent5 3 2 4 2" xfId="20726" hidden="1"/>
    <cellStyle name="40% - Accent5 3 2 4 2" xfId="20874" hidden="1"/>
    <cellStyle name="40% - Accent5 3 2 4 2" xfId="21212" hidden="1"/>
    <cellStyle name="40% - Accent5 3 2 4 2" xfId="21549" hidden="1"/>
    <cellStyle name="40% - Accent5 3 2 4 2" xfId="15646" hidden="1"/>
    <cellStyle name="40% - Accent5 3 2 4 2" xfId="9691" hidden="1"/>
    <cellStyle name="40% - Accent5 3 2 4 2" xfId="6540" hidden="1"/>
    <cellStyle name="40% - Accent5 3 2 4 2" xfId="5692" hidden="1"/>
    <cellStyle name="40% - Accent5 3 2 4 2" xfId="4161" hidden="1"/>
    <cellStyle name="40% - Accent5 3 2 4 2" xfId="3439" hidden="1"/>
    <cellStyle name="40% - Accent5 3 2 4 2" xfId="1944" hidden="1"/>
    <cellStyle name="40% - Accent5 3 2 4 2" xfId="507" hidden="1"/>
    <cellStyle name="40% - Accent5 3 2 4 2" xfId="22681" hidden="1"/>
    <cellStyle name="40% - Accent5 3 2 4 2" xfId="22796" hidden="1"/>
    <cellStyle name="40% - Accent5 3 2 4 2" xfId="23519" hidden="1"/>
    <cellStyle name="40% - Accent5 3 2 4 2" xfId="23692" hidden="1"/>
    <cellStyle name="40% - Accent5 3 2 4 2" xfId="24085" hidden="1"/>
    <cellStyle name="40% - Accent5 3 2 4 2" xfId="24233" hidden="1"/>
    <cellStyle name="40% - Accent5 3 2 4 2" xfId="24571" hidden="1"/>
    <cellStyle name="40% - Accent5 3 2 4 2" xfId="24908" hidden="1"/>
    <cellStyle name="40% - Accent5 3 2 4 2" xfId="25473" hidden="1"/>
    <cellStyle name="40% - Accent5 3 2 4 2" xfId="25588" hidden="1"/>
    <cellStyle name="40% - Accent5 3 2 4 2" xfId="26311" hidden="1"/>
    <cellStyle name="40% - Accent5 3 2 4 2" xfId="26484" hidden="1"/>
    <cellStyle name="40% - Accent5 3 2 4 2" xfId="26877" hidden="1"/>
    <cellStyle name="40% - Accent5 3 2 4 2" xfId="27025" hidden="1"/>
    <cellStyle name="40% - Accent5 3 2 4 2" xfId="27363" hidden="1"/>
    <cellStyle name="40% - Accent5 3 2 4 2" xfId="27700" hidden="1"/>
    <cellStyle name="40% - Accent5 3 2 4 2" xfId="21903" hidden="1"/>
    <cellStyle name="40% - Accent5 3 2 4 2" xfId="16072" hidden="1"/>
    <cellStyle name="40% - Accent5 3 2 4 2" xfId="7249" hidden="1"/>
    <cellStyle name="40% - Accent5 3 2 4 2" xfId="6201" hidden="1"/>
    <cellStyle name="40% - Accent5 3 2 4 2" xfId="4411" hidden="1"/>
    <cellStyle name="40% - Accent5 3 2 4 2" xfId="3695" hidden="1"/>
    <cellStyle name="40% - Accent5 3 2 4 2" xfId="2131" hidden="1"/>
    <cellStyle name="40% - Accent5 3 2 4 2" xfId="618" hidden="1"/>
    <cellStyle name="40% - Accent5 3 2 4 2" xfId="28400" hidden="1"/>
    <cellStyle name="40% - Accent5 3 2 4 2" xfId="28515" hidden="1"/>
    <cellStyle name="40% - Accent5 3 2 4 2" xfId="29238" hidden="1"/>
    <cellStyle name="40% - Accent5 3 2 4 2" xfId="29411" hidden="1"/>
    <cellStyle name="40% - Accent5 3 2 4 2" xfId="29804" hidden="1"/>
    <cellStyle name="40% - Accent5 3 2 4 2" xfId="29952" hidden="1"/>
    <cellStyle name="40% - Accent5 3 2 4 2" xfId="30290" hidden="1"/>
    <cellStyle name="40% - Accent5 3 2 4 2" xfId="30627" hidden="1"/>
    <cellStyle name="40% - Accent5 3 2 4 2" xfId="31192" hidden="1"/>
    <cellStyle name="40% - Accent5 3 2 4 2" xfId="31307" hidden="1"/>
    <cellStyle name="40% - Accent5 3 2 4 2" xfId="32030" hidden="1"/>
    <cellStyle name="40% - Accent5 3 2 4 2" xfId="32203" hidden="1"/>
    <cellStyle name="40% - Accent5 3 2 4 2" xfId="32596" hidden="1"/>
    <cellStyle name="40% - Accent5 3 2 4 2" xfId="32744" hidden="1"/>
    <cellStyle name="40% - Accent5 3 2 4 2" xfId="33082" hidden="1"/>
    <cellStyle name="40% - Accent5 3 2 4 2" xfId="33419" hidden="1"/>
    <cellStyle name="40% - Accent5 3 3 3 2" xfId="807" hidden="1"/>
    <cellStyle name="40% - Accent5 3 3 3 2" xfId="1015" hidden="1"/>
    <cellStyle name="40% - Accent5 3 3 3 2" xfId="3579" hidden="1"/>
    <cellStyle name="40% - Accent5 3 3 3 2" xfId="4094" hidden="1"/>
    <cellStyle name="40% - Accent5 3 3 3 2" xfId="5413" hidden="1"/>
    <cellStyle name="40% - Accent5 3 3 3 2" xfId="6110" hidden="1"/>
    <cellStyle name="40% - Accent5 3 3 3 2" xfId="7127" hidden="1"/>
    <cellStyle name="40% - Accent5 3 3 3 2" xfId="8331" hidden="1"/>
    <cellStyle name="40% - Accent5 3 3 3 2" xfId="10188" hidden="1"/>
    <cellStyle name="40% - Accent5 3 3 3 2" xfId="10303" hidden="1"/>
    <cellStyle name="40% - Accent5 3 3 3 2" xfId="11026" hidden="1"/>
    <cellStyle name="40% - Accent5 3 3 3 2" xfId="11199" hidden="1"/>
    <cellStyle name="40% - Accent5 3 3 3 2" xfId="11592" hidden="1"/>
    <cellStyle name="40% - Accent5 3 3 3 2" xfId="11740" hidden="1"/>
    <cellStyle name="40% - Accent5 3 3 3 2" xfId="12078" hidden="1"/>
    <cellStyle name="40% - Accent5 3 3 3 2" xfId="12415" hidden="1"/>
    <cellStyle name="40% - Accent5 3 3 3 2" xfId="12980" hidden="1"/>
    <cellStyle name="40% - Accent5 3 3 3 2" xfId="13095" hidden="1"/>
    <cellStyle name="40% - Accent5 3 3 3 2" xfId="13818" hidden="1"/>
    <cellStyle name="40% - Accent5 3 3 3 2" xfId="13991" hidden="1"/>
    <cellStyle name="40% - Accent5 3 3 3 2" xfId="14384" hidden="1"/>
    <cellStyle name="40% - Accent5 3 3 3 2" xfId="14532" hidden="1"/>
    <cellStyle name="40% - Accent5 3 3 3 2" xfId="14870" hidden="1"/>
    <cellStyle name="40% - Accent5 3 3 3 2" xfId="15207" hidden="1"/>
    <cellStyle name="40% - Accent5 3 3 3 2" xfId="9139" hidden="1"/>
    <cellStyle name="40% - Accent5 3 3 3 2" xfId="8595" hidden="1"/>
    <cellStyle name="40% - Accent5 3 3 3 2" xfId="5967" hidden="1"/>
    <cellStyle name="40% - Accent5 3 3 3 2" xfId="5176" hidden="1"/>
    <cellStyle name="40% - Accent5 3 3 3 2" xfId="3893" hidden="1"/>
    <cellStyle name="40% - Accent5 3 3 3 2" xfId="3213" hidden="1"/>
    <cellStyle name="40% - Accent5 3 3 3 2" xfId="1770" hidden="1"/>
    <cellStyle name="40% - Accent5 3 3 3 2" xfId="373" hidden="1"/>
    <cellStyle name="40% - Accent5 3 3 3 2" xfId="16529" hidden="1"/>
    <cellStyle name="40% - Accent5 3 3 3 2" xfId="16644" hidden="1"/>
    <cellStyle name="40% - Accent5 3 3 3 2" xfId="17367" hidden="1"/>
    <cellStyle name="40% - Accent5 3 3 3 2" xfId="17540" hidden="1"/>
    <cellStyle name="40% - Accent5 3 3 3 2" xfId="17933" hidden="1"/>
    <cellStyle name="40% - Accent5 3 3 3 2" xfId="18081" hidden="1"/>
    <cellStyle name="40% - Accent5 3 3 3 2" xfId="18419" hidden="1"/>
    <cellStyle name="40% - Accent5 3 3 3 2" xfId="18756" hidden="1"/>
    <cellStyle name="40% - Accent5 3 3 3 2" xfId="19321" hidden="1"/>
    <cellStyle name="40% - Accent5 3 3 3 2" xfId="19436" hidden="1"/>
    <cellStyle name="40% - Accent5 3 3 3 2" xfId="20159" hidden="1"/>
    <cellStyle name="40% - Accent5 3 3 3 2" xfId="20332" hidden="1"/>
    <cellStyle name="40% - Accent5 3 3 3 2" xfId="20725" hidden="1"/>
    <cellStyle name="40% - Accent5 3 3 3 2" xfId="20873" hidden="1"/>
    <cellStyle name="40% - Accent5 3 3 3 2" xfId="21211" hidden="1"/>
    <cellStyle name="40% - Accent5 3 3 3 2" xfId="21548" hidden="1"/>
    <cellStyle name="40% - Accent5 3 3 3 2" xfId="15647" hidden="1"/>
    <cellStyle name="40% - Accent5 3 3 3 2" xfId="9692" hidden="1"/>
    <cellStyle name="40% - Accent5 3 3 3 2" xfId="6542" hidden="1"/>
    <cellStyle name="40% - Accent5 3 3 3 2" xfId="5693" hidden="1"/>
    <cellStyle name="40% - Accent5 3 3 3 2" xfId="4162" hidden="1"/>
    <cellStyle name="40% - Accent5 3 3 3 2" xfId="3440" hidden="1"/>
    <cellStyle name="40% - Accent5 3 3 3 2" xfId="1947" hidden="1"/>
    <cellStyle name="40% - Accent5 3 3 3 2" xfId="508" hidden="1"/>
    <cellStyle name="40% - Accent5 3 3 3 2" xfId="22680" hidden="1"/>
    <cellStyle name="40% - Accent5 3 3 3 2" xfId="22795" hidden="1"/>
    <cellStyle name="40% - Accent5 3 3 3 2" xfId="23518" hidden="1"/>
    <cellStyle name="40% - Accent5 3 3 3 2" xfId="23691" hidden="1"/>
    <cellStyle name="40% - Accent5 3 3 3 2" xfId="24084" hidden="1"/>
    <cellStyle name="40% - Accent5 3 3 3 2" xfId="24232" hidden="1"/>
    <cellStyle name="40% - Accent5 3 3 3 2" xfId="24570" hidden="1"/>
    <cellStyle name="40% - Accent5 3 3 3 2" xfId="24907" hidden="1"/>
    <cellStyle name="40% - Accent5 3 3 3 2" xfId="25472" hidden="1"/>
    <cellStyle name="40% - Accent5 3 3 3 2" xfId="25587" hidden="1"/>
    <cellStyle name="40% - Accent5 3 3 3 2" xfId="26310" hidden="1"/>
    <cellStyle name="40% - Accent5 3 3 3 2" xfId="26483" hidden="1"/>
    <cellStyle name="40% - Accent5 3 3 3 2" xfId="26876" hidden="1"/>
    <cellStyle name="40% - Accent5 3 3 3 2" xfId="27024" hidden="1"/>
    <cellStyle name="40% - Accent5 3 3 3 2" xfId="27362" hidden="1"/>
    <cellStyle name="40% - Accent5 3 3 3 2" xfId="27699" hidden="1"/>
    <cellStyle name="40% - Accent5 3 3 3 2" xfId="21904" hidden="1"/>
    <cellStyle name="40% - Accent5 3 3 3 2" xfId="16073" hidden="1"/>
    <cellStyle name="40% - Accent5 3 3 3 2" xfId="7251" hidden="1"/>
    <cellStyle name="40% - Accent5 3 3 3 2" xfId="6202" hidden="1"/>
    <cellStyle name="40% - Accent5 3 3 3 2" xfId="4413" hidden="1"/>
    <cellStyle name="40% - Accent5 3 3 3 2" xfId="3697" hidden="1"/>
    <cellStyle name="40% - Accent5 3 3 3 2" xfId="2132" hidden="1"/>
    <cellStyle name="40% - Accent5 3 3 3 2" xfId="619" hidden="1"/>
    <cellStyle name="40% - Accent5 3 3 3 2" xfId="28399" hidden="1"/>
    <cellStyle name="40% - Accent5 3 3 3 2" xfId="28514" hidden="1"/>
    <cellStyle name="40% - Accent5 3 3 3 2" xfId="29237" hidden="1"/>
    <cellStyle name="40% - Accent5 3 3 3 2" xfId="29410" hidden="1"/>
    <cellStyle name="40% - Accent5 3 3 3 2" xfId="29803" hidden="1"/>
    <cellStyle name="40% - Accent5 3 3 3 2" xfId="29951" hidden="1"/>
    <cellStyle name="40% - Accent5 3 3 3 2" xfId="30289" hidden="1"/>
    <cellStyle name="40% - Accent5 3 3 3 2" xfId="30626" hidden="1"/>
    <cellStyle name="40% - Accent5 3 3 3 2" xfId="31191" hidden="1"/>
    <cellStyle name="40% - Accent5 3 3 3 2" xfId="31306" hidden="1"/>
    <cellStyle name="40% - Accent5 3 3 3 2" xfId="32029" hidden="1"/>
    <cellStyle name="40% - Accent5 3 3 3 2" xfId="32202" hidden="1"/>
    <cellStyle name="40% - Accent5 3 3 3 2" xfId="32595" hidden="1"/>
    <cellStyle name="40% - Accent5 3 3 3 2" xfId="32743" hidden="1"/>
    <cellStyle name="40% - Accent5 3 3 3 2" xfId="33081" hidden="1"/>
    <cellStyle name="40% - Accent5 3 3 3 2" xfId="33418" hidden="1"/>
    <cellStyle name="40% - Accent5 4 2 3 2" xfId="838" hidden="1"/>
    <cellStyle name="40% - Accent5 4 2 3 2" xfId="1046" hidden="1"/>
    <cellStyle name="40% - Accent5 4 2 3 2" xfId="3610" hidden="1"/>
    <cellStyle name="40% - Accent5 4 2 3 2" xfId="4125" hidden="1"/>
    <cellStyle name="40% - Accent5 4 2 3 2" xfId="5444" hidden="1"/>
    <cellStyle name="40% - Accent5 4 2 3 2" xfId="6141" hidden="1"/>
    <cellStyle name="40% - Accent5 4 2 3 2" xfId="7158" hidden="1"/>
    <cellStyle name="40% - Accent5 4 2 3 2" xfId="8362" hidden="1"/>
    <cellStyle name="40% - Accent5 4 2 3 2" xfId="10219" hidden="1"/>
    <cellStyle name="40% - Accent5 4 2 3 2" xfId="10334" hidden="1"/>
    <cellStyle name="40% - Accent5 4 2 3 2" xfId="11057" hidden="1"/>
    <cellStyle name="40% - Accent5 4 2 3 2" xfId="11230" hidden="1"/>
    <cellStyle name="40% - Accent5 4 2 3 2" xfId="11623" hidden="1"/>
    <cellStyle name="40% - Accent5 4 2 3 2" xfId="11771" hidden="1"/>
    <cellStyle name="40% - Accent5 4 2 3 2" xfId="12109" hidden="1"/>
    <cellStyle name="40% - Accent5 4 2 3 2" xfId="12446" hidden="1"/>
    <cellStyle name="40% - Accent5 4 2 3 2" xfId="13011" hidden="1"/>
    <cellStyle name="40% - Accent5 4 2 3 2" xfId="13126" hidden="1"/>
    <cellStyle name="40% - Accent5 4 2 3 2" xfId="13849" hidden="1"/>
    <cellStyle name="40% - Accent5 4 2 3 2" xfId="14022" hidden="1"/>
    <cellStyle name="40% - Accent5 4 2 3 2" xfId="14415" hidden="1"/>
    <cellStyle name="40% - Accent5 4 2 3 2" xfId="14563" hidden="1"/>
    <cellStyle name="40% - Accent5 4 2 3 2" xfId="14901" hidden="1"/>
    <cellStyle name="40% - Accent5 4 2 3 2" xfId="15238" hidden="1"/>
    <cellStyle name="40% - Accent5 4 2 3 2" xfId="9108" hidden="1"/>
    <cellStyle name="40% - Accent5 4 2 3 2" xfId="8564" hidden="1"/>
    <cellStyle name="40% - Accent5 4 2 3 2" xfId="5936" hidden="1"/>
    <cellStyle name="40% - Accent5 4 2 3 2" xfId="5144" hidden="1"/>
    <cellStyle name="40% - Accent5 4 2 3 2" xfId="3859" hidden="1"/>
    <cellStyle name="40% - Accent5 4 2 3 2" xfId="3180" hidden="1"/>
    <cellStyle name="40% - Accent5 4 2 3 2" xfId="1737" hidden="1"/>
    <cellStyle name="40% - Accent5 4 2 3 2" xfId="329" hidden="1"/>
    <cellStyle name="40% - Accent5 4 2 3 2" xfId="16560" hidden="1"/>
    <cellStyle name="40% - Accent5 4 2 3 2" xfId="16675" hidden="1"/>
    <cellStyle name="40% - Accent5 4 2 3 2" xfId="17398" hidden="1"/>
    <cellStyle name="40% - Accent5 4 2 3 2" xfId="17571" hidden="1"/>
    <cellStyle name="40% - Accent5 4 2 3 2" xfId="17964" hidden="1"/>
    <cellStyle name="40% - Accent5 4 2 3 2" xfId="18112" hidden="1"/>
    <cellStyle name="40% - Accent5 4 2 3 2" xfId="18450" hidden="1"/>
    <cellStyle name="40% - Accent5 4 2 3 2" xfId="18787" hidden="1"/>
    <cellStyle name="40% - Accent5 4 2 3 2" xfId="19352" hidden="1"/>
    <cellStyle name="40% - Accent5 4 2 3 2" xfId="19467" hidden="1"/>
    <cellStyle name="40% - Accent5 4 2 3 2" xfId="20190" hidden="1"/>
    <cellStyle name="40% - Accent5 4 2 3 2" xfId="20363" hidden="1"/>
    <cellStyle name="40% - Accent5 4 2 3 2" xfId="20756" hidden="1"/>
    <cellStyle name="40% - Accent5 4 2 3 2" xfId="20904" hidden="1"/>
    <cellStyle name="40% - Accent5 4 2 3 2" xfId="21242" hidden="1"/>
    <cellStyle name="40% - Accent5 4 2 3 2" xfId="21579" hidden="1"/>
    <cellStyle name="40% - Accent5 4 2 3 2" xfId="15616" hidden="1"/>
    <cellStyle name="40% - Accent5 4 2 3 2" xfId="9661" hidden="1"/>
    <cellStyle name="40% - Accent5 4 2 3 2" xfId="6504" hidden="1"/>
    <cellStyle name="40% - Accent5 4 2 3 2" xfId="5656" hidden="1"/>
    <cellStyle name="40% - Accent5 4 2 3 2" xfId="4130" hidden="1"/>
    <cellStyle name="40% - Accent5 4 2 3 2" xfId="3408" hidden="1"/>
    <cellStyle name="40% - Accent5 4 2 3 2" xfId="1909" hidden="1"/>
    <cellStyle name="40% - Accent5 4 2 3 2" xfId="322" hidden="1"/>
    <cellStyle name="40% - Accent5 4 2 3 2" xfId="22711" hidden="1"/>
    <cellStyle name="40% - Accent5 4 2 3 2" xfId="22826" hidden="1"/>
    <cellStyle name="40% - Accent5 4 2 3 2" xfId="23549" hidden="1"/>
    <cellStyle name="40% - Accent5 4 2 3 2" xfId="23722" hidden="1"/>
    <cellStyle name="40% - Accent5 4 2 3 2" xfId="24115" hidden="1"/>
    <cellStyle name="40% - Accent5 4 2 3 2" xfId="24263" hidden="1"/>
    <cellStyle name="40% - Accent5 4 2 3 2" xfId="24601" hidden="1"/>
    <cellStyle name="40% - Accent5 4 2 3 2" xfId="24938" hidden="1"/>
    <cellStyle name="40% - Accent5 4 2 3 2" xfId="25503" hidden="1"/>
    <cellStyle name="40% - Accent5 4 2 3 2" xfId="25618" hidden="1"/>
    <cellStyle name="40% - Accent5 4 2 3 2" xfId="26341" hidden="1"/>
    <cellStyle name="40% - Accent5 4 2 3 2" xfId="26514" hidden="1"/>
    <cellStyle name="40% - Accent5 4 2 3 2" xfId="26907" hidden="1"/>
    <cellStyle name="40% - Accent5 4 2 3 2" xfId="27055" hidden="1"/>
    <cellStyle name="40% - Accent5 4 2 3 2" xfId="27393" hidden="1"/>
    <cellStyle name="40% - Accent5 4 2 3 2" xfId="27730" hidden="1"/>
    <cellStyle name="40% - Accent5 4 2 3 2" xfId="21872" hidden="1"/>
    <cellStyle name="40% - Accent5 4 2 3 2" xfId="16042" hidden="1"/>
    <cellStyle name="40% - Accent5 4 2 3 2" xfId="7208" hidden="1"/>
    <cellStyle name="40% - Accent5 4 2 3 2" xfId="6164" hidden="1"/>
    <cellStyle name="40% - Accent5 4 2 3 2" xfId="4332" hidden="1"/>
    <cellStyle name="40% - Accent5 4 2 3 2" xfId="3665" hidden="1"/>
    <cellStyle name="40% - Accent5 4 2 3 2" xfId="2095" hidden="1"/>
    <cellStyle name="40% - Accent5 4 2 3 2" xfId="582" hidden="1"/>
    <cellStyle name="40% - Accent5 4 2 3 2" xfId="28430" hidden="1"/>
    <cellStyle name="40% - Accent5 4 2 3 2" xfId="28545" hidden="1"/>
    <cellStyle name="40% - Accent5 4 2 3 2" xfId="29268" hidden="1"/>
    <cellStyle name="40% - Accent5 4 2 3 2" xfId="29441" hidden="1"/>
    <cellStyle name="40% - Accent5 4 2 3 2" xfId="29834" hidden="1"/>
    <cellStyle name="40% - Accent5 4 2 3 2" xfId="29982" hidden="1"/>
    <cellStyle name="40% - Accent5 4 2 3 2" xfId="30320" hidden="1"/>
    <cellStyle name="40% - Accent5 4 2 3 2" xfId="30657" hidden="1"/>
    <cellStyle name="40% - Accent5 4 2 3 2" xfId="31222" hidden="1"/>
    <cellStyle name="40% - Accent5 4 2 3 2" xfId="31337" hidden="1"/>
    <cellStyle name="40% - Accent5 4 2 3 2" xfId="32060" hidden="1"/>
    <cellStyle name="40% - Accent5 4 2 3 2" xfId="32233" hidden="1"/>
    <cellStyle name="40% - Accent5 4 2 3 2" xfId="32626" hidden="1"/>
    <cellStyle name="40% - Accent5 4 2 3 2" xfId="32774" hidden="1"/>
    <cellStyle name="40% - Accent5 4 2 3 2" xfId="33112" hidden="1"/>
    <cellStyle name="40% - Accent5 4 2 3 2" xfId="33449" hidden="1"/>
    <cellStyle name="40% - Accent5 4 2 4 2" xfId="810" hidden="1"/>
    <cellStyle name="40% - Accent5 4 2 4 2" xfId="1018" hidden="1"/>
    <cellStyle name="40% - Accent5 4 2 4 2" xfId="3582" hidden="1"/>
    <cellStyle name="40% - Accent5 4 2 4 2" xfId="4097" hidden="1"/>
    <cellStyle name="40% - Accent5 4 2 4 2" xfId="5416" hidden="1"/>
    <cellStyle name="40% - Accent5 4 2 4 2" xfId="6113" hidden="1"/>
    <cellStyle name="40% - Accent5 4 2 4 2" xfId="7130" hidden="1"/>
    <cellStyle name="40% - Accent5 4 2 4 2" xfId="8334" hidden="1"/>
    <cellStyle name="40% - Accent5 4 2 4 2" xfId="10191" hidden="1"/>
    <cellStyle name="40% - Accent5 4 2 4 2" xfId="10306" hidden="1"/>
    <cellStyle name="40% - Accent5 4 2 4 2" xfId="11029" hidden="1"/>
    <cellStyle name="40% - Accent5 4 2 4 2" xfId="11202" hidden="1"/>
    <cellStyle name="40% - Accent5 4 2 4 2" xfId="11595" hidden="1"/>
    <cellStyle name="40% - Accent5 4 2 4 2" xfId="11743" hidden="1"/>
    <cellStyle name="40% - Accent5 4 2 4 2" xfId="12081" hidden="1"/>
    <cellStyle name="40% - Accent5 4 2 4 2" xfId="12418" hidden="1"/>
    <cellStyle name="40% - Accent5 4 2 4 2" xfId="12983" hidden="1"/>
    <cellStyle name="40% - Accent5 4 2 4 2" xfId="13098" hidden="1"/>
    <cellStyle name="40% - Accent5 4 2 4 2" xfId="13821" hidden="1"/>
    <cellStyle name="40% - Accent5 4 2 4 2" xfId="13994" hidden="1"/>
    <cellStyle name="40% - Accent5 4 2 4 2" xfId="14387" hidden="1"/>
    <cellStyle name="40% - Accent5 4 2 4 2" xfId="14535" hidden="1"/>
    <cellStyle name="40% - Accent5 4 2 4 2" xfId="14873" hidden="1"/>
    <cellStyle name="40% - Accent5 4 2 4 2" xfId="15210" hidden="1"/>
    <cellStyle name="40% - Accent5 4 2 4 2" xfId="9136" hidden="1"/>
    <cellStyle name="40% - Accent5 4 2 4 2" xfId="8592" hidden="1"/>
    <cellStyle name="40% - Accent5 4 2 4 2" xfId="5964" hidden="1"/>
    <cellStyle name="40% - Accent5 4 2 4 2" xfId="5173" hidden="1"/>
    <cellStyle name="40% - Accent5 4 2 4 2" xfId="3890" hidden="1"/>
    <cellStyle name="40% - Accent5 4 2 4 2" xfId="3210" hidden="1"/>
    <cellStyle name="40% - Accent5 4 2 4 2" xfId="1767" hidden="1"/>
    <cellStyle name="40% - Accent5 4 2 4 2" xfId="370" hidden="1"/>
    <cellStyle name="40% - Accent5 4 2 4 2" xfId="16532" hidden="1"/>
    <cellStyle name="40% - Accent5 4 2 4 2" xfId="16647" hidden="1"/>
    <cellStyle name="40% - Accent5 4 2 4 2" xfId="17370" hidden="1"/>
    <cellStyle name="40% - Accent5 4 2 4 2" xfId="17543" hidden="1"/>
    <cellStyle name="40% - Accent5 4 2 4 2" xfId="17936" hidden="1"/>
    <cellStyle name="40% - Accent5 4 2 4 2" xfId="18084" hidden="1"/>
    <cellStyle name="40% - Accent5 4 2 4 2" xfId="18422" hidden="1"/>
    <cellStyle name="40% - Accent5 4 2 4 2" xfId="18759" hidden="1"/>
    <cellStyle name="40% - Accent5 4 2 4 2" xfId="19324" hidden="1"/>
    <cellStyle name="40% - Accent5 4 2 4 2" xfId="19439" hidden="1"/>
    <cellStyle name="40% - Accent5 4 2 4 2" xfId="20162" hidden="1"/>
    <cellStyle name="40% - Accent5 4 2 4 2" xfId="20335" hidden="1"/>
    <cellStyle name="40% - Accent5 4 2 4 2" xfId="20728" hidden="1"/>
    <cellStyle name="40% - Accent5 4 2 4 2" xfId="20876" hidden="1"/>
    <cellStyle name="40% - Accent5 4 2 4 2" xfId="21214" hidden="1"/>
    <cellStyle name="40% - Accent5 4 2 4 2" xfId="21551" hidden="1"/>
    <cellStyle name="40% - Accent5 4 2 4 2" xfId="15644" hidden="1"/>
    <cellStyle name="40% - Accent5 4 2 4 2" xfId="9689" hidden="1"/>
    <cellStyle name="40% - Accent5 4 2 4 2" xfId="6538" hidden="1"/>
    <cellStyle name="40% - Accent5 4 2 4 2" xfId="5690" hidden="1"/>
    <cellStyle name="40% - Accent5 4 2 4 2" xfId="4159" hidden="1"/>
    <cellStyle name="40% - Accent5 4 2 4 2" xfId="3437" hidden="1"/>
    <cellStyle name="40% - Accent5 4 2 4 2" xfId="1941" hidden="1"/>
    <cellStyle name="40% - Accent5 4 2 4 2" xfId="504" hidden="1"/>
    <cellStyle name="40% - Accent5 4 2 4 2" xfId="22683" hidden="1"/>
    <cellStyle name="40% - Accent5 4 2 4 2" xfId="22798" hidden="1"/>
    <cellStyle name="40% - Accent5 4 2 4 2" xfId="23521" hidden="1"/>
    <cellStyle name="40% - Accent5 4 2 4 2" xfId="23694" hidden="1"/>
    <cellStyle name="40% - Accent5 4 2 4 2" xfId="24087" hidden="1"/>
    <cellStyle name="40% - Accent5 4 2 4 2" xfId="24235" hidden="1"/>
    <cellStyle name="40% - Accent5 4 2 4 2" xfId="24573" hidden="1"/>
    <cellStyle name="40% - Accent5 4 2 4 2" xfId="24910" hidden="1"/>
    <cellStyle name="40% - Accent5 4 2 4 2" xfId="25475" hidden="1"/>
    <cellStyle name="40% - Accent5 4 2 4 2" xfId="25590" hidden="1"/>
    <cellStyle name="40% - Accent5 4 2 4 2" xfId="26313" hidden="1"/>
    <cellStyle name="40% - Accent5 4 2 4 2" xfId="26486" hidden="1"/>
    <cellStyle name="40% - Accent5 4 2 4 2" xfId="26879" hidden="1"/>
    <cellStyle name="40% - Accent5 4 2 4 2" xfId="27027" hidden="1"/>
    <cellStyle name="40% - Accent5 4 2 4 2" xfId="27365" hidden="1"/>
    <cellStyle name="40% - Accent5 4 2 4 2" xfId="27702" hidden="1"/>
    <cellStyle name="40% - Accent5 4 2 4 2" xfId="21900" hidden="1"/>
    <cellStyle name="40% - Accent5 4 2 4 2" xfId="16070" hidden="1"/>
    <cellStyle name="40% - Accent5 4 2 4 2" xfId="7245" hidden="1"/>
    <cellStyle name="40% - Accent5 4 2 4 2" xfId="6199" hidden="1"/>
    <cellStyle name="40% - Accent5 4 2 4 2" xfId="4407" hidden="1"/>
    <cellStyle name="40% - Accent5 4 2 4 2" xfId="3693" hidden="1"/>
    <cellStyle name="40% - Accent5 4 2 4 2" xfId="2129" hidden="1"/>
    <cellStyle name="40% - Accent5 4 2 4 2" xfId="616" hidden="1"/>
    <cellStyle name="40% - Accent5 4 2 4 2" xfId="28402" hidden="1"/>
    <cellStyle name="40% - Accent5 4 2 4 2" xfId="28517" hidden="1"/>
    <cellStyle name="40% - Accent5 4 2 4 2" xfId="29240" hidden="1"/>
    <cellStyle name="40% - Accent5 4 2 4 2" xfId="29413" hidden="1"/>
    <cellStyle name="40% - Accent5 4 2 4 2" xfId="29806" hidden="1"/>
    <cellStyle name="40% - Accent5 4 2 4 2" xfId="29954" hidden="1"/>
    <cellStyle name="40% - Accent5 4 2 4 2" xfId="30292" hidden="1"/>
    <cellStyle name="40% - Accent5 4 2 4 2" xfId="30629" hidden="1"/>
    <cellStyle name="40% - Accent5 4 2 4 2" xfId="31194" hidden="1"/>
    <cellStyle name="40% - Accent5 4 2 4 2" xfId="31309" hidden="1"/>
    <cellStyle name="40% - Accent5 4 2 4 2" xfId="32032" hidden="1"/>
    <cellStyle name="40% - Accent5 4 2 4 2" xfId="32205" hidden="1"/>
    <cellStyle name="40% - Accent5 4 2 4 2" xfId="32598" hidden="1"/>
    <cellStyle name="40% - Accent5 4 2 4 2" xfId="32746" hidden="1"/>
    <cellStyle name="40% - Accent5 4 2 4 2" xfId="33084" hidden="1"/>
    <cellStyle name="40% - Accent5 4 2 4 2" xfId="33421" hidden="1"/>
    <cellStyle name="40% - Accent5 4 3 3 2" xfId="809" hidden="1"/>
    <cellStyle name="40% - Accent5 4 3 3 2" xfId="1017" hidden="1"/>
    <cellStyle name="40% - Accent5 4 3 3 2" xfId="3581" hidden="1"/>
    <cellStyle name="40% - Accent5 4 3 3 2" xfId="4096" hidden="1"/>
    <cellStyle name="40% - Accent5 4 3 3 2" xfId="5415" hidden="1"/>
    <cellStyle name="40% - Accent5 4 3 3 2" xfId="6112" hidden="1"/>
    <cellStyle name="40% - Accent5 4 3 3 2" xfId="7129" hidden="1"/>
    <cellStyle name="40% - Accent5 4 3 3 2" xfId="8333" hidden="1"/>
    <cellStyle name="40% - Accent5 4 3 3 2" xfId="10190" hidden="1"/>
    <cellStyle name="40% - Accent5 4 3 3 2" xfId="10305" hidden="1"/>
    <cellStyle name="40% - Accent5 4 3 3 2" xfId="11028" hidden="1"/>
    <cellStyle name="40% - Accent5 4 3 3 2" xfId="11201" hidden="1"/>
    <cellStyle name="40% - Accent5 4 3 3 2" xfId="11594" hidden="1"/>
    <cellStyle name="40% - Accent5 4 3 3 2" xfId="11742" hidden="1"/>
    <cellStyle name="40% - Accent5 4 3 3 2" xfId="12080" hidden="1"/>
    <cellStyle name="40% - Accent5 4 3 3 2" xfId="12417" hidden="1"/>
    <cellStyle name="40% - Accent5 4 3 3 2" xfId="12982" hidden="1"/>
    <cellStyle name="40% - Accent5 4 3 3 2" xfId="13097" hidden="1"/>
    <cellStyle name="40% - Accent5 4 3 3 2" xfId="13820" hidden="1"/>
    <cellStyle name="40% - Accent5 4 3 3 2" xfId="13993" hidden="1"/>
    <cellStyle name="40% - Accent5 4 3 3 2" xfId="14386" hidden="1"/>
    <cellStyle name="40% - Accent5 4 3 3 2" xfId="14534" hidden="1"/>
    <cellStyle name="40% - Accent5 4 3 3 2" xfId="14872" hidden="1"/>
    <cellStyle name="40% - Accent5 4 3 3 2" xfId="15209" hidden="1"/>
    <cellStyle name="40% - Accent5 4 3 3 2" xfId="9137" hidden="1"/>
    <cellStyle name="40% - Accent5 4 3 3 2" xfId="8593" hidden="1"/>
    <cellStyle name="40% - Accent5 4 3 3 2" xfId="5965" hidden="1"/>
    <cellStyle name="40% - Accent5 4 3 3 2" xfId="5174" hidden="1"/>
    <cellStyle name="40% - Accent5 4 3 3 2" xfId="3891" hidden="1"/>
    <cellStyle name="40% - Accent5 4 3 3 2" xfId="3211" hidden="1"/>
    <cellStyle name="40% - Accent5 4 3 3 2" xfId="1768" hidden="1"/>
    <cellStyle name="40% - Accent5 4 3 3 2" xfId="371" hidden="1"/>
    <cellStyle name="40% - Accent5 4 3 3 2" xfId="16531" hidden="1"/>
    <cellStyle name="40% - Accent5 4 3 3 2" xfId="16646" hidden="1"/>
    <cellStyle name="40% - Accent5 4 3 3 2" xfId="17369" hidden="1"/>
    <cellStyle name="40% - Accent5 4 3 3 2" xfId="17542" hidden="1"/>
    <cellStyle name="40% - Accent5 4 3 3 2" xfId="17935" hidden="1"/>
    <cellStyle name="40% - Accent5 4 3 3 2" xfId="18083" hidden="1"/>
    <cellStyle name="40% - Accent5 4 3 3 2" xfId="18421" hidden="1"/>
    <cellStyle name="40% - Accent5 4 3 3 2" xfId="18758" hidden="1"/>
    <cellStyle name="40% - Accent5 4 3 3 2" xfId="19323" hidden="1"/>
    <cellStyle name="40% - Accent5 4 3 3 2" xfId="19438" hidden="1"/>
    <cellStyle name="40% - Accent5 4 3 3 2" xfId="20161" hidden="1"/>
    <cellStyle name="40% - Accent5 4 3 3 2" xfId="20334" hidden="1"/>
    <cellStyle name="40% - Accent5 4 3 3 2" xfId="20727" hidden="1"/>
    <cellStyle name="40% - Accent5 4 3 3 2" xfId="20875" hidden="1"/>
    <cellStyle name="40% - Accent5 4 3 3 2" xfId="21213" hidden="1"/>
    <cellStyle name="40% - Accent5 4 3 3 2" xfId="21550" hidden="1"/>
    <cellStyle name="40% - Accent5 4 3 3 2" xfId="15645" hidden="1"/>
    <cellStyle name="40% - Accent5 4 3 3 2" xfId="9690" hidden="1"/>
    <cellStyle name="40% - Accent5 4 3 3 2" xfId="6539" hidden="1"/>
    <cellStyle name="40% - Accent5 4 3 3 2" xfId="5691" hidden="1"/>
    <cellStyle name="40% - Accent5 4 3 3 2" xfId="4160" hidden="1"/>
    <cellStyle name="40% - Accent5 4 3 3 2" xfId="3438" hidden="1"/>
    <cellStyle name="40% - Accent5 4 3 3 2" xfId="1943" hidden="1"/>
    <cellStyle name="40% - Accent5 4 3 3 2" xfId="506" hidden="1"/>
    <cellStyle name="40% - Accent5 4 3 3 2" xfId="22682" hidden="1"/>
    <cellStyle name="40% - Accent5 4 3 3 2" xfId="22797" hidden="1"/>
    <cellStyle name="40% - Accent5 4 3 3 2" xfId="23520" hidden="1"/>
    <cellStyle name="40% - Accent5 4 3 3 2" xfId="23693" hidden="1"/>
    <cellStyle name="40% - Accent5 4 3 3 2" xfId="24086" hidden="1"/>
    <cellStyle name="40% - Accent5 4 3 3 2" xfId="24234" hidden="1"/>
    <cellStyle name="40% - Accent5 4 3 3 2" xfId="24572" hidden="1"/>
    <cellStyle name="40% - Accent5 4 3 3 2" xfId="24909" hidden="1"/>
    <cellStyle name="40% - Accent5 4 3 3 2" xfId="25474" hidden="1"/>
    <cellStyle name="40% - Accent5 4 3 3 2" xfId="25589" hidden="1"/>
    <cellStyle name="40% - Accent5 4 3 3 2" xfId="26312" hidden="1"/>
    <cellStyle name="40% - Accent5 4 3 3 2" xfId="26485" hidden="1"/>
    <cellStyle name="40% - Accent5 4 3 3 2" xfId="26878" hidden="1"/>
    <cellStyle name="40% - Accent5 4 3 3 2" xfId="27026" hidden="1"/>
    <cellStyle name="40% - Accent5 4 3 3 2" xfId="27364" hidden="1"/>
    <cellStyle name="40% - Accent5 4 3 3 2" xfId="27701" hidden="1"/>
    <cellStyle name="40% - Accent5 4 3 3 2" xfId="21901" hidden="1"/>
    <cellStyle name="40% - Accent5 4 3 3 2" xfId="16071" hidden="1"/>
    <cellStyle name="40% - Accent5 4 3 3 2" xfId="7246" hidden="1"/>
    <cellStyle name="40% - Accent5 4 3 3 2" xfId="6200" hidden="1"/>
    <cellStyle name="40% - Accent5 4 3 3 2" xfId="4408" hidden="1"/>
    <cellStyle name="40% - Accent5 4 3 3 2" xfId="3694" hidden="1"/>
    <cellStyle name="40% - Accent5 4 3 3 2" xfId="2130" hidden="1"/>
    <cellStyle name="40% - Accent5 4 3 3 2" xfId="617" hidden="1"/>
    <cellStyle name="40% - Accent5 4 3 3 2" xfId="28401" hidden="1"/>
    <cellStyle name="40% - Accent5 4 3 3 2" xfId="28516" hidden="1"/>
    <cellStyle name="40% - Accent5 4 3 3 2" xfId="29239" hidden="1"/>
    <cellStyle name="40% - Accent5 4 3 3 2" xfId="29412" hidden="1"/>
    <cellStyle name="40% - Accent5 4 3 3 2" xfId="29805" hidden="1"/>
    <cellStyle name="40% - Accent5 4 3 3 2" xfId="29953" hidden="1"/>
    <cellStyle name="40% - Accent5 4 3 3 2" xfId="30291" hidden="1"/>
    <cellStyle name="40% - Accent5 4 3 3 2" xfId="30628" hidden="1"/>
    <cellStyle name="40% - Accent5 4 3 3 2" xfId="31193" hidden="1"/>
    <cellStyle name="40% - Accent5 4 3 3 2" xfId="31308" hidden="1"/>
    <cellStyle name="40% - Accent5 4 3 3 2" xfId="32031" hidden="1"/>
    <cellStyle name="40% - Accent5 4 3 3 2" xfId="32204" hidden="1"/>
    <cellStyle name="40% - Accent5 4 3 3 2" xfId="32597" hidden="1"/>
    <cellStyle name="40% - Accent5 4 3 3 2" xfId="32745" hidden="1"/>
    <cellStyle name="40% - Accent5 4 3 3 2" xfId="33083" hidden="1"/>
    <cellStyle name="40% - Accent5 4 3 3 2" xfId="33420" hidden="1"/>
    <cellStyle name="40% - Accent5 5 2" xfId="766" hidden="1"/>
    <cellStyle name="40% - Accent5 5 2" xfId="974" hidden="1"/>
    <cellStyle name="40% - Accent5 5 2" xfId="3538" hidden="1"/>
    <cellStyle name="40% - Accent5 5 2" xfId="4053" hidden="1"/>
    <cellStyle name="40% - Accent5 5 2" xfId="5372" hidden="1"/>
    <cellStyle name="40% - Accent5 5 2" xfId="6069" hidden="1"/>
    <cellStyle name="40% - Accent5 5 2" xfId="7086" hidden="1"/>
    <cellStyle name="40% - Accent5 5 2" xfId="8290" hidden="1"/>
    <cellStyle name="40% - Accent5 5 2" xfId="10147" hidden="1"/>
    <cellStyle name="40% - Accent5 5 2" xfId="10262" hidden="1"/>
    <cellStyle name="40% - Accent5 5 2" xfId="10985" hidden="1"/>
    <cellStyle name="40% - Accent5 5 2" xfId="11158" hidden="1"/>
    <cellStyle name="40% - Accent5 5 2" xfId="11551" hidden="1"/>
    <cellStyle name="40% - Accent5 5 2" xfId="11699" hidden="1"/>
    <cellStyle name="40% - Accent5 5 2" xfId="12037" hidden="1"/>
    <cellStyle name="40% - Accent5 5 2" xfId="12374" hidden="1"/>
    <cellStyle name="40% - Accent5 5 2" xfId="12939" hidden="1"/>
    <cellStyle name="40% - Accent5 5 2" xfId="13054" hidden="1"/>
    <cellStyle name="40% - Accent5 5 2" xfId="13777" hidden="1"/>
    <cellStyle name="40% - Accent5 5 2" xfId="13950" hidden="1"/>
    <cellStyle name="40% - Accent5 5 2" xfId="14343" hidden="1"/>
    <cellStyle name="40% - Accent5 5 2" xfId="14491" hidden="1"/>
    <cellStyle name="40% - Accent5 5 2" xfId="14829" hidden="1"/>
    <cellStyle name="40% - Accent5 5 2" xfId="15166" hidden="1"/>
    <cellStyle name="40% - Accent5 5 2" xfId="9181" hidden="1"/>
    <cellStyle name="40% - Accent5 5 2" xfId="8636" hidden="1"/>
    <cellStyle name="40% - Accent5 5 2" xfId="6008" hidden="1"/>
    <cellStyle name="40% - Accent5 5 2" xfId="5217" hidden="1"/>
    <cellStyle name="40% - Accent5 5 2" xfId="3935" hidden="1"/>
    <cellStyle name="40% - Accent5 5 2" xfId="3254" hidden="1"/>
    <cellStyle name="40% - Accent5 5 2" xfId="1818" hidden="1"/>
    <cellStyle name="40% - Accent5 5 2" xfId="443" hidden="1"/>
    <cellStyle name="40% - Accent5 5 2" xfId="16488" hidden="1"/>
    <cellStyle name="40% - Accent5 5 2" xfId="16603" hidden="1"/>
    <cellStyle name="40% - Accent5 5 2" xfId="17326" hidden="1"/>
    <cellStyle name="40% - Accent5 5 2" xfId="17499" hidden="1"/>
    <cellStyle name="40% - Accent5 5 2" xfId="17892" hidden="1"/>
    <cellStyle name="40% - Accent5 5 2" xfId="18040" hidden="1"/>
    <cellStyle name="40% - Accent5 5 2" xfId="18378" hidden="1"/>
    <cellStyle name="40% - Accent5 5 2" xfId="18715" hidden="1"/>
    <cellStyle name="40% - Accent5 5 2" xfId="19280" hidden="1"/>
    <cellStyle name="40% - Accent5 5 2" xfId="19395" hidden="1"/>
    <cellStyle name="40% - Accent5 5 2" xfId="20118" hidden="1"/>
    <cellStyle name="40% - Accent5 5 2" xfId="20291" hidden="1"/>
    <cellStyle name="40% - Accent5 5 2" xfId="20684" hidden="1"/>
    <cellStyle name="40% - Accent5 5 2" xfId="20832" hidden="1"/>
    <cellStyle name="40% - Accent5 5 2" xfId="21170" hidden="1"/>
    <cellStyle name="40% - Accent5 5 2" xfId="21507" hidden="1"/>
    <cellStyle name="40% - Accent5 5 2" xfId="15689" hidden="1"/>
    <cellStyle name="40% - Accent5 5 2" xfId="9733" hidden="1"/>
    <cellStyle name="40% - Accent5 5 2" xfId="6592" hidden="1"/>
    <cellStyle name="40% - Accent5 5 2" xfId="5746" hidden="1"/>
    <cellStyle name="40% - Accent5 5 2" xfId="4203" hidden="1"/>
    <cellStyle name="40% - Accent5 5 2" xfId="3484" hidden="1"/>
    <cellStyle name="40% - Accent5 5 2" xfId="1994" hidden="1"/>
    <cellStyle name="40% - Accent5 5 2" xfId="555" hidden="1"/>
    <cellStyle name="40% - Accent5 5 2" xfId="22639" hidden="1"/>
    <cellStyle name="40% - Accent5 5 2" xfId="22754" hidden="1"/>
    <cellStyle name="40% - Accent5 5 2" xfId="23477" hidden="1"/>
    <cellStyle name="40% - Accent5 5 2" xfId="23650" hidden="1"/>
    <cellStyle name="40% - Accent5 5 2" xfId="24043" hidden="1"/>
    <cellStyle name="40% - Accent5 5 2" xfId="24191" hidden="1"/>
    <cellStyle name="40% - Accent5 5 2" xfId="24529" hidden="1"/>
    <cellStyle name="40% - Accent5 5 2" xfId="24866" hidden="1"/>
    <cellStyle name="40% - Accent5 5 2" xfId="25431" hidden="1"/>
    <cellStyle name="40% - Accent5 5 2" xfId="25546" hidden="1"/>
    <cellStyle name="40% - Accent5 5 2" xfId="26269" hidden="1"/>
    <cellStyle name="40% - Accent5 5 2" xfId="26442" hidden="1"/>
    <cellStyle name="40% - Accent5 5 2" xfId="26835" hidden="1"/>
    <cellStyle name="40% - Accent5 5 2" xfId="26983" hidden="1"/>
    <cellStyle name="40% - Accent5 5 2" xfId="27321" hidden="1"/>
    <cellStyle name="40% - Accent5 5 2" xfId="27658" hidden="1"/>
    <cellStyle name="40% - Accent5 5 2" xfId="21945" hidden="1"/>
    <cellStyle name="40% - Accent5 5 2" xfId="16114" hidden="1"/>
    <cellStyle name="40% - Accent5 5 2" xfId="7295" hidden="1"/>
    <cellStyle name="40% - Accent5 5 2" xfId="6255" hidden="1"/>
    <cellStyle name="40% - Accent5 5 2" xfId="4500" hidden="1"/>
    <cellStyle name="40% - Accent5 5 2" xfId="3740" hidden="1"/>
    <cellStyle name="40% - Accent5 5 2" xfId="2175" hidden="1"/>
    <cellStyle name="40% - Accent5 5 2" xfId="682" hidden="1"/>
    <cellStyle name="40% - Accent5 5 2" xfId="28358" hidden="1"/>
    <cellStyle name="40% - Accent5 5 2" xfId="28473" hidden="1"/>
    <cellStyle name="40% - Accent5 5 2" xfId="29196" hidden="1"/>
    <cellStyle name="40% - Accent5 5 2" xfId="29369" hidden="1"/>
    <cellStyle name="40% - Accent5 5 2" xfId="29762" hidden="1"/>
    <cellStyle name="40% - Accent5 5 2" xfId="29910" hidden="1"/>
    <cellStyle name="40% - Accent5 5 2" xfId="30248" hidden="1"/>
    <cellStyle name="40% - Accent5 5 2" xfId="30585" hidden="1"/>
    <cellStyle name="40% - Accent5 5 2" xfId="31150" hidden="1"/>
    <cellStyle name="40% - Accent5 5 2" xfId="31265" hidden="1"/>
    <cellStyle name="40% - Accent5 5 2" xfId="31988" hidden="1"/>
    <cellStyle name="40% - Accent5 5 2" xfId="32161" hidden="1"/>
    <cellStyle name="40% - Accent5 5 2" xfId="32554" hidden="1"/>
    <cellStyle name="40% - Accent5 5 2" xfId="32702" hidden="1"/>
    <cellStyle name="40% - Accent5 5 2" xfId="33040" hidden="1"/>
    <cellStyle name="40% - Accent5 5 2" xfId="33377" hidden="1"/>
    <cellStyle name="40% - Accent5 7" xfId="133" hidden="1"/>
    <cellStyle name="40% - Accent5 7" xfId="207" hidden="1"/>
    <cellStyle name="40% - Accent5 7" xfId="288" hidden="1"/>
    <cellStyle name="40% - Accent5 7" xfId="471" hidden="1"/>
    <cellStyle name="40% - Accent5 7" xfId="2325" hidden="1"/>
    <cellStyle name="40% - Accent5 7" xfId="2463" hidden="1"/>
    <cellStyle name="40% - Accent5 7" xfId="2619" hidden="1"/>
    <cellStyle name="40% - Accent5 7" xfId="1706" hidden="1"/>
    <cellStyle name="40% - Accent5 7" xfId="3781" hidden="1"/>
    <cellStyle name="40% - Accent5 7" xfId="1598" hidden="1"/>
    <cellStyle name="40% - Accent5 7" xfId="1724" hidden="1"/>
    <cellStyle name="40% - Accent5 7" xfId="4452" hidden="1"/>
    <cellStyle name="40% - Accent5 7" xfId="4639" hidden="1"/>
    <cellStyle name="40% - Accent5 7" xfId="1695" hidden="1"/>
    <cellStyle name="40% - Accent5 7" xfId="5788" hidden="1"/>
    <cellStyle name="40% - Accent5 7" xfId="2215" hidden="1"/>
    <cellStyle name="40% - Accent5 7" xfId="3783" hidden="1"/>
    <cellStyle name="40% - Accent5 7" xfId="6402" hidden="1"/>
    <cellStyle name="40% - Accent5 7" xfId="6541" hidden="1"/>
    <cellStyle name="40% - Accent5 7" xfId="4248" hidden="1"/>
    <cellStyle name="40% - Accent5 7" xfId="7585" hidden="1"/>
    <cellStyle name="40% - Accent5 7" xfId="7743" hidden="1"/>
    <cellStyle name="40% - Accent5 7" xfId="5895" hidden="1"/>
    <cellStyle name="40% - Accent5 7" xfId="8829" hidden="1"/>
    <cellStyle name="40% - Accent5 7" xfId="9824" hidden="1"/>
    <cellStyle name="40% - Accent5 7" xfId="9895" hidden="1"/>
    <cellStyle name="40% - Accent5 7" xfId="9973" hidden="1"/>
    <cellStyle name="40% - Accent5 7" xfId="10051" hidden="1"/>
    <cellStyle name="40% - Accent5 7" xfId="10633" hidden="1"/>
    <cellStyle name="40% - Accent5 7" xfId="10712" hidden="1"/>
    <cellStyle name="40% - Accent5 7" xfId="10790" hidden="1"/>
    <cellStyle name="40% - Accent5 7" xfId="10386" hidden="1"/>
    <cellStyle name="40% - Accent5 7" xfId="11067" hidden="1"/>
    <cellStyle name="40% - Accent5 7" xfId="10352" hidden="1"/>
    <cellStyle name="40% - Accent5 7" xfId="10401" hidden="1"/>
    <cellStyle name="40% - Accent5 7" xfId="11307" hidden="1"/>
    <cellStyle name="40% - Accent5 7" xfId="11385" hidden="1"/>
    <cellStyle name="40% - Accent5 7" xfId="10376" hidden="1"/>
    <cellStyle name="40% - Accent5 7" xfId="11631" hidden="1"/>
    <cellStyle name="40% - Accent5 7" xfId="10567" hidden="1"/>
    <cellStyle name="40% - Accent5 7" xfId="11069" hidden="1"/>
    <cellStyle name="40% - Accent5 7" xfId="11839" hidden="1"/>
    <cellStyle name="40% - Accent5 7" xfId="11917" hidden="1"/>
    <cellStyle name="40% - Accent5 7" xfId="11237" hidden="1"/>
    <cellStyle name="40% - Accent5 7" xfId="12176" hidden="1"/>
    <cellStyle name="40% - Accent5 7" xfId="12254" hidden="1"/>
    <cellStyle name="40% - Accent5 7" xfId="11660" hidden="1"/>
    <cellStyle name="40% - Accent5 7" xfId="12513" hidden="1"/>
    <cellStyle name="40% - Accent5 7" xfId="12616" hidden="1"/>
    <cellStyle name="40% - Accent5 7" xfId="12687" hidden="1"/>
    <cellStyle name="40% - Accent5 7" xfId="12765" hidden="1"/>
    <cellStyle name="40% - Accent5 7" xfId="12843" hidden="1"/>
    <cellStyle name="40% - Accent5 7" xfId="13425" hidden="1"/>
    <cellStyle name="40% - Accent5 7" xfId="13504" hidden="1"/>
    <cellStyle name="40% - Accent5 7" xfId="13582" hidden="1"/>
    <cellStyle name="40% - Accent5 7" xfId="13178" hidden="1"/>
    <cellStyle name="40% - Accent5 7" xfId="13859" hidden="1"/>
    <cellStyle name="40% - Accent5 7" xfId="13144" hidden="1"/>
    <cellStyle name="40% - Accent5 7" xfId="13193" hidden="1"/>
    <cellStyle name="40% - Accent5 7" xfId="14099" hidden="1"/>
    <cellStyle name="40% - Accent5 7" xfId="14177" hidden="1"/>
    <cellStyle name="40% - Accent5 7" xfId="13168" hidden="1"/>
    <cellStyle name="40% - Accent5 7" xfId="14423" hidden="1"/>
    <cellStyle name="40% - Accent5 7" xfId="13359" hidden="1"/>
    <cellStyle name="40% - Accent5 7" xfId="13861" hidden="1"/>
    <cellStyle name="40% - Accent5 7" xfId="14631" hidden="1"/>
    <cellStyle name="40% - Accent5 7" xfId="14709" hidden="1"/>
    <cellStyle name="40% - Accent5 7" xfId="14029" hidden="1"/>
    <cellStyle name="40% - Accent5 7" xfId="14968" hidden="1"/>
    <cellStyle name="40% - Accent5 7" xfId="15046" hidden="1"/>
    <cellStyle name="40% - Accent5 7" xfId="14452" hidden="1"/>
    <cellStyle name="40% - Accent5 7" xfId="15305" hidden="1"/>
    <cellStyle name="40% - Accent5 7" xfId="9637" hidden="1"/>
    <cellStyle name="40% - Accent5 7" xfId="9551" hidden="1"/>
    <cellStyle name="40% - Accent5 7" xfId="9434" hidden="1"/>
    <cellStyle name="40% - Accent5 7" xfId="9317" hidden="1"/>
    <cellStyle name="40% - Accent5 7" xfId="7054" hidden="1"/>
    <cellStyle name="40% - Accent5 7" xfId="6955" hidden="1"/>
    <cellStyle name="40% - Accent5 7" xfId="6866" hidden="1"/>
    <cellStyle name="40% - Accent5 7" xfId="8029" hidden="1"/>
    <cellStyle name="40% - Accent5 7" xfId="5767" hidden="1"/>
    <cellStyle name="40% - Accent5 7" xfId="8134" hidden="1"/>
    <cellStyle name="40% - Accent5 7" xfId="7991" hidden="1"/>
    <cellStyle name="40% - Accent5 7" xfId="4805" hidden="1"/>
    <cellStyle name="40% - Accent5 7" xfId="4623" hidden="1"/>
    <cellStyle name="40% - Accent5 7" xfId="8058" hidden="1"/>
    <cellStyle name="40% - Accent5 7" xfId="3652" hidden="1"/>
    <cellStyle name="40% - Accent5 7" xfId="7359" hidden="1"/>
    <cellStyle name="40% - Accent5 7" xfId="5765" hidden="1"/>
    <cellStyle name="40% - Accent5 7" xfId="2657" hidden="1"/>
    <cellStyle name="40% - Accent5 7" xfId="2460" hidden="1"/>
    <cellStyle name="40% - Accent5 7" xfId="5038" hidden="1"/>
    <cellStyle name="40% - Accent5 7" xfId="1319" hidden="1"/>
    <cellStyle name="40% - Accent5 7" xfId="1135" hidden="1"/>
    <cellStyle name="40% - Accent5 7" xfId="3463" hidden="1"/>
    <cellStyle name="40% - Accent5 7" xfId="15454" hidden="1"/>
    <cellStyle name="40% - Accent5 7" xfId="16165" hidden="1"/>
    <cellStyle name="40% - Accent5 7" xfId="16236" hidden="1"/>
    <cellStyle name="40% - Accent5 7" xfId="16314" hidden="1"/>
    <cellStyle name="40% - Accent5 7" xfId="16392" hidden="1"/>
    <cellStyle name="40% - Accent5 7" xfId="16974" hidden="1"/>
    <cellStyle name="40% - Accent5 7" xfId="17053" hidden="1"/>
    <cellStyle name="40% - Accent5 7" xfId="17131" hidden="1"/>
    <cellStyle name="40% - Accent5 7" xfId="16727" hidden="1"/>
    <cellStyle name="40% - Accent5 7" xfId="17408" hidden="1"/>
    <cellStyle name="40% - Accent5 7" xfId="16693" hidden="1"/>
    <cellStyle name="40% - Accent5 7" xfId="16742" hidden="1"/>
    <cellStyle name="40% - Accent5 7" xfId="17648" hidden="1"/>
    <cellStyle name="40% - Accent5 7" xfId="17726" hidden="1"/>
    <cellStyle name="40% - Accent5 7" xfId="16717" hidden="1"/>
    <cellStyle name="40% - Accent5 7" xfId="17972" hidden="1"/>
    <cellStyle name="40% - Accent5 7" xfId="16908" hidden="1"/>
    <cellStyle name="40% - Accent5 7" xfId="17410" hidden="1"/>
    <cellStyle name="40% - Accent5 7" xfId="18180" hidden="1"/>
    <cellStyle name="40% - Accent5 7" xfId="18258" hidden="1"/>
    <cellStyle name="40% - Accent5 7" xfId="17578" hidden="1"/>
    <cellStyle name="40% - Accent5 7" xfId="18517" hidden="1"/>
    <cellStyle name="40% - Accent5 7" xfId="18595" hidden="1"/>
    <cellStyle name="40% - Accent5 7" xfId="18001" hidden="1"/>
    <cellStyle name="40% - Accent5 7" xfId="18854" hidden="1"/>
    <cellStyle name="40% - Accent5 7" xfId="18957" hidden="1"/>
    <cellStyle name="40% - Accent5 7" xfId="19028" hidden="1"/>
    <cellStyle name="40% - Accent5 7" xfId="19106" hidden="1"/>
    <cellStyle name="40% - Accent5 7" xfId="19184" hidden="1"/>
    <cellStyle name="40% - Accent5 7" xfId="19766" hidden="1"/>
    <cellStyle name="40% - Accent5 7" xfId="19845" hidden="1"/>
    <cellStyle name="40% - Accent5 7" xfId="19923" hidden="1"/>
    <cellStyle name="40% - Accent5 7" xfId="19519" hidden="1"/>
    <cellStyle name="40% - Accent5 7" xfId="20200" hidden="1"/>
    <cellStyle name="40% - Accent5 7" xfId="19485" hidden="1"/>
    <cellStyle name="40% - Accent5 7" xfId="19534" hidden="1"/>
    <cellStyle name="40% - Accent5 7" xfId="20440" hidden="1"/>
    <cellStyle name="40% - Accent5 7" xfId="20518" hidden="1"/>
    <cellStyle name="40% - Accent5 7" xfId="19509" hidden="1"/>
    <cellStyle name="40% - Accent5 7" xfId="20764" hidden="1"/>
    <cellStyle name="40% - Accent5 7" xfId="19700" hidden="1"/>
    <cellStyle name="40% - Accent5 7" xfId="20202" hidden="1"/>
    <cellStyle name="40% - Accent5 7" xfId="20972" hidden="1"/>
    <cellStyle name="40% - Accent5 7" xfId="21050" hidden="1"/>
    <cellStyle name="40% - Accent5 7" xfId="20370" hidden="1"/>
    <cellStyle name="40% - Accent5 7" xfId="21309" hidden="1"/>
    <cellStyle name="40% - Accent5 7" xfId="21387" hidden="1"/>
    <cellStyle name="40% - Accent5 7" xfId="20793" hidden="1"/>
    <cellStyle name="40% - Accent5 7" xfId="21646" hidden="1"/>
    <cellStyle name="40% - Accent5 7" xfId="16026" hidden="1"/>
    <cellStyle name="40% - Accent5 7" xfId="15955" hidden="1"/>
    <cellStyle name="40% - Accent5 7" xfId="15876" hidden="1"/>
    <cellStyle name="40% - Accent5 7" xfId="15794" hidden="1"/>
    <cellStyle name="40% - Accent5 7" xfId="8065" hidden="1"/>
    <cellStyle name="40% - Accent5 7" xfId="7919" hidden="1"/>
    <cellStyle name="40% - Accent5 7" xfId="7666" hidden="1"/>
    <cellStyle name="40% - Accent5 7" xfId="8976" hidden="1"/>
    <cellStyle name="40% - Accent5 7" xfId="6270" hidden="1"/>
    <cellStyle name="40% - Accent5 7" xfId="9062" hidden="1"/>
    <cellStyle name="40% - Accent5 7" xfId="8890" hidden="1"/>
    <cellStyle name="40% - Accent5 7" xfId="5256" hidden="1"/>
    <cellStyle name="40% - Accent5 7" xfId="5051" hidden="1"/>
    <cellStyle name="40% - Accent5 7" xfId="9006" hidden="1"/>
    <cellStyle name="40% - Accent5 7" xfId="3845" hidden="1"/>
    <cellStyle name="40% - Accent5 7" xfId="8212" hidden="1"/>
    <cellStyle name="40% - Accent5 7" xfId="6267" hidden="1"/>
    <cellStyle name="40% - Accent5 7" xfId="2978" hidden="1"/>
    <cellStyle name="40% - Accent5 7" xfId="2845" hidden="1"/>
    <cellStyle name="40% - Accent5 7" xfId="5544" hidden="1"/>
    <cellStyle name="40% - Accent5 7" xfId="1473" hidden="1"/>
    <cellStyle name="40% - Accent5 7" xfId="1272" hidden="1"/>
    <cellStyle name="40% - Accent5 7" xfId="3708" hidden="1"/>
    <cellStyle name="40% - Accent5 7" xfId="21783" hidden="1"/>
    <cellStyle name="40% - Accent5 7" xfId="22316" hidden="1"/>
    <cellStyle name="40% - Accent5 7" xfId="22387" hidden="1"/>
    <cellStyle name="40% - Accent5 7" xfId="22465" hidden="1"/>
    <cellStyle name="40% - Accent5 7" xfId="22543" hidden="1"/>
    <cellStyle name="40% - Accent5 7" xfId="23125" hidden="1"/>
    <cellStyle name="40% - Accent5 7" xfId="23204" hidden="1"/>
    <cellStyle name="40% - Accent5 7" xfId="23282" hidden="1"/>
    <cellStyle name="40% - Accent5 7" xfId="22878" hidden="1"/>
    <cellStyle name="40% - Accent5 7" xfId="23559" hidden="1"/>
    <cellStyle name="40% - Accent5 7" xfId="22844" hidden="1"/>
    <cellStyle name="40% - Accent5 7" xfId="22893" hidden="1"/>
    <cellStyle name="40% - Accent5 7" xfId="23799" hidden="1"/>
    <cellStyle name="40% - Accent5 7" xfId="23877" hidden="1"/>
    <cellStyle name="40% - Accent5 7" xfId="22868" hidden="1"/>
    <cellStyle name="40% - Accent5 7" xfId="24123" hidden="1"/>
    <cellStyle name="40% - Accent5 7" xfId="23059" hidden="1"/>
    <cellStyle name="40% - Accent5 7" xfId="23561" hidden="1"/>
    <cellStyle name="40% - Accent5 7" xfId="24331" hidden="1"/>
    <cellStyle name="40% - Accent5 7" xfId="24409" hidden="1"/>
    <cellStyle name="40% - Accent5 7" xfId="23729" hidden="1"/>
    <cellStyle name="40% - Accent5 7" xfId="24668" hidden="1"/>
    <cellStyle name="40% - Accent5 7" xfId="24746" hidden="1"/>
    <cellStyle name="40% - Accent5 7" xfId="24152" hidden="1"/>
    <cellStyle name="40% - Accent5 7" xfId="25005" hidden="1"/>
    <cellStyle name="40% - Accent5 7" xfId="25108" hidden="1"/>
    <cellStyle name="40% - Accent5 7" xfId="25179" hidden="1"/>
    <cellStyle name="40% - Accent5 7" xfId="25257" hidden="1"/>
    <cellStyle name="40% - Accent5 7" xfId="25335" hidden="1"/>
    <cellStyle name="40% - Accent5 7" xfId="25917" hidden="1"/>
    <cellStyle name="40% - Accent5 7" xfId="25996" hidden="1"/>
    <cellStyle name="40% - Accent5 7" xfId="26074" hidden="1"/>
    <cellStyle name="40% - Accent5 7" xfId="25670" hidden="1"/>
    <cellStyle name="40% - Accent5 7" xfId="26351" hidden="1"/>
    <cellStyle name="40% - Accent5 7" xfId="25636" hidden="1"/>
    <cellStyle name="40% - Accent5 7" xfId="25685" hidden="1"/>
    <cellStyle name="40% - Accent5 7" xfId="26591" hidden="1"/>
    <cellStyle name="40% - Accent5 7" xfId="26669" hidden="1"/>
    <cellStyle name="40% - Accent5 7" xfId="25660" hidden="1"/>
    <cellStyle name="40% - Accent5 7" xfId="26915" hidden="1"/>
    <cellStyle name="40% - Accent5 7" xfId="25851" hidden="1"/>
    <cellStyle name="40% - Accent5 7" xfId="26353" hidden="1"/>
    <cellStyle name="40% - Accent5 7" xfId="27123" hidden="1"/>
    <cellStyle name="40% - Accent5 7" xfId="27201" hidden="1"/>
    <cellStyle name="40% - Accent5 7" xfId="26521" hidden="1"/>
    <cellStyle name="40% - Accent5 7" xfId="27460" hidden="1"/>
    <cellStyle name="40% - Accent5 7" xfId="27538" hidden="1"/>
    <cellStyle name="40% - Accent5 7" xfId="26944" hidden="1"/>
    <cellStyle name="40% - Accent5 7" xfId="27797" hidden="1"/>
    <cellStyle name="40% - Accent5 7" xfId="22279" hidden="1"/>
    <cellStyle name="40% - Accent5 7" xfId="22208" hidden="1"/>
    <cellStyle name="40% - Accent5 7" xfId="22130" hidden="1"/>
    <cellStyle name="40% - Accent5 7" xfId="22047" hidden="1"/>
    <cellStyle name="40% - Accent5 7" xfId="9013" hidden="1"/>
    <cellStyle name="40% - Accent5 7" xfId="8796" hidden="1"/>
    <cellStyle name="40% - Accent5 7" xfId="8520" hidden="1"/>
    <cellStyle name="40% - Accent5 7" xfId="15547" hidden="1"/>
    <cellStyle name="40% - Accent5 7" xfId="6772" hidden="1"/>
    <cellStyle name="40% - Accent5 7" xfId="15597" hidden="1"/>
    <cellStyle name="40% - Accent5 7" xfId="15481" hidden="1"/>
    <cellStyle name="40% - Accent5 7" xfId="5794" hidden="1"/>
    <cellStyle name="40% - Accent5 7" xfId="5560" hidden="1"/>
    <cellStyle name="40% - Accent5 7" xfId="15566" hidden="1"/>
    <cellStyle name="40% - Accent5 7" xfId="4021" hidden="1"/>
    <cellStyle name="40% - Accent5 7" xfId="9281" hidden="1"/>
    <cellStyle name="40% - Accent5 7" xfId="6770" hidden="1"/>
    <cellStyle name="40% - Accent5 7" xfId="3324" hidden="1"/>
    <cellStyle name="40% - Accent5 7" xfId="3131" hidden="1"/>
    <cellStyle name="40% - Accent5 7" xfId="5921" hidden="1"/>
    <cellStyle name="40% - Accent5 7" xfId="1620" hidden="1"/>
    <cellStyle name="40% - Accent5 7" xfId="1443" hidden="1"/>
    <cellStyle name="40% - Accent5 7" xfId="3967" hidden="1"/>
    <cellStyle name="40% - Accent5 7" xfId="27932" hidden="1"/>
    <cellStyle name="40% - Accent5 7" xfId="28035" hidden="1"/>
    <cellStyle name="40% - Accent5 7" xfId="28106" hidden="1"/>
    <cellStyle name="40% - Accent5 7" xfId="28184" hidden="1"/>
    <cellStyle name="40% - Accent5 7" xfId="28262" hidden="1"/>
    <cellStyle name="40% - Accent5 7" xfId="28844" hidden="1"/>
    <cellStyle name="40% - Accent5 7" xfId="28923" hidden="1"/>
    <cellStyle name="40% - Accent5 7" xfId="29001" hidden="1"/>
    <cellStyle name="40% - Accent5 7" xfId="28597" hidden="1"/>
    <cellStyle name="40% - Accent5 7" xfId="29278" hidden="1"/>
    <cellStyle name="40% - Accent5 7" xfId="28563" hidden="1"/>
    <cellStyle name="40% - Accent5 7" xfId="28612" hidden="1"/>
    <cellStyle name="40% - Accent5 7" xfId="29518" hidden="1"/>
    <cellStyle name="40% - Accent5 7" xfId="29596" hidden="1"/>
    <cellStyle name="40% - Accent5 7" xfId="28587" hidden="1"/>
    <cellStyle name="40% - Accent5 7" xfId="29842" hidden="1"/>
    <cellStyle name="40% - Accent5 7" xfId="28778" hidden="1"/>
    <cellStyle name="40% - Accent5 7" xfId="29280" hidden="1"/>
    <cellStyle name="40% - Accent5 7" xfId="30050" hidden="1"/>
    <cellStyle name="40% - Accent5 7" xfId="30128" hidden="1"/>
    <cellStyle name="40% - Accent5 7" xfId="29448" hidden="1"/>
    <cellStyle name="40% - Accent5 7" xfId="30387" hidden="1"/>
    <cellStyle name="40% - Accent5 7" xfId="30465" hidden="1"/>
    <cellStyle name="40% - Accent5 7" xfId="29871" hidden="1"/>
    <cellStyle name="40% - Accent5 7" xfId="30724" hidden="1"/>
    <cellStyle name="40% - Accent5 7" xfId="30827" hidden="1"/>
    <cellStyle name="40% - Accent5 7" xfId="30898" hidden="1"/>
    <cellStyle name="40% - Accent5 7" xfId="30976" hidden="1"/>
    <cellStyle name="40% - Accent5 7" xfId="31054" hidden="1"/>
    <cellStyle name="40% - Accent5 7" xfId="31636" hidden="1"/>
    <cellStyle name="40% - Accent5 7" xfId="31715" hidden="1"/>
    <cellStyle name="40% - Accent5 7" xfId="31793" hidden="1"/>
    <cellStyle name="40% - Accent5 7" xfId="31389" hidden="1"/>
    <cellStyle name="40% - Accent5 7" xfId="32070" hidden="1"/>
    <cellStyle name="40% - Accent5 7" xfId="31355" hidden="1"/>
    <cellStyle name="40% - Accent5 7" xfId="31404" hidden="1"/>
    <cellStyle name="40% - Accent5 7" xfId="32310" hidden="1"/>
    <cellStyle name="40% - Accent5 7" xfId="32388" hidden="1"/>
    <cellStyle name="40% - Accent5 7" xfId="31379" hidden="1"/>
    <cellStyle name="40% - Accent5 7" xfId="32634" hidden="1"/>
    <cellStyle name="40% - Accent5 7" xfId="31570" hidden="1"/>
    <cellStyle name="40% - Accent5 7" xfId="32072" hidden="1"/>
    <cellStyle name="40% - Accent5 7" xfId="32842" hidden="1"/>
    <cellStyle name="40% - Accent5 7" xfId="32920" hidden="1"/>
    <cellStyle name="40% - Accent5 7" xfId="32240" hidden="1"/>
    <cellStyle name="40% - Accent5 7" xfId="33179" hidden="1"/>
    <cellStyle name="40% - Accent5 7" xfId="33257" hidden="1"/>
    <cellStyle name="40% - Accent5 7" xfId="32663" hidden="1"/>
    <cellStyle name="40% - Accent5 7" xfId="33516" hidden="1"/>
    <cellStyle name="40% - Accent5 8" xfId="149" hidden="1"/>
    <cellStyle name="40% - Accent5 8" xfId="226" hidden="1"/>
    <cellStyle name="40% - Accent5 8" xfId="306" hidden="1"/>
    <cellStyle name="40% - Accent5 8" xfId="596" hidden="1"/>
    <cellStyle name="40% - Accent5 8" xfId="2382" hidden="1"/>
    <cellStyle name="40% - Accent5 8" xfId="2522" hidden="1"/>
    <cellStyle name="40% - Accent5 8" xfId="2690" hidden="1"/>
    <cellStyle name="40% - Accent5 8" xfId="2855" hidden="1"/>
    <cellStyle name="40% - Accent5 8" xfId="3810" hidden="1"/>
    <cellStyle name="40% - Accent5 8" xfId="2105" hidden="1"/>
    <cellStyle name="40% - Accent5 8" xfId="3661" hidden="1"/>
    <cellStyle name="40% - Accent5 8" xfId="4548" hidden="1"/>
    <cellStyle name="40% - Accent5 8" xfId="4701" hidden="1"/>
    <cellStyle name="40% - Accent5 8" xfId="4838" hidden="1"/>
    <cellStyle name="40% - Accent5 8" xfId="5834" hidden="1"/>
    <cellStyle name="40% - Accent5 8" xfId="1610" hidden="1"/>
    <cellStyle name="40% - Accent5 8" xfId="5596" hidden="1"/>
    <cellStyle name="40% - Accent5 8" xfId="6432" hidden="1"/>
    <cellStyle name="40% - Accent5 8" xfId="6629" hidden="1"/>
    <cellStyle name="40% - Accent5 8" xfId="6767" hidden="1"/>
    <cellStyle name="40% - Accent5 8" xfId="7631" hidden="1"/>
    <cellStyle name="40% - Accent5 8" xfId="7810" hidden="1"/>
    <cellStyle name="40% - Accent5 8" xfId="7969" hidden="1"/>
    <cellStyle name="40% - Accent5 8" xfId="8896" hidden="1"/>
    <cellStyle name="40% - Accent5 8" xfId="9840" hidden="1"/>
    <cellStyle name="40% - Accent5 8" xfId="9911" hidden="1"/>
    <cellStyle name="40% - Accent5 8" xfId="9988" hidden="1"/>
    <cellStyle name="40% - Accent5 8" xfId="10066" hidden="1"/>
    <cellStyle name="40% - Accent5 8" xfId="10650" hidden="1"/>
    <cellStyle name="40% - Accent5 8" xfId="10727" hidden="1"/>
    <cellStyle name="40% - Accent5 8" xfId="10806" hidden="1"/>
    <cellStyle name="40% - Accent5 8" xfId="10877" hidden="1"/>
    <cellStyle name="40% - Accent5 8" xfId="11089" hidden="1"/>
    <cellStyle name="40% - Accent5 8" xfId="10552" hidden="1"/>
    <cellStyle name="40% - Accent5 8" xfId="11061" hidden="1"/>
    <cellStyle name="40% - Accent5 8" xfId="11322" hidden="1"/>
    <cellStyle name="40% - Accent5 8" xfId="11400" hidden="1"/>
    <cellStyle name="40% - Accent5 8" xfId="11466" hidden="1"/>
    <cellStyle name="40% - Accent5 8" xfId="11647" hidden="1"/>
    <cellStyle name="40% - Accent5 8" xfId="10359" hidden="1"/>
    <cellStyle name="40% - Accent5 8" xfId="11626" hidden="1"/>
    <cellStyle name="40% - Accent5 8" xfId="11854" hidden="1"/>
    <cellStyle name="40% - Accent5 8" xfId="11932" hidden="1"/>
    <cellStyle name="40% - Accent5 8" xfId="11994" hidden="1"/>
    <cellStyle name="40% - Accent5 8" xfId="12191" hidden="1"/>
    <cellStyle name="40% - Accent5 8" xfId="12269" hidden="1"/>
    <cellStyle name="40% - Accent5 8" xfId="12331" hidden="1"/>
    <cellStyle name="40% - Accent5 8" xfId="12528" hidden="1"/>
    <cellStyle name="40% - Accent5 8" xfId="12632" hidden="1"/>
    <cellStyle name="40% - Accent5 8" xfId="12703" hidden="1"/>
    <cellStyle name="40% - Accent5 8" xfId="12780" hidden="1"/>
    <cellStyle name="40% - Accent5 8" xfId="12858" hidden="1"/>
    <cellStyle name="40% - Accent5 8" xfId="13442" hidden="1"/>
    <cellStyle name="40% - Accent5 8" xfId="13519" hidden="1"/>
    <cellStyle name="40% - Accent5 8" xfId="13598" hidden="1"/>
    <cellStyle name="40% - Accent5 8" xfId="13669" hidden="1"/>
    <cellStyle name="40% - Accent5 8" xfId="13881" hidden="1"/>
    <cellStyle name="40% - Accent5 8" xfId="13344" hidden="1"/>
    <cellStyle name="40% - Accent5 8" xfId="13853" hidden="1"/>
    <cellStyle name="40% - Accent5 8" xfId="14114" hidden="1"/>
    <cellStyle name="40% - Accent5 8" xfId="14192" hidden="1"/>
    <cellStyle name="40% - Accent5 8" xfId="14258" hidden="1"/>
    <cellStyle name="40% - Accent5 8" xfId="14439" hidden="1"/>
    <cellStyle name="40% - Accent5 8" xfId="13151" hidden="1"/>
    <cellStyle name="40% - Accent5 8" xfId="14418" hidden="1"/>
    <cellStyle name="40% - Accent5 8" xfId="14646" hidden="1"/>
    <cellStyle name="40% - Accent5 8" xfId="14724" hidden="1"/>
    <cellStyle name="40% - Accent5 8" xfId="14786" hidden="1"/>
    <cellStyle name="40% - Accent5 8" xfId="14983" hidden="1"/>
    <cellStyle name="40% - Accent5 8" xfId="15061" hidden="1"/>
    <cellStyle name="40% - Accent5 8" xfId="15123" hidden="1"/>
    <cellStyle name="40% - Accent5 8" xfId="15320" hidden="1"/>
    <cellStyle name="40% - Accent5 8" xfId="9619" hidden="1"/>
    <cellStyle name="40% - Accent5 8" xfId="9516" hidden="1"/>
    <cellStyle name="40% - Accent5 8" xfId="9400" hidden="1"/>
    <cellStyle name="40% - Accent5 8" xfId="9293" hidden="1"/>
    <cellStyle name="40% - Accent5 8" xfId="7025" hidden="1"/>
    <cellStyle name="40% - Accent5 8" xfId="6936" hidden="1"/>
    <cellStyle name="40% - Accent5 8" xfId="6845" hidden="1"/>
    <cellStyle name="40% - Accent5 8" xfId="6735" hidden="1"/>
    <cellStyle name="40% - Accent5 8" xfId="5660" hidden="1"/>
    <cellStyle name="40% - Accent5 8" xfId="7396" hidden="1"/>
    <cellStyle name="40% - Accent5 8" xfId="5887" hidden="1"/>
    <cellStyle name="40% - Accent5 8" xfId="4736" hidden="1"/>
    <cellStyle name="40% - Accent5 8" xfId="4546" hidden="1"/>
    <cellStyle name="40% - Accent5 8" xfId="4302" hidden="1"/>
    <cellStyle name="40% - Accent5 8" xfId="3636" hidden="1"/>
    <cellStyle name="40% - Accent5 8" xfId="8119" hidden="1"/>
    <cellStyle name="40% - Accent5 8" xfId="3766" hidden="1"/>
    <cellStyle name="40% - Accent5 8" xfId="2577" hidden="1"/>
    <cellStyle name="40% - Accent5 8" xfId="2380" hidden="1"/>
    <cellStyle name="40% - Accent5 8" xfId="2254" hidden="1"/>
    <cellStyle name="40% - Accent5 8" xfId="1248" hidden="1"/>
    <cellStyle name="40% - Accent5 8" xfId="1076" hidden="1"/>
    <cellStyle name="40% - Accent5 8" xfId="897" hidden="1"/>
    <cellStyle name="40% - Accent5 8" xfId="15484" hidden="1"/>
    <cellStyle name="40% - Accent5 8" xfId="16181" hidden="1"/>
    <cellStyle name="40% - Accent5 8" xfId="16252" hidden="1"/>
    <cellStyle name="40% - Accent5 8" xfId="16329" hidden="1"/>
    <cellStyle name="40% - Accent5 8" xfId="16407" hidden="1"/>
    <cellStyle name="40% - Accent5 8" xfId="16991" hidden="1"/>
    <cellStyle name="40% - Accent5 8" xfId="17068" hidden="1"/>
    <cellStyle name="40% - Accent5 8" xfId="17147" hidden="1"/>
    <cellStyle name="40% - Accent5 8" xfId="17218" hidden="1"/>
    <cellStyle name="40% - Accent5 8" xfId="17430" hidden="1"/>
    <cellStyle name="40% - Accent5 8" xfId="16893" hidden="1"/>
    <cellStyle name="40% - Accent5 8" xfId="17402" hidden="1"/>
    <cellStyle name="40% - Accent5 8" xfId="17663" hidden="1"/>
    <cellStyle name="40% - Accent5 8" xfId="17741" hidden="1"/>
    <cellStyle name="40% - Accent5 8" xfId="17807" hidden="1"/>
    <cellStyle name="40% - Accent5 8" xfId="17988" hidden="1"/>
    <cellStyle name="40% - Accent5 8" xfId="16700" hidden="1"/>
    <cellStyle name="40% - Accent5 8" xfId="17967" hidden="1"/>
    <cellStyle name="40% - Accent5 8" xfId="18195" hidden="1"/>
    <cellStyle name="40% - Accent5 8" xfId="18273" hidden="1"/>
    <cellStyle name="40% - Accent5 8" xfId="18335" hidden="1"/>
    <cellStyle name="40% - Accent5 8" xfId="18532" hidden="1"/>
    <cellStyle name="40% - Accent5 8" xfId="18610" hidden="1"/>
    <cellStyle name="40% - Accent5 8" xfId="18672" hidden="1"/>
    <cellStyle name="40% - Accent5 8" xfId="18869" hidden="1"/>
    <cellStyle name="40% - Accent5 8" xfId="18973" hidden="1"/>
    <cellStyle name="40% - Accent5 8" xfId="19044" hidden="1"/>
    <cellStyle name="40% - Accent5 8" xfId="19121" hidden="1"/>
    <cellStyle name="40% - Accent5 8" xfId="19199" hidden="1"/>
    <cellStyle name="40% - Accent5 8" xfId="19783" hidden="1"/>
    <cellStyle name="40% - Accent5 8" xfId="19860" hidden="1"/>
    <cellStyle name="40% - Accent5 8" xfId="19939" hidden="1"/>
    <cellStyle name="40% - Accent5 8" xfId="20010" hidden="1"/>
    <cellStyle name="40% - Accent5 8" xfId="20222" hidden="1"/>
    <cellStyle name="40% - Accent5 8" xfId="19685" hidden="1"/>
    <cellStyle name="40% - Accent5 8" xfId="20194" hidden="1"/>
    <cellStyle name="40% - Accent5 8" xfId="20455" hidden="1"/>
    <cellStyle name="40% - Accent5 8" xfId="20533" hidden="1"/>
    <cellStyle name="40% - Accent5 8" xfId="20599" hidden="1"/>
    <cellStyle name="40% - Accent5 8" xfId="20780" hidden="1"/>
    <cellStyle name="40% - Accent5 8" xfId="19492" hidden="1"/>
    <cellStyle name="40% - Accent5 8" xfId="20759" hidden="1"/>
    <cellStyle name="40% - Accent5 8" xfId="20987" hidden="1"/>
    <cellStyle name="40% - Accent5 8" xfId="21065" hidden="1"/>
    <cellStyle name="40% - Accent5 8" xfId="21127" hidden="1"/>
    <cellStyle name="40% - Accent5 8" xfId="21324" hidden="1"/>
    <cellStyle name="40% - Accent5 8" xfId="21402" hidden="1"/>
    <cellStyle name="40% - Accent5 8" xfId="21464" hidden="1"/>
    <cellStyle name="40% - Accent5 8" xfId="21661" hidden="1"/>
    <cellStyle name="40% - Accent5 8" xfId="16010" hidden="1"/>
    <cellStyle name="40% - Accent5 8" xfId="15939" hidden="1"/>
    <cellStyle name="40% - Accent5 8" xfId="15860" hidden="1"/>
    <cellStyle name="40% - Accent5 8" xfId="15776" hidden="1"/>
    <cellStyle name="40% - Accent5 8" xfId="8018" hidden="1"/>
    <cellStyle name="40% - Accent5 8" xfId="7829" hidden="1"/>
    <cellStyle name="40% - Accent5 8" xfId="7598" hidden="1"/>
    <cellStyle name="40% - Accent5 8" xfId="7393" hidden="1"/>
    <cellStyle name="40% - Accent5 8" xfId="6159" hidden="1"/>
    <cellStyle name="40% - Accent5 8" xfId="8247" hidden="1"/>
    <cellStyle name="40% - Accent5 8" xfId="6310" hidden="1"/>
    <cellStyle name="40% - Accent5 8" xfId="5127" hidden="1"/>
    <cellStyle name="40% - Accent5 8" xfId="5024" hidden="1"/>
    <cellStyle name="40% - Accent5 8" xfId="4924" hidden="1"/>
    <cellStyle name="40% - Accent5 8" xfId="3816" hidden="1"/>
    <cellStyle name="40% - Accent5 8" xfId="9047" hidden="1"/>
    <cellStyle name="40% - Accent5 8" xfId="3973" hidden="1"/>
    <cellStyle name="40% - Accent5 8" xfId="2941" hidden="1"/>
    <cellStyle name="40% - Accent5 8" xfId="2818" hidden="1"/>
    <cellStyle name="40% - Accent5 8" xfId="2446" hidden="1"/>
    <cellStyle name="40% - Accent5 8" xfId="1429" hidden="1"/>
    <cellStyle name="40% - Accent5 8" xfId="1179" hidden="1"/>
    <cellStyle name="40% - Accent5 8" xfId="907" hidden="1"/>
    <cellStyle name="40% - Accent5 8" xfId="21799" hidden="1"/>
    <cellStyle name="40% - Accent5 8" xfId="22332" hidden="1"/>
    <cellStyle name="40% - Accent5 8" xfId="22403" hidden="1"/>
    <cellStyle name="40% - Accent5 8" xfId="22480" hidden="1"/>
    <cellStyle name="40% - Accent5 8" xfId="22558" hidden="1"/>
    <cellStyle name="40% - Accent5 8" xfId="23142" hidden="1"/>
    <cellStyle name="40% - Accent5 8" xfId="23219" hidden="1"/>
    <cellStyle name="40% - Accent5 8" xfId="23298" hidden="1"/>
    <cellStyle name="40% - Accent5 8" xfId="23369" hidden="1"/>
    <cellStyle name="40% - Accent5 8" xfId="23581" hidden="1"/>
    <cellStyle name="40% - Accent5 8" xfId="23044" hidden="1"/>
    <cellStyle name="40% - Accent5 8" xfId="23553" hidden="1"/>
    <cellStyle name="40% - Accent5 8" xfId="23814" hidden="1"/>
    <cellStyle name="40% - Accent5 8" xfId="23892" hidden="1"/>
    <cellStyle name="40% - Accent5 8" xfId="23958" hidden="1"/>
    <cellStyle name="40% - Accent5 8" xfId="24139" hidden="1"/>
    <cellStyle name="40% - Accent5 8" xfId="22851" hidden="1"/>
    <cellStyle name="40% - Accent5 8" xfId="24118" hidden="1"/>
    <cellStyle name="40% - Accent5 8" xfId="24346" hidden="1"/>
    <cellStyle name="40% - Accent5 8" xfId="24424" hidden="1"/>
    <cellStyle name="40% - Accent5 8" xfId="24486" hidden="1"/>
    <cellStyle name="40% - Accent5 8" xfId="24683" hidden="1"/>
    <cellStyle name="40% - Accent5 8" xfId="24761" hidden="1"/>
    <cellStyle name="40% - Accent5 8" xfId="24823" hidden="1"/>
    <cellStyle name="40% - Accent5 8" xfId="25020" hidden="1"/>
    <cellStyle name="40% - Accent5 8" xfId="25124" hidden="1"/>
    <cellStyle name="40% - Accent5 8" xfId="25195" hidden="1"/>
    <cellStyle name="40% - Accent5 8" xfId="25272" hidden="1"/>
    <cellStyle name="40% - Accent5 8" xfId="25350" hidden="1"/>
    <cellStyle name="40% - Accent5 8" xfId="25934" hidden="1"/>
    <cellStyle name="40% - Accent5 8" xfId="26011" hidden="1"/>
    <cellStyle name="40% - Accent5 8" xfId="26090" hidden="1"/>
    <cellStyle name="40% - Accent5 8" xfId="26161" hidden="1"/>
    <cellStyle name="40% - Accent5 8" xfId="26373" hidden="1"/>
    <cellStyle name="40% - Accent5 8" xfId="25836" hidden="1"/>
    <cellStyle name="40% - Accent5 8" xfId="26345" hidden="1"/>
    <cellStyle name="40% - Accent5 8" xfId="26606" hidden="1"/>
    <cellStyle name="40% - Accent5 8" xfId="26684" hidden="1"/>
    <cellStyle name="40% - Accent5 8" xfId="26750" hidden="1"/>
    <cellStyle name="40% - Accent5 8" xfId="26931" hidden="1"/>
    <cellStyle name="40% - Accent5 8" xfId="25643" hidden="1"/>
    <cellStyle name="40% - Accent5 8" xfId="26910" hidden="1"/>
    <cellStyle name="40% - Accent5 8" xfId="27138" hidden="1"/>
    <cellStyle name="40% - Accent5 8" xfId="27216" hidden="1"/>
    <cellStyle name="40% - Accent5 8" xfId="27278" hidden="1"/>
    <cellStyle name="40% - Accent5 8" xfId="27475" hidden="1"/>
    <cellStyle name="40% - Accent5 8" xfId="27553" hidden="1"/>
    <cellStyle name="40% - Accent5 8" xfId="27615" hidden="1"/>
    <cellStyle name="40% - Accent5 8" xfId="27812" hidden="1"/>
    <cellStyle name="40% - Accent5 8" xfId="22263" hidden="1"/>
    <cellStyle name="40% - Accent5 8" xfId="22192" hidden="1"/>
    <cellStyle name="40% - Accent5 8" xfId="22113" hidden="1"/>
    <cellStyle name="40% - Accent5 8" xfId="22029" hidden="1"/>
    <cellStyle name="40% - Accent5 8" xfId="8952" hidden="1"/>
    <cellStyle name="40% - Accent5 8" xfId="8718" hidden="1"/>
    <cellStyle name="40% - Accent5 8" xfId="8481" hidden="1"/>
    <cellStyle name="40% - Accent5 8" xfId="8246" hidden="1"/>
    <cellStyle name="40% - Accent5 8" xfId="6733" hidden="1"/>
    <cellStyle name="40% - Accent5 8" xfId="9323" hidden="1"/>
    <cellStyle name="40% - Accent5 8" xfId="6918" hidden="1"/>
    <cellStyle name="40% - Accent5 8" xfId="5633" hidden="1"/>
    <cellStyle name="40% - Accent5 8" xfId="5536" hidden="1"/>
    <cellStyle name="40% - Accent5 8" xfId="5454" hidden="1"/>
    <cellStyle name="40% - Accent5 8" xfId="4002" hidden="1"/>
    <cellStyle name="40% - Accent5 8" xfId="15589" hidden="1"/>
    <cellStyle name="40% - Accent5 8" xfId="4246" hidden="1"/>
    <cellStyle name="40% - Accent5 8" xfId="3306" hidden="1"/>
    <cellStyle name="40% - Accent5 8" xfId="3099" hidden="1"/>
    <cellStyle name="40% - Accent5 8" xfId="2849" hidden="1"/>
    <cellStyle name="40% - Accent5 8" xfId="1581" hidden="1"/>
    <cellStyle name="40% - Accent5 8" xfId="1350" hidden="1"/>
    <cellStyle name="40% - Accent5 8" xfId="1055" hidden="1"/>
    <cellStyle name="40% - Accent5 8" xfId="27947" hidden="1"/>
    <cellStyle name="40% - Accent5 8" xfId="28051" hidden="1"/>
    <cellStyle name="40% - Accent5 8" xfId="28122" hidden="1"/>
    <cellStyle name="40% - Accent5 8" xfId="28199" hidden="1"/>
    <cellStyle name="40% - Accent5 8" xfId="28277" hidden="1"/>
    <cellStyle name="40% - Accent5 8" xfId="28861" hidden="1"/>
    <cellStyle name="40% - Accent5 8" xfId="28938" hidden="1"/>
    <cellStyle name="40% - Accent5 8" xfId="29017" hidden="1"/>
    <cellStyle name="40% - Accent5 8" xfId="29088" hidden="1"/>
    <cellStyle name="40% - Accent5 8" xfId="29300" hidden="1"/>
    <cellStyle name="40% - Accent5 8" xfId="28763" hidden="1"/>
    <cellStyle name="40% - Accent5 8" xfId="29272" hidden="1"/>
    <cellStyle name="40% - Accent5 8" xfId="29533" hidden="1"/>
    <cellStyle name="40% - Accent5 8" xfId="29611" hidden="1"/>
    <cellStyle name="40% - Accent5 8" xfId="29677" hidden="1"/>
    <cellStyle name="40% - Accent5 8" xfId="29858" hidden="1"/>
    <cellStyle name="40% - Accent5 8" xfId="28570" hidden="1"/>
    <cellStyle name="40% - Accent5 8" xfId="29837" hidden="1"/>
    <cellStyle name="40% - Accent5 8" xfId="30065" hidden="1"/>
    <cellStyle name="40% - Accent5 8" xfId="30143" hidden="1"/>
    <cellStyle name="40% - Accent5 8" xfId="30205" hidden="1"/>
    <cellStyle name="40% - Accent5 8" xfId="30402" hidden="1"/>
    <cellStyle name="40% - Accent5 8" xfId="30480" hidden="1"/>
    <cellStyle name="40% - Accent5 8" xfId="30542" hidden="1"/>
    <cellStyle name="40% - Accent5 8" xfId="30739" hidden="1"/>
    <cellStyle name="40% - Accent5 8" xfId="30843" hidden="1"/>
    <cellStyle name="40% - Accent5 8" xfId="30914" hidden="1"/>
    <cellStyle name="40% - Accent5 8" xfId="30991" hidden="1"/>
    <cellStyle name="40% - Accent5 8" xfId="31069" hidden="1"/>
    <cellStyle name="40% - Accent5 8" xfId="31653" hidden="1"/>
    <cellStyle name="40% - Accent5 8" xfId="31730" hidden="1"/>
    <cellStyle name="40% - Accent5 8" xfId="31809" hidden="1"/>
    <cellStyle name="40% - Accent5 8" xfId="31880" hidden="1"/>
    <cellStyle name="40% - Accent5 8" xfId="32092" hidden="1"/>
    <cellStyle name="40% - Accent5 8" xfId="31555" hidden="1"/>
    <cellStyle name="40% - Accent5 8" xfId="32064" hidden="1"/>
    <cellStyle name="40% - Accent5 8" xfId="32325" hidden="1"/>
    <cellStyle name="40% - Accent5 8" xfId="32403" hidden="1"/>
    <cellStyle name="40% - Accent5 8" xfId="32469" hidden="1"/>
    <cellStyle name="40% - Accent5 8" xfId="32650" hidden="1"/>
    <cellStyle name="40% - Accent5 8" xfId="31362" hidden="1"/>
    <cellStyle name="40% - Accent5 8" xfId="32629" hidden="1"/>
    <cellStyle name="40% - Accent5 8" xfId="32857" hidden="1"/>
    <cellStyle name="40% - Accent5 8" xfId="32935" hidden="1"/>
    <cellStyle name="40% - Accent5 8" xfId="32997" hidden="1"/>
    <cellStyle name="40% - Accent5 8" xfId="33194" hidden="1"/>
    <cellStyle name="40% - Accent5 8" xfId="33272" hidden="1"/>
    <cellStyle name="40% - Accent5 8" xfId="33334" hidden="1"/>
    <cellStyle name="40% - Accent5 8" xfId="33531" hidden="1"/>
    <cellStyle name="40% - Accent5 9" xfId="162" hidden="1"/>
    <cellStyle name="40% - Accent5 9" xfId="242" hidden="1"/>
    <cellStyle name="40% - Accent5 9" xfId="324" hidden="1"/>
    <cellStyle name="40% - Accent5 9" xfId="658" hidden="1"/>
    <cellStyle name="40% - Accent5 9" xfId="2404" hidden="1"/>
    <cellStyle name="40% - Accent5 9" xfId="2555" hidden="1"/>
    <cellStyle name="40% - Accent5 9" xfId="2736" hidden="1"/>
    <cellStyle name="40% - Accent5 9" xfId="3782" hidden="1"/>
    <cellStyle name="40% - Accent5 9" xfId="2249" hidden="1"/>
    <cellStyle name="40% - Accent5 9" xfId="2205" hidden="1"/>
    <cellStyle name="40% - Accent5 9" xfId="4327" hidden="1"/>
    <cellStyle name="40% - Accent5 9" xfId="4572" hidden="1"/>
    <cellStyle name="40% - Accent5 9" xfId="4731" hidden="1"/>
    <cellStyle name="40% - Accent5 9" xfId="5789" hidden="1"/>
    <cellStyle name="40% - Accent5 9" xfId="1644" hidden="1"/>
    <cellStyle name="40% - Accent5 9" xfId="1708" hidden="1"/>
    <cellStyle name="40% - Accent5 9" xfId="6346" hidden="1"/>
    <cellStyle name="40% - Accent5 9" xfId="6453" hidden="1"/>
    <cellStyle name="40% - Accent5 9" xfId="6651" hidden="1"/>
    <cellStyle name="40% - Accent5 9" xfId="7505" hidden="1"/>
    <cellStyle name="40% - Accent5 9" xfId="7658" hidden="1"/>
    <cellStyle name="40% - Accent5 9" xfId="7839" hidden="1"/>
    <cellStyle name="40% - Accent5 9" xfId="8752" hidden="1"/>
    <cellStyle name="40% - Accent5 9" xfId="8930" hidden="1"/>
    <cellStyle name="40% - Accent5 9" xfId="9853" hidden="1"/>
    <cellStyle name="40% - Accent5 9" xfId="9927" hidden="1"/>
    <cellStyle name="40% - Accent5 9" xfId="10003" hidden="1"/>
    <cellStyle name="40% - Accent5 9" xfId="10081" hidden="1"/>
    <cellStyle name="40% - Accent5 9" xfId="10666" hidden="1"/>
    <cellStyle name="40% - Accent5 9" xfId="10742" hidden="1"/>
    <cellStyle name="40% - Accent5 9" xfId="10821" hidden="1"/>
    <cellStyle name="40% - Accent5 9" xfId="11068" hidden="1"/>
    <cellStyle name="40% - Accent5 9" xfId="10594" hidden="1"/>
    <cellStyle name="40% - Accent5 9" xfId="10559" hidden="1"/>
    <cellStyle name="40% - Accent5 9" xfId="11261" hidden="1"/>
    <cellStyle name="40% - Accent5 9" xfId="11337" hidden="1"/>
    <cellStyle name="40% - Accent5 9" xfId="11415" hidden="1"/>
    <cellStyle name="40% - Accent5 9" xfId="11632" hidden="1"/>
    <cellStyle name="40% - Accent5 9" xfId="10363" hidden="1"/>
    <cellStyle name="40% - Accent5 9" xfId="10388" hidden="1"/>
    <cellStyle name="40% - Accent5 9" xfId="11793" hidden="1"/>
    <cellStyle name="40% - Accent5 9" xfId="11869" hidden="1"/>
    <cellStyle name="40% - Accent5 9" xfId="11947" hidden="1"/>
    <cellStyle name="40% - Accent5 9" xfId="12130" hidden="1"/>
    <cellStyle name="40% - Accent5 9" xfId="12206" hidden="1"/>
    <cellStyle name="40% - Accent5 9" xfId="12284" hidden="1"/>
    <cellStyle name="40% - Accent5 9" xfId="12467" hidden="1"/>
    <cellStyle name="40% - Accent5 9" xfId="12543" hidden="1"/>
    <cellStyle name="40% - Accent5 9" xfId="12645" hidden="1"/>
    <cellStyle name="40% - Accent5 9" xfId="12719" hidden="1"/>
    <cellStyle name="40% - Accent5 9" xfId="12795" hidden="1"/>
    <cellStyle name="40% - Accent5 9" xfId="12873" hidden="1"/>
    <cellStyle name="40% - Accent5 9" xfId="13458" hidden="1"/>
    <cellStyle name="40% - Accent5 9" xfId="13534" hidden="1"/>
    <cellStyle name="40% - Accent5 9" xfId="13613" hidden="1"/>
    <cellStyle name="40% - Accent5 9" xfId="13860" hidden="1"/>
    <cellStyle name="40% - Accent5 9" xfId="13386" hidden="1"/>
    <cellStyle name="40% - Accent5 9" xfId="13351" hidden="1"/>
    <cellStyle name="40% - Accent5 9" xfId="14053" hidden="1"/>
    <cellStyle name="40% - Accent5 9" xfId="14129" hidden="1"/>
    <cellStyle name="40% - Accent5 9" xfId="14207" hidden="1"/>
    <cellStyle name="40% - Accent5 9" xfId="14424" hidden="1"/>
    <cellStyle name="40% - Accent5 9" xfId="13155" hidden="1"/>
    <cellStyle name="40% - Accent5 9" xfId="13180" hidden="1"/>
    <cellStyle name="40% - Accent5 9" xfId="14585" hidden="1"/>
    <cellStyle name="40% - Accent5 9" xfId="14661" hidden="1"/>
    <cellStyle name="40% - Accent5 9" xfId="14739" hidden="1"/>
    <cellStyle name="40% - Accent5 9" xfId="14922" hidden="1"/>
    <cellStyle name="40% - Accent5 9" xfId="14998" hidden="1"/>
    <cellStyle name="40% - Accent5 9" xfId="15076" hidden="1"/>
    <cellStyle name="40% - Accent5 9" xfId="15259" hidden="1"/>
    <cellStyle name="40% - Accent5 9" xfId="15335" hidden="1"/>
    <cellStyle name="40% - Accent5 9" xfId="9604" hidden="1"/>
    <cellStyle name="40% - Accent5 9" xfId="9495" hidden="1"/>
    <cellStyle name="40% - Accent5 9" xfId="9375" hidden="1"/>
    <cellStyle name="40% - Accent5 9" xfId="9269" hidden="1"/>
    <cellStyle name="40% - Accent5 9" xfId="7007" hidden="1"/>
    <cellStyle name="40% - Accent5 9" xfId="6919" hidden="1"/>
    <cellStyle name="40% - Accent5 9" xfId="6826" hidden="1"/>
    <cellStyle name="40% - Accent5 9" xfId="5766" hidden="1"/>
    <cellStyle name="40% - Accent5 9" xfId="7280" hidden="1"/>
    <cellStyle name="40% - Accent5 9" xfId="7370" hidden="1"/>
    <cellStyle name="40% - Accent5 9" xfId="4873" hidden="1"/>
    <cellStyle name="40% - Accent5 9" xfId="4699" hidden="1"/>
    <cellStyle name="40% - Accent5 9" xfId="4496" hidden="1"/>
    <cellStyle name="40% - Accent5 9" xfId="3651" hidden="1"/>
    <cellStyle name="40% - Accent5 9" xfId="8088" hidden="1"/>
    <cellStyle name="40% - Accent5 9" xfId="8025" hidden="1"/>
    <cellStyle name="40% - Accent5 9" xfId="2771" hidden="1"/>
    <cellStyle name="40% - Accent5 9" xfId="2530" hidden="1"/>
    <cellStyle name="40% - Accent5 9" xfId="2356" hidden="1"/>
    <cellStyle name="40% - Accent5 9" xfId="1404" hidden="1"/>
    <cellStyle name="40% - Accent5 9" xfId="1214" hidden="1"/>
    <cellStyle name="40% - Accent5 9" xfId="1059" hidden="1"/>
    <cellStyle name="40% - Accent5 9" xfId="102" hidden="1"/>
    <cellStyle name="40% - Accent5 9" xfId="15505" hidden="1"/>
    <cellStyle name="40% - Accent5 9" xfId="16194" hidden="1"/>
    <cellStyle name="40% - Accent5 9" xfId="16268" hidden="1"/>
    <cellStyle name="40% - Accent5 9" xfId="16344" hidden="1"/>
    <cellStyle name="40% - Accent5 9" xfId="16422" hidden="1"/>
    <cellStyle name="40% - Accent5 9" xfId="17007" hidden="1"/>
    <cellStyle name="40% - Accent5 9" xfId="17083" hidden="1"/>
    <cellStyle name="40% - Accent5 9" xfId="17162" hidden="1"/>
    <cellStyle name="40% - Accent5 9" xfId="17409" hidden="1"/>
    <cellStyle name="40% - Accent5 9" xfId="16935" hidden="1"/>
    <cellStyle name="40% - Accent5 9" xfId="16900" hidden="1"/>
    <cellStyle name="40% - Accent5 9" xfId="17602" hidden="1"/>
    <cellStyle name="40% - Accent5 9" xfId="17678" hidden="1"/>
    <cellStyle name="40% - Accent5 9" xfId="17756" hidden="1"/>
    <cellStyle name="40% - Accent5 9" xfId="17973" hidden="1"/>
    <cellStyle name="40% - Accent5 9" xfId="16704" hidden="1"/>
    <cellStyle name="40% - Accent5 9" xfId="16729" hidden="1"/>
    <cellStyle name="40% - Accent5 9" xfId="18134" hidden="1"/>
    <cellStyle name="40% - Accent5 9" xfId="18210" hidden="1"/>
    <cellStyle name="40% - Accent5 9" xfId="18288" hidden="1"/>
    <cellStyle name="40% - Accent5 9" xfId="18471" hidden="1"/>
    <cellStyle name="40% - Accent5 9" xfId="18547" hidden="1"/>
    <cellStyle name="40% - Accent5 9" xfId="18625" hidden="1"/>
    <cellStyle name="40% - Accent5 9" xfId="18808" hidden="1"/>
    <cellStyle name="40% - Accent5 9" xfId="18884" hidden="1"/>
    <cellStyle name="40% - Accent5 9" xfId="18986" hidden="1"/>
    <cellStyle name="40% - Accent5 9" xfId="19060" hidden="1"/>
    <cellStyle name="40% - Accent5 9" xfId="19136" hidden="1"/>
    <cellStyle name="40% - Accent5 9" xfId="19214" hidden="1"/>
    <cellStyle name="40% - Accent5 9" xfId="19799" hidden="1"/>
    <cellStyle name="40% - Accent5 9" xfId="19875" hidden="1"/>
    <cellStyle name="40% - Accent5 9" xfId="19954" hidden="1"/>
    <cellStyle name="40% - Accent5 9" xfId="20201" hidden="1"/>
    <cellStyle name="40% - Accent5 9" xfId="19727" hidden="1"/>
    <cellStyle name="40% - Accent5 9" xfId="19692" hidden="1"/>
    <cellStyle name="40% - Accent5 9" xfId="20394" hidden="1"/>
    <cellStyle name="40% - Accent5 9" xfId="20470" hidden="1"/>
    <cellStyle name="40% - Accent5 9" xfId="20548" hidden="1"/>
    <cellStyle name="40% - Accent5 9" xfId="20765" hidden="1"/>
    <cellStyle name="40% - Accent5 9" xfId="19496" hidden="1"/>
    <cellStyle name="40% - Accent5 9" xfId="19521" hidden="1"/>
    <cellStyle name="40% - Accent5 9" xfId="20926" hidden="1"/>
    <cellStyle name="40% - Accent5 9" xfId="21002" hidden="1"/>
    <cellStyle name="40% - Accent5 9" xfId="21080" hidden="1"/>
    <cellStyle name="40% - Accent5 9" xfId="21263" hidden="1"/>
    <cellStyle name="40% - Accent5 9" xfId="21339" hidden="1"/>
    <cellStyle name="40% - Accent5 9" xfId="21417" hidden="1"/>
    <cellStyle name="40% - Accent5 9" xfId="21600" hidden="1"/>
    <cellStyle name="40% - Accent5 9" xfId="21676" hidden="1"/>
    <cellStyle name="40% - Accent5 9" xfId="15997" hidden="1"/>
    <cellStyle name="40% - Accent5 9" xfId="15923" hidden="1"/>
    <cellStyle name="40% - Accent5 9" xfId="15843" hidden="1"/>
    <cellStyle name="40% - Accent5 9" xfId="15760" hidden="1"/>
    <cellStyle name="40% - Accent5 9" xfId="7987" hidden="1"/>
    <cellStyle name="40% - Accent5 9" xfId="7789" hidden="1"/>
    <cellStyle name="40% - Accent5 9" xfId="7534" hidden="1"/>
    <cellStyle name="40% - Accent5 9" xfId="6268" hidden="1"/>
    <cellStyle name="40% - Accent5 9" xfId="8169" hidden="1"/>
    <cellStyle name="40% - Accent5 9" xfId="8223" hidden="1"/>
    <cellStyle name="40% - Accent5 9" xfId="5309" hidden="1"/>
    <cellStyle name="40% - Accent5 9" xfId="5109" hidden="1"/>
    <cellStyle name="40% - Accent5 9" xfId="5003" hidden="1"/>
    <cellStyle name="40% - Accent5 9" xfId="3844" hidden="1"/>
    <cellStyle name="40% - Accent5 9" xfId="9026" hidden="1"/>
    <cellStyle name="40% - Accent5 9" xfId="8968" hidden="1"/>
    <cellStyle name="40% - Accent5 9" xfId="3065" hidden="1"/>
    <cellStyle name="40% - Accent5 9" xfId="2918" hidden="1"/>
    <cellStyle name="40% - Accent5 9" xfId="2751" hidden="1"/>
    <cellStyle name="40% - Accent5 9" xfId="1551" hidden="1"/>
    <cellStyle name="40% - Accent5 9" xfId="1396" hidden="1"/>
    <cellStyle name="40% - Accent5 9" xfId="1131" hidden="1"/>
    <cellStyle name="40% - Accent5 9" xfId="21734" hidden="1"/>
    <cellStyle name="40% - Accent5 9" xfId="21814" hidden="1"/>
    <cellStyle name="40% - Accent5 9" xfId="22345" hidden="1"/>
    <cellStyle name="40% - Accent5 9" xfId="22419" hidden="1"/>
    <cellStyle name="40% - Accent5 9" xfId="22495" hidden="1"/>
    <cellStyle name="40% - Accent5 9" xfId="22573" hidden="1"/>
    <cellStyle name="40% - Accent5 9" xfId="23158" hidden="1"/>
    <cellStyle name="40% - Accent5 9" xfId="23234" hidden="1"/>
    <cellStyle name="40% - Accent5 9" xfId="23313" hidden="1"/>
    <cellStyle name="40% - Accent5 9" xfId="23560" hidden="1"/>
    <cellStyle name="40% - Accent5 9" xfId="23086" hidden="1"/>
    <cellStyle name="40% - Accent5 9" xfId="23051" hidden="1"/>
    <cellStyle name="40% - Accent5 9" xfId="23753" hidden="1"/>
    <cellStyle name="40% - Accent5 9" xfId="23829" hidden="1"/>
    <cellStyle name="40% - Accent5 9" xfId="23907" hidden="1"/>
    <cellStyle name="40% - Accent5 9" xfId="24124" hidden="1"/>
    <cellStyle name="40% - Accent5 9" xfId="22855" hidden="1"/>
    <cellStyle name="40% - Accent5 9" xfId="22880" hidden="1"/>
    <cellStyle name="40% - Accent5 9" xfId="24285" hidden="1"/>
    <cellStyle name="40% - Accent5 9" xfId="24361" hidden="1"/>
    <cellStyle name="40% - Accent5 9" xfId="24439" hidden="1"/>
    <cellStyle name="40% - Accent5 9" xfId="24622" hidden="1"/>
    <cellStyle name="40% - Accent5 9" xfId="24698" hidden="1"/>
    <cellStyle name="40% - Accent5 9" xfId="24776" hidden="1"/>
    <cellStyle name="40% - Accent5 9" xfId="24959" hidden="1"/>
    <cellStyle name="40% - Accent5 9" xfId="25035" hidden="1"/>
    <cellStyle name="40% - Accent5 9" xfId="25137" hidden="1"/>
    <cellStyle name="40% - Accent5 9" xfId="25211" hidden="1"/>
    <cellStyle name="40% - Accent5 9" xfId="25287" hidden="1"/>
    <cellStyle name="40% - Accent5 9" xfId="25365" hidden="1"/>
    <cellStyle name="40% - Accent5 9" xfId="25950" hidden="1"/>
    <cellStyle name="40% - Accent5 9" xfId="26026" hidden="1"/>
    <cellStyle name="40% - Accent5 9" xfId="26105" hidden="1"/>
    <cellStyle name="40% - Accent5 9" xfId="26352" hidden="1"/>
    <cellStyle name="40% - Accent5 9" xfId="25878" hidden="1"/>
    <cellStyle name="40% - Accent5 9" xfId="25843" hidden="1"/>
    <cellStyle name="40% - Accent5 9" xfId="26545" hidden="1"/>
    <cellStyle name="40% - Accent5 9" xfId="26621" hidden="1"/>
    <cellStyle name="40% - Accent5 9" xfId="26699" hidden="1"/>
    <cellStyle name="40% - Accent5 9" xfId="26916" hidden="1"/>
    <cellStyle name="40% - Accent5 9" xfId="25647" hidden="1"/>
    <cellStyle name="40% - Accent5 9" xfId="25672" hidden="1"/>
    <cellStyle name="40% - Accent5 9" xfId="27077" hidden="1"/>
    <cellStyle name="40% - Accent5 9" xfId="27153" hidden="1"/>
    <cellStyle name="40% - Accent5 9" xfId="27231" hidden="1"/>
    <cellStyle name="40% - Accent5 9" xfId="27414" hidden="1"/>
    <cellStyle name="40% - Accent5 9" xfId="27490" hidden="1"/>
    <cellStyle name="40% - Accent5 9" xfId="27568" hidden="1"/>
    <cellStyle name="40% - Accent5 9" xfId="27751" hidden="1"/>
    <cellStyle name="40% - Accent5 9" xfId="27827" hidden="1"/>
    <cellStyle name="40% - Accent5 9" xfId="22250" hidden="1"/>
    <cellStyle name="40% - Accent5 9" xfId="22176" hidden="1"/>
    <cellStyle name="40% - Accent5 9" xfId="22096" hidden="1"/>
    <cellStyle name="40% - Accent5 9" xfId="22013" hidden="1"/>
    <cellStyle name="40% - Accent5 9" xfId="8895" hidden="1"/>
    <cellStyle name="40% - Accent5 9" xfId="8685" hidden="1"/>
    <cellStyle name="40% - Accent5 9" xfId="8454" hidden="1"/>
    <cellStyle name="40% - Accent5 9" xfId="6771" hidden="1"/>
    <cellStyle name="40% - Accent5 9" xfId="9093" hidden="1"/>
    <cellStyle name="40% - Accent5 9" xfId="9295" hidden="1"/>
    <cellStyle name="40% - Accent5 9" xfId="5862" hidden="1"/>
    <cellStyle name="40% - Accent5 9" xfId="5616" hidden="1"/>
    <cellStyle name="40% - Accent5 9" xfId="5517" hidden="1"/>
    <cellStyle name="40% - Accent5 9" xfId="4020" hidden="1"/>
    <cellStyle name="40% - Accent5 9" xfId="15581" hidden="1"/>
    <cellStyle name="40% - Accent5 9" xfId="15540" hidden="1"/>
    <cellStyle name="40% - Accent5 9" xfId="3381" hidden="1"/>
    <cellStyle name="40% - Accent5 9" xfId="3286" hidden="1"/>
    <cellStyle name="40% - Accent5 9" xfId="3060" hidden="1"/>
    <cellStyle name="40% - Accent5 9" xfId="1678" hidden="1"/>
    <cellStyle name="40% - Accent5 9" xfId="1553" hidden="1"/>
    <cellStyle name="40% - Accent5 9" xfId="1278" hidden="1"/>
    <cellStyle name="40% - Accent5 9" xfId="27885" hidden="1"/>
    <cellStyle name="40% - Accent5 9" xfId="27962" hidden="1"/>
    <cellStyle name="40% - Accent5 9" xfId="28064" hidden="1"/>
    <cellStyle name="40% - Accent5 9" xfId="28138" hidden="1"/>
    <cellStyle name="40% - Accent5 9" xfId="28214" hidden="1"/>
    <cellStyle name="40% - Accent5 9" xfId="28292" hidden="1"/>
    <cellStyle name="40% - Accent5 9" xfId="28877" hidden="1"/>
    <cellStyle name="40% - Accent5 9" xfId="28953" hidden="1"/>
    <cellStyle name="40% - Accent5 9" xfId="29032" hidden="1"/>
    <cellStyle name="40% - Accent5 9" xfId="29279" hidden="1"/>
    <cellStyle name="40% - Accent5 9" xfId="28805" hidden="1"/>
    <cellStyle name="40% - Accent5 9" xfId="28770" hidden="1"/>
    <cellStyle name="40% - Accent5 9" xfId="29472" hidden="1"/>
    <cellStyle name="40% - Accent5 9" xfId="29548" hidden="1"/>
    <cellStyle name="40% - Accent5 9" xfId="29626" hidden="1"/>
    <cellStyle name="40% - Accent5 9" xfId="29843" hidden="1"/>
    <cellStyle name="40% - Accent5 9" xfId="28574" hidden="1"/>
    <cellStyle name="40% - Accent5 9" xfId="28599" hidden="1"/>
    <cellStyle name="40% - Accent5 9" xfId="30004" hidden="1"/>
    <cellStyle name="40% - Accent5 9" xfId="30080" hidden="1"/>
    <cellStyle name="40% - Accent5 9" xfId="30158" hidden="1"/>
    <cellStyle name="40% - Accent5 9" xfId="30341" hidden="1"/>
    <cellStyle name="40% - Accent5 9" xfId="30417" hidden="1"/>
    <cellStyle name="40% - Accent5 9" xfId="30495" hidden="1"/>
    <cellStyle name="40% - Accent5 9" xfId="30678" hidden="1"/>
    <cellStyle name="40% - Accent5 9" xfId="30754" hidden="1"/>
    <cellStyle name="40% - Accent5 9" xfId="30856" hidden="1"/>
    <cellStyle name="40% - Accent5 9" xfId="30930" hidden="1"/>
    <cellStyle name="40% - Accent5 9" xfId="31006" hidden="1"/>
    <cellStyle name="40% - Accent5 9" xfId="31084" hidden="1"/>
    <cellStyle name="40% - Accent5 9" xfId="31669" hidden="1"/>
    <cellStyle name="40% - Accent5 9" xfId="31745" hidden="1"/>
    <cellStyle name="40% - Accent5 9" xfId="31824" hidden="1"/>
    <cellStyle name="40% - Accent5 9" xfId="32071" hidden="1"/>
    <cellStyle name="40% - Accent5 9" xfId="31597" hidden="1"/>
    <cellStyle name="40% - Accent5 9" xfId="31562" hidden="1"/>
    <cellStyle name="40% - Accent5 9" xfId="32264" hidden="1"/>
    <cellStyle name="40% - Accent5 9" xfId="32340" hidden="1"/>
    <cellStyle name="40% - Accent5 9" xfId="32418" hidden="1"/>
    <cellStyle name="40% - Accent5 9" xfId="32635" hidden="1"/>
    <cellStyle name="40% - Accent5 9" xfId="31366" hidden="1"/>
    <cellStyle name="40% - Accent5 9" xfId="31391" hidden="1"/>
    <cellStyle name="40% - Accent5 9" xfId="32796" hidden="1"/>
    <cellStyle name="40% - Accent5 9" xfId="32872" hidden="1"/>
    <cellStyle name="40% - Accent5 9" xfId="32950" hidden="1"/>
    <cellStyle name="40% - Accent5 9" xfId="33133" hidden="1"/>
    <cellStyle name="40% - Accent5 9" xfId="33209" hidden="1"/>
    <cellStyle name="40% - Accent5 9" xfId="33287" hidden="1"/>
    <cellStyle name="40% - Accent5 9" xfId="33470" hidden="1"/>
    <cellStyle name="40% - Accent5 9" xfId="33546" hidden="1"/>
    <cellStyle name="40% - Accent6" xfId="44" builtinId="51" hidden="1"/>
    <cellStyle name="40% - Accent6" xfId="88" builtinId="51" hidden="1" customBuiltin="1"/>
    <cellStyle name="40% - Accent6 10" xfId="177" hidden="1"/>
    <cellStyle name="40% - Accent6 10" xfId="257" hidden="1"/>
    <cellStyle name="40% - Accent6 10" xfId="363" hidden="1"/>
    <cellStyle name="40% - Accent6 10" xfId="697" hidden="1"/>
    <cellStyle name="40% - Accent6 10" xfId="2421" hidden="1"/>
    <cellStyle name="40% - Accent6 10" xfId="2572" hidden="1"/>
    <cellStyle name="40% - Accent6 10" xfId="2766" hidden="1"/>
    <cellStyle name="40% - Accent6 10" xfId="3815" hidden="1"/>
    <cellStyle name="40% - Accent6 10" xfId="1673" hidden="1"/>
    <cellStyle name="40% - Accent6 10" xfId="2219" hidden="1"/>
    <cellStyle name="40% - Accent6 10" xfId="4365" hidden="1"/>
    <cellStyle name="40% - Accent6 10" xfId="4588" hidden="1"/>
    <cellStyle name="40% - Accent6 10" xfId="4752" hidden="1"/>
    <cellStyle name="40% - Accent6 10" xfId="5838" hidden="1"/>
    <cellStyle name="40% - Accent6 10" xfId="3108" hidden="1"/>
    <cellStyle name="40% - Accent6 10" xfId="3997" hidden="1"/>
    <cellStyle name="40% - Accent6 10" xfId="6365" hidden="1"/>
    <cellStyle name="40% - Accent6 10" xfId="6471" hidden="1"/>
    <cellStyle name="40% - Accent6 10" xfId="6668" hidden="1"/>
    <cellStyle name="40% - Accent6 10" xfId="7531" hidden="1"/>
    <cellStyle name="40% - Accent6 10" xfId="7681" hidden="1"/>
    <cellStyle name="40% - Accent6 10" xfId="7861" hidden="1"/>
    <cellStyle name="40% - Accent6 10" xfId="8775" hidden="1"/>
    <cellStyle name="40% - Accent6 10" xfId="8950" hidden="1"/>
    <cellStyle name="40% - Accent6 10" xfId="9868" hidden="1"/>
    <cellStyle name="40% - Accent6 10" xfId="9942" hidden="1"/>
    <cellStyle name="40% - Accent6 10" xfId="10018" hidden="1"/>
    <cellStyle name="40% - Accent6 10" xfId="10096" hidden="1"/>
    <cellStyle name="40% - Accent6 10" xfId="10681" hidden="1"/>
    <cellStyle name="40% - Accent6 10" xfId="10757" hidden="1"/>
    <cellStyle name="40% - Accent6 10" xfId="10836" hidden="1"/>
    <cellStyle name="40% - Accent6 10" xfId="11091" hidden="1"/>
    <cellStyle name="40% - Accent6 10" xfId="10370" hidden="1"/>
    <cellStyle name="40% - Accent6 10" xfId="10569" hidden="1"/>
    <cellStyle name="40% - Accent6 10" xfId="11276" hidden="1"/>
    <cellStyle name="40% - Accent6 10" xfId="11352" hidden="1"/>
    <cellStyle name="40% - Accent6 10" xfId="11430" hidden="1"/>
    <cellStyle name="40% - Accent6 10" xfId="11649" hidden="1"/>
    <cellStyle name="40% - Accent6 10" xfId="10928" hidden="1"/>
    <cellStyle name="40% - Accent6 10" xfId="11128" hidden="1"/>
    <cellStyle name="40% - Accent6 10" xfId="11808" hidden="1"/>
    <cellStyle name="40% - Accent6 10" xfId="11884" hidden="1"/>
    <cellStyle name="40% - Accent6 10" xfId="11962" hidden="1"/>
    <cellStyle name="40% - Accent6 10" xfId="12145" hidden="1"/>
    <cellStyle name="40% - Accent6 10" xfId="12221" hidden="1"/>
    <cellStyle name="40% - Accent6 10" xfId="12299" hidden="1"/>
    <cellStyle name="40% - Accent6 10" xfId="12482" hidden="1"/>
    <cellStyle name="40% - Accent6 10" xfId="12558" hidden="1"/>
    <cellStyle name="40% - Accent6 10" xfId="12660" hidden="1"/>
    <cellStyle name="40% - Accent6 10" xfId="12734" hidden="1"/>
    <cellStyle name="40% - Accent6 10" xfId="12810" hidden="1"/>
    <cellStyle name="40% - Accent6 10" xfId="12888" hidden="1"/>
    <cellStyle name="40% - Accent6 10" xfId="13473" hidden="1"/>
    <cellStyle name="40% - Accent6 10" xfId="13549" hidden="1"/>
    <cellStyle name="40% - Accent6 10" xfId="13628" hidden="1"/>
    <cellStyle name="40% - Accent6 10" xfId="13883" hidden="1"/>
    <cellStyle name="40% - Accent6 10" xfId="13162" hidden="1"/>
    <cellStyle name="40% - Accent6 10" xfId="13361" hidden="1"/>
    <cellStyle name="40% - Accent6 10" xfId="14068" hidden="1"/>
    <cellStyle name="40% - Accent6 10" xfId="14144" hidden="1"/>
    <cellStyle name="40% - Accent6 10" xfId="14222" hidden="1"/>
    <cellStyle name="40% - Accent6 10" xfId="14441" hidden="1"/>
    <cellStyle name="40% - Accent6 10" xfId="13720" hidden="1"/>
    <cellStyle name="40% - Accent6 10" xfId="13920" hidden="1"/>
    <cellStyle name="40% - Accent6 10" xfId="14600" hidden="1"/>
    <cellStyle name="40% - Accent6 10" xfId="14676" hidden="1"/>
    <cellStyle name="40% - Accent6 10" xfId="14754" hidden="1"/>
    <cellStyle name="40% - Accent6 10" xfId="14937" hidden="1"/>
    <cellStyle name="40% - Accent6 10" xfId="15013" hidden="1"/>
    <cellStyle name="40% - Accent6 10" xfId="15091" hidden="1"/>
    <cellStyle name="40% - Accent6 10" xfId="15274" hidden="1"/>
    <cellStyle name="40% - Accent6 10" xfId="15350" hidden="1"/>
    <cellStyle name="40% - Accent6 10" xfId="9585" hidden="1"/>
    <cellStyle name="40% - Accent6 10" xfId="9473" hidden="1"/>
    <cellStyle name="40% - Accent6 10" xfId="9359" hidden="1"/>
    <cellStyle name="40% - Accent6 10" xfId="9247" hidden="1"/>
    <cellStyle name="40% - Accent6 10" xfId="6989" hidden="1"/>
    <cellStyle name="40% - Accent6 10" xfId="6902" hidden="1"/>
    <cellStyle name="40% - Accent6 10" xfId="6809" hidden="1"/>
    <cellStyle name="40% - Accent6 10" xfId="5652" hidden="1"/>
    <cellStyle name="40% - Accent6 10" xfId="8073" hidden="1"/>
    <cellStyle name="40% - Accent6 10" xfId="7357" hidden="1"/>
    <cellStyle name="40% - Accent6 10" xfId="4849" hidden="1"/>
    <cellStyle name="40% - Accent6 10" xfId="4680" hidden="1"/>
    <cellStyle name="40% - Accent6 10" xfId="4449" hidden="1"/>
    <cellStyle name="40% - Accent6 10" xfId="3634" hidden="1"/>
    <cellStyle name="40% - Accent6 10" xfId="6399" hidden="1"/>
    <cellStyle name="40% - Accent6 10" xfId="5327" hidden="1"/>
    <cellStyle name="40% - Accent6 10" xfId="2721" hidden="1"/>
    <cellStyle name="40% - Accent6 10" xfId="2512" hidden="1"/>
    <cellStyle name="40% - Accent6 10" xfId="2335" hidden="1"/>
    <cellStyle name="40% - Accent6 10" xfId="1377" hidden="1"/>
    <cellStyle name="40% - Accent6 10" xfId="1185" hidden="1"/>
    <cellStyle name="40% - Accent6 10" xfId="941" hidden="1"/>
    <cellStyle name="40% - Accent6 10" xfId="15413" hidden="1"/>
    <cellStyle name="40% - Accent6 10" xfId="15523" hidden="1"/>
    <cellStyle name="40% - Accent6 10" xfId="16209" hidden="1"/>
    <cellStyle name="40% - Accent6 10" xfId="16283" hidden="1"/>
    <cellStyle name="40% - Accent6 10" xfId="16359" hidden="1"/>
    <cellStyle name="40% - Accent6 10" xfId="16437" hidden="1"/>
    <cellStyle name="40% - Accent6 10" xfId="17022" hidden="1"/>
    <cellStyle name="40% - Accent6 10" xfId="17098" hidden="1"/>
    <cellStyle name="40% - Accent6 10" xfId="17177" hidden="1"/>
    <cellStyle name="40% - Accent6 10" xfId="17432" hidden="1"/>
    <cellStyle name="40% - Accent6 10" xfId="16711" hidden="1"/>
    <cellStyle name="40% - Accent6 10" xfId="16910" hidden="1"/>
    <cellStyle name="40% - Accent6 10" xfId="17617" hidden="1"/>
    <cellStyle name="40% - Accent6 10" xfId="17693" hidden="1"/>
    <cellStyle name="40% - Accent6 10" xfId="17771" hidden="1"/>
    <cellStyle name="40% - Accent6 10" xfId="17990" hidden="1"/>
    <cellStyle name="40% - Accent6 10" xfId="17269" hidden="1"/>
    <cellStyle name="40% - Accent6 10" xfId="17469" hidden="1"/>
    <cellStyle name="40% - Accent6 10" xfId="18149" hidden="1"/>
    <cellStyle name="40% - Accent6 10" xfId="18225" hidden="1"/>
    <cellStyle name="40% - Accent6 10" xfId="18303" hidden="1"/>
    <cellStyle name="40% - Accent6 10" xfId="18486" hidden="1"/>
    <cellStyle name="40% - Accent6 10" xfId="18562" hidden="1"/>
    <cellStyle name="40% - Accent6 10" xfId="18640" hidden="1"/>
    <cellStyle name="40% - Accent6 10" xfId="18823" hidden="1"/>
    <cellStyle name="40% - Accent6 10" xfId="18899" hidden="1"/>
    <cellStyle name="40% - Accent6 10" xfId="19001" hidden="1"/>
    <cellStyle name="40% - Accent6 10" xfId="19075" hidden="1"/>
    <cellStyle name="40% - Accent6 10" xfId="19151" hidden="1"/>
    <cellStyle name="40% - Accent6 10" xfId="19229" hidden="1"/>
    <cellStyle name="40% - Accent6 10" xfId="19814" hidden="1"/>
    <cellStyle name="40% - Accent6 10" xfId="19890" hidden="1"/>
    <cellStyle name="40% - Accent6 10" xfId="19969" hidden="1"/>
    <cellStyle name="40% - Accent6 10" xfId="20224" hidden="1"/>
    <cellStyle name="40% - Accent6 10" xfId="19503" hidden="1"/>
    <cellStyle name="40% - Accent6 10" xfId="19702" hidden="1"/>
    <cellStyle name="40% - Accent6 10" xfId="20409" hidden="1"/>
    <cellStyle name="40% - Accent6 10" xfId="20485" hidden="1"/>
    <cellStyle name="40% - Accent6 10" xfId="20563" hidden="1"/>
    <cellStyle name="40% - Accent6 10" xfId="20782" hidden="1"/>
    <cellStyle name="40% - Accent6 10" xfId="20061" hidden="1"/>
    <cellStyle name="40% - Accent6 10" xfId="20261" hidden="1"/>
    <cellStyle name="40% - Accent6 10" xfId="20941" hidden="1"/>
    <cellStyle name="40% - Accent6 10" xfId="21017" hidden="1"/>
    <cellStyle name="40% - Accent6 10" xfId="21095" hidden="1"/>
    <cellStyle name="40% - Accent6 10" xfId="21278" hidden="1"/>
    <cellStyle name="40% - Accent6 10" xfId="21354" hidden="1"/>
    <cellStyle name="40% - Accent6 10" xfId="21432" hidden="1"/>
    <cellStyle name="40% - Accent6 10" xfId="21615" hidden="1"/>
    <cellStyle name="40% - Accent6 10" xfId="21691" hidden="1"/>
    <cellStyle name="40% - Accent6 10" xfId="15982" hidden="1"/>
    <cellStyle name="40% - Accent6 10" xfId="15908" hidden="1"/>
    <cellStyle name="40% - Accent6 10" xfId="15828" hidden="1"/>
    <cellStyle name="40% - Accent6 10" xfId="15745" hidden="1"/>
    <cellStyle name="40% - Accent6 10" xfId="7968" hidden="1"/>
    <cellStyle name="40% - Accent6 10" xfId="7766" hidden="1"/>
    <cellStyle name="40% - Accent6 10" xfId="7479" hidden="1"/>
    <cellStyle name="40% - Accent6 10" xfId="6157" hidden="1"/>
    <cellStyle name="40% - Accent6 10" xfId="9018" hidden="1"/>
    <cellStyle name="40% - Accent6 10" xfId="8207" hidden="1"/>
    <cellStyle name="40% - Accent6 10" xfId="5290" hidden="1"/>
    <cellStyle name="40% - Accent6 10" xfId="5089" hidden="1"/>
    <cellStyle name="40% - Accent6 10" xfId="4985" hidden="1"/>
    <cellStyle name="40% - Accent6 10" xfId="3811" hidden="1"/>
    <cellStyle name="40% - Accent6 10" xfId="7055" hidden="1"/>
    <cellStyle name="40% - Accent6 10" xfId="5879" hidden="1"/>
    <cellStyle name="40% - Accent6 10" xfId="3035" hidden="1"/>
    <cellStyle name="40% - Accent6 10" xfId="2899" hidden="1"/>
    <cellStyle name="40% - Accent6 10" xfId="2687" hidden="1"/>
    <cellStyle name="40% - Accent6 10" xfId="1527" hidden="1"/>
    <cellStyle name="40% - Accent6 10" xfId="1356" hidden="1"/>
    <cellStyle name="40% - Accent6 10" xfId="1109" hidden="1"/>
    <cellStyle name="40% - Accent6 10" xfId="21751" hidden="1"/>
    <cellStyle name="40% - Accent6 10" xfId="21830" hidden="1"/>
    <cellStyle name="40% - Accent6 10" xfId="22360" hidden="1"/>
    <cellStyle name="40% - Accent6 10" xfId="22434" hidden="1"/>
    <cellStyle name="40% - Accent6 10" xfId="22510" hidden="1"/>
    <cellStyle name="40% - Accent6 10" xfId="22588" hidden="1"/>
    <cellStyle name="40% - Accent6 10" xfId="23173" hidden="1"/>
    <cellStyle name="40% - Accent6 10" xfId="23249" hidden="1"/>
    <cellStyle name="40% - Accent6 10" xfId="23328" hidden="1"/>
    <cellStyle name="40% - Accent6 10" xfId="23583" hidden="1"/>
    <cellStyle name="40% - Accent6 10" xfId="22862" hidden="1"/>
    <cellStyle name="40% - Accent6 10" xfId="23061" hidden="1"/>
    <cellStyle name="40% - Accent6 10" xfId="23768" hidden="1"/>
    <cellStyle name="40% - Accent6 10" xfId="23844" hidden="1"/>
    <cellStyle name="40% - Accent6 10" xfId="23922" hidden="1"/>
    <cellStyle name="40% - Accent6 10" xfId="24141" hidden="1"/>
    <cellStyle name="40% - Accent6 10" xfId="23420" hidden="1"/>
    <cellStyle name="40% - Accent6 10" xfId="23620" hidden="1"/>
    <cellStyle name="40% - Accent6 10" xfId="24300" hidden="1"/>
    <cellStyle name="40% - Accent6 10" xfId="24376" hidden="1"/>
    <cellStyle name="40% - Accent6 10" xfId="24454" hidden="1"/>
    <cellStyle name="40% - Accent6 10" xfId="24637" hidden="1"/>
    <cellStyle name="40% - Accent6 10" xfId="24713" hidden="1"/>
    <cellStyle name="40% - Accent6 10" xfId="24791" hidden="1"/>
    <cellStyle name="40% - Accent6 10" xfId="24974" hidden="1"/>
    <cellStyle name="40% - Accent6 10" xfId="25050" hidden="1"/>
    <cellStyle name="40% - Accent6 10" xfId="25152" hidden="1"/>
    <cellStyle name="40% - Accent6 10" xfId="25226" hidden="1"/>
    <cellStyle name="40% - Accent6 10" xfId="25302" hidden="1"/>
    <cellStyle name="40% - Accent6 10" xfId="25380" hidden="1"/>
    <cellStyle name="40% - Accent6 10" xfId="25965" hidden="1"/>
    <cellStyle name="40% - Accent6 10" xfId="26041" hidden="1"/>
    <cellStyle name="40% - Accent6 10" xfId="26120" hidden="1"/>
    <cellStyle name="40% - Accent6 10" xfId="26375" hidden="1"/>
    <cellStyle name="40% - Accent6 10" xfId="25654" hidden="1"/>
    <cellStyle name="40% - Accent6 10" xfId="25853" hidden="1"/>
    <cellStyle name="40% - Accent6 10" xfId="26560" hidden="1"/>
    <cellStyle name="40% - Accent6 10" xfId="26636" hidden="1"/>
    <cellStyle name="40% - Accent6 10" xfId="26714" hidden="1"/>
    <cellStyle name="40% - Accent6 10" xfId="26933" hidden="1"/>
    <cellStyle name="40% - Accent6 10" xfId="26212" hidden="1"/>
    <cellStyle name="40% - Accent6 10" xfId="26412" hidden="1"/>
    <cellStyle name="40% - Accent6 10" xfId="27092" hidden="1"/>
    <cellStyle name="40% - Accent6 10" xfId="27168" hidden="1"/>
    <cellStyle name="40% - Accent6 10" xfId="27246" hidden="1"/>
    <cellStyle name="40% - Accent6 10" xfId="27429" hidden="1"/>
    <cellStyle name="40% - Accent6 10" xfId="27505" hidden="1"/>
    <cellStyle name="40% - Accent6 10" xfId="27583" hidden="1"/>
    <cellStyle name="40% - Accent6 10" xfId="27766" hidden="1"/>
    <cellStyle name="40% - Accent6 10" xfId="27842" hidden="1"/>
    <cellStyle name="40% - Accent6 10" xfId="22235" hidden="1"/>
    <cellStyle name="40% - Accent6 10" xfId="22161" hidden="1"/>
    <cellStyle name="40% - Accent6 10" xfId="22081" hidden="1"/>
    <cellStyle name="40% - Accent6 10" xfId="21998" hidden="1"/>
    <cellStyle name="40% - Accent6 10" xfId="8871" hidden="1"/>
    <cellStyle name="40% - Accent6 10" xfId="8665" hidden="1"/>
    <cellStyle name="40% - Accent6 10" xfId="8434" hidden="1"/>
    <cellStyle name="40% - Accent6 10" xfId="6727" hidden="1"/>
    <cellStyle name="40% - Accent6 10" xfId="15573" hidden="1"/>
    <cellStyle name="40% - Accent6 10" xfId="9266" hidden="1"/>
    <cellStyle name="40% - Accent6 10" xfId="5846" hidden="1"/>
    <cellStyle name="40% - Accent6 10" xfId="5597" hidden="1"/>
    <cellStyle name="40% - Accent6 10" xfId="5502" hidden="1"/>
    <cellStyle name="40% - Accent6 10" xfId="3998" hidden="1"/>
    <cellStyle name="40% - Accent6 10" xfId="8066" hidden="1"/>
    <cellStyle name="40% - Accent6 10" xfId="6303" hidden="1"/>
    <cellStyle name="40% - Accent6 10" xfId="3360" hidden="1"/>
    <cellStyle name="40% - Accent6 10" xfId="3169" hidden="1"/>
    <cellStyle name="40% - Accent6 10" xfId="3023" hidden="1"/>
    <cellStyle name="40% - Accent6 10" xfId="1656" hidden="1"/>
    <cellStyle name="40% - Accent6 10" xfId="1521" hidden="1"/>
    <cellStyle name="40% - Accent6 10" xfId="1250" hidden="1"/>
    <cellStyle name="40% - Accent6 10" xfId="27901" hidden="1"/>
    <cellStyle name="40% - Accent6 10" xfId="27977" hidden="1"/>
    <cellStyle name="40% - Accent6 10" xfId="28079" hidden="1"/>
    <cellStyle name="40% - Accent6 10" xfId="28153" hidden="1"/>
    <cellStyle name="40% - Accent6 10" xfId="28229" hidden="1"/>
    <cellStyle name="40% - Accent6 10" xfId="28307" hidden="1"/>
    <cellStyle name="40% - Accent6 10" xfId="28892" hidden="1"/>
    <cellStyle name="40% - Accent6 10" xfId="28968" hidden="1"/>
    <cellStyle name="40% - Accent6 10" xfId="29047" hidden="1"/>
    <cellStyle name="40% - Accent6 10" xfId="29302" hidden="1"/>
    <cellStyle name="40% - Accent6 10" xfId="28581" hidden="1"/>
    <cellStyle name="40% - Accent6 10" xfId="28780" hidden="1"/>
    <cellStyle name="40% - Accent6 10" xfId="29487" hidden="1"/>
    <cellStyle name="40% - Accent6 10" xfId="29563" hidden="1"/>
    <cellStyle name="40% - Accent6 10" xfId="29641" hidden="1"/>
    <cellStyle name="40% - Accent6 10" xfId="29860" hidden="1"/>
    <cellStyle name="40% - Accent6 10" xfId="29139" hidden="1"/>
    <cellStyle name="40% - Accent6 10" xfId="29339" hidden="1"/>
    <cellStyle name="40% - Accent6 10" xfId="30019" hidden="1"/>
    <cellStyle name="40% - Accent6 10" xfId="30095" hidden="1"/>
    <cellStyle name="40% - Accent6 10" xfId="30173" hidden="1"/>
    <cellStyle name="40% - Accent6 10" xfId="30356" hidden="1"/>
    <cellStyle name="40% - Accent6 10" xfId="30432" hidden="1"/>
    <cellStyle name="40% - Accent6 10" xfId="30510" hidden="1"/>
    <cellStyle name="40% - Accent6 10" xfId="30693" hidden="1"/>
    <cellStyle name="40% - Accent6 10" xfId="30769" hidden="1"/>
    <cellStyle name="40% - Accent6 10" xfId="30871" hidden="1"/>
    <cellStyle name="40% - Accent6 10" xfId="30945" hidden="1"/>
    <cellStyle name="40% - Accent6 10" xfId="31021" hidden="1"/>
    <cellStyle name="40% - Accent6 10" xfId="31099" hidden="1"/>
    <cellStyle name="40% - Accent6 10" xfId="31684" hidden="1"/>
    <cellStyle name="40% - Accent6 10" xfId="31760" hidden="1"/>
    <cellStyle name="40% - Accent6 10" xfId="31839" hidden="1"/>
    <cellStyle name="40% - Accent6 10" xfId="32094" hidden="1"/>
    <cellStyle name="40% - Accent6 10" xfId="31373" hidden="1"/>
    <cellStyle name="40% - Accent6 10" xfId="31572" hidden="1"/>
    <cellStyle name="40% - Accent6 10" xfId="32279" hidden="1"/>
    <cellStyle name="40% - Accent6 10" xfId="32355" hidden="1"/>
    <cellStyle name="40% - Accent6 10" xfId="32433" hidden="1"/>
    <cellStyle name="40% - Accent6 10" xfId="32652" hidden="1"/>
    <cellStyle name="40% - Accent6 10" xfId="31931" hidden="1"/>
    <cellStyle name="40% - Accent6 10" xfId="32131" hidden="1"/>
    <cellStyle name="40% - Accent6 10" xfId="32811" hidden="1"/>
    <cellStyle name="40% - Accent6 10" xfId="32887" hidden="1"/>
    <cellStyle name="40% - Accent6 10" xfId="32965" hidden="1"/>
    <cellStyle name="40% - Accent6 10" xfId="33148" hidden="1"/>
    <cellStyle name="40% - Accent6 10" xfId="33224" hidden="1"/>
    <cellStyle name="40% - Accent6 10" xfId="33302" hidden="1"/>
    <cellStyle name="40% - Accent6 10" xfId="33485" hidden="1"/>
    <cellStyle name="40% - Accent6 10" xfId="33561" hidden="1"/>
    <cellStyle name="40% - Accent6 11" xfId="190" hidden="1"/>
    <cellStyle name="40% - Accent6 11" xfId="270" hidden="1"/>
    <cellStyle name="40% - Accent6 11" xfId="399" hidden="1"/>
    <cellStyle name="40% - Accent6 11" xfId="724" hidden="1"/>
    <cellStyle name="40% - Accent6 11" xfId="2438" hidden="1"/>
    <cellStyle name="40% - Accent6 11" xfId="2590" hidden="1"/>
    <cellStyle name="40% - Accent6 11" xfId="2794" hidden="1"/>
    <cellStyle name="40% - Accent6 11" xfId="2070" hidden="1"/>
    <cellStyle name="40% - Accent6 11" xfId="1858" hidden="1"/>
    <cellStyle name="40% - Accent6 11" xfId="2230" hidden="1"/>
    <cellStyle name="40% - Accent6 11" xfId="4401" hidden="1"/>
    <cellStyle name="40% - Accent6 11" xfId="4607" hidden="1"/>
    <cellStyle name="40% - Accent6 11" xfId="4771" hidden="1"/>
    <cellStyle name="40% - Accent6 11" xfId="1886" hidden="1"/>
    <cellStyle name="40% - Accent6 11" xfId="1729" hidden="1"/>
    <cellStyle name="40% - Accent6 11" xfId="3772" hidden="1"/>
    <cellStyle name="40% - Accent6 11" xfId="6381" hidden="1"/>
    <cellStyle name="40% - Accent6 11" xfId="6485" hidden="1"/>
    <cellStyle name="40% - Accent6 11" xfId="6683" hidden="1"/>
    <cellStyle name="40% - Accent6 11" xfId="7558" hidden="1"/>
    <cellStyle name="40% - Accent6 11" xfId="7697" hidden="1"/>
    <cellStyle name="40% - Accent6 11" xfId="7876" hidden="1"/>
    <cellStyle name="40% - Accent6 11" xfId="8795" hidden="1"/>
    <cellStyle name="40% - Accent6 11" xfId="8966" hidden="1"/>
    <cellStyle name="40% - Accent6 11" xfId="9881" hidden="1"/>
    <cellStyle name="40% - Accent6 11" xfId="9955" hidden="1"/>
    <cellStyle name="40% - Accent6 11" xfId="10031" hidden="1"/>
    <cellStyle name="40% - Accent6 11" xfId="10109" hidden="1"/>
    <cellStyle name="40% - Accent6 11" xfId="10694" hidden="1"/>
    <cellStyle name="40% - Accent6 11" xfId="10770" hidden="1"/>
    <cellStyle name="40% - Accent6 11" xfId="10849" hidden="1"/>
    <cellStyle name="40% - Accent6 11" xfId="10532" hidden="1"/>
    <cellStyle name="40% - Accent6 11" xfId="10434" hidden="1"/>
    <cellStyle name="40% - Accent6 11" xfId="10579" hidden="1"/>
    <cellStyle name="40% - Accent6 11" xfId="11289" hidden="1"/>
    <cellStyle name="40% - Accent6 11" xfId="11365" hidden="1"/>
    <cellStyle name="40% - Accent6 11" xfId="11443" hidden="1"/>
    <cellStyle name="40% - Accent6 11" xfId="10459" hidden="1"/>
    <cellStyle name="40% - Accent6 11" xfId="10405" hidden="1"/>
    <cellStyle name="40% - Accent6 11" xfId="11063" hidden="1"/>
    <cellStyle name="40% - Accent6 11" xfId="11821" hidden="1"/>
    <cellStyle name="40% - Accent6 11" xfId="11897" hidden="1"/>
    <cellStyle name="40% - Accent6 11" xfId="11975" hidden="1"/>
    <cellStyle name="40% - Accent6 11" xfId="12158" hidden="1"/>
    <cellStyle name="40% - Accent6 11" xfId="12234" hidden="1"/>
    <cellStyle name="40% - Accent6 11" xfId="12312" hidden="1"/>
    <cellStyle name="40% - Accent6 11" xfId="12495" hidden="1"/>
    <cellStyle name="40% - Accent6 11" xfId="12571" hidden="1"/>
    <cellStyle name="40% - Accent6 11" xfId="12673" hidden="1"/>
    <cellStyle name="40% - Accent6 11" xfId="12747" hidden="1"/>
    <cellStyle name="40% - Accent6 11" xfId="12823" hidden="1"/>
    <cellStyle name="40% - Accent6 11" xfId="12901" hidden="1"/>
    <cellStyle name="40% - Accent6 11" xfId="13486" hidden="1"/>
    <cellStyle name="40% - Accent6 11" xfId="13562" hidden="1"/>
    <cellStyle name="40% - Accent6 11" xfId="13641" hidden="1"/>
    <cellStyle name="40% - Accent6 11" xfId="13324" hidden="1"/>
    <cellStyle name="40% - Accent6 11" xfId="13226" hidden="1"/>
    <cellStyle name="40% - Accent6 11" xfId="13371" hidden="1"/>
    <cellStyle name="40% - Accent6 11" xfId="14081" hidden="1"/>
    <cellStyle name="40% - Accent6 11" xfId="14157" hidden="1"/>
    <cellStyle name="40% - Accent6 11" xfId="14235" hidden="1"/>
    <cellStyle name="40% - Accent6 11" xfId="13251" hidden="1"/>
    <cellStyle name="40% - Accent6 11" xfId="13197" hidden="1"/>
    <cellStyle name="40% - Accent6 11" xfId="13855" hidden="1"/>
    <cellStyle name="40% - Accent6 11" xfId="14613" hidden="1"/>
    <cellStyle name="40% - Accent6 11" xfId="14689" hidden="1"/>
    <cellStyle name="40% - Accent6 11" xfId="14767" hidden="1"/>
    <cellStyle name="40% - Accent6 11" xfId="14950" hidden="1"/>
    <cellStyle name="40% - Accent6 11" xfId="15026" hidden="1"/>
    <cellStyle name="40% - Accent6 11" xfId="15104" hidden="1"/>
    <cellStyle name="40% - Accent6 11" xfId="15287" hidden="1"/>
    <cellStyle name="40% - Accent6 11" xfId="15363" hidden="1"/>
    <cellStyle name="40% - Accent6 11" xfId="9569" hidden="1"/>
    <cellStyle name="40% - Accent6 11" xfId="9456" hidden="1"/>
    <cellStyle name="40% - Accent6 11" xfId="9343" hidden="1"/>
    <cellStyle name="40% - Accent6 11" xfId="9227" hidden="1"/>
    <cellStyle name="40% - Accent6 11" xfId="6975" hidden="1"/>
    <cellStyle name="40% - Accent6 11" xfId="6889" hidden="1"/>
    <cellStyle name="40% - Accent6 11" xfId="6795" hidden="1"/>
    <cellStyle name="40% - Accent6 11" xfId="7430" hidden="1"/>
    <cellStyle name="40% - Accent6 11" xfId="7858" hidden="1"/>
    <cellStyle name="40% - Accent6 11" xfId="7340" hidden="1"/>
    <cellStyle name="40% - Accent6 11" xfId="4826" hidden="1"/>
    <cellStyle name="40% - Accent6 11" xfId="4664" hidden="1"/>
    <cellStyle name="40% - Accent6 11" xfId="4390" hidden="1"/>
    <cellStyle name="40% - Accent6 11" xfId="7754" hidden="1"/>
    <cellStyle name="40% - Accent6 11" xfId="7966" hidden="1"/>
    <cellStyle name="40% - Accent6 11" xfId="5844" hidden="1"/>
    <cellStyle name="40% - Accent6 11" xfId="2691" hidden="1"/>
    <cellStyle name="40% - Accent6 11" xfId="2495" hidden="1"/>
    <cellStyle name="40% - Accent6 11" xfId="2316" hidden="1"/>
    <cellStyle name="40% - Accent6 11" xfId="1352" hidden="1"/>
    <cellStyle name="40% - Accent6 11" xfId="1170" hidden="1"/>
    <cellStyle name="40% - Accent6 11" xfId="928" hidden="1"/>
    <cellStyle name="40% - Accent6 11" xfId="15430" hidden="1"/>
    <cellStyle name="40% - Accent6 11" xfId="15538" hidden="1"/>
    <cellStyle name="40% - Accent6 11" xfId="16222" hidden="1"/>
    <cellStyle name="40% - Accent6 11" xfId="16296" hidden="1"/>
    <cellStyle name="40% - Accent6 11" xfId="16372" hidden="1"/>
    <cellStyle name="40% - Accent6 11" xfId="16450" hidden="1"/>
    <cellStyle name="40% - Accent6 11" xfId="17035" hidden="1"/>
    <cellStyle name="40% - Accent6 11" xfId="17111" hidden="1"/>
    <cellStyle name="40% - Accent6 11" xfId="17190" hidden="1"/>
    <cellStyle name="40% - Accent6 11" xfId="16873" hidden="1"/>
    <cellStyle name="40% - Accent6 11" xfId="16775" hidden="1"/>
    <cellStyle name="40% - Accent6 11" xfId="16920" hidden="1"/>
    <cellStyle name="40% - Accent6 11" xfId="17630" hidden="1"/>
    <cellStyle name="40% - Accent6 11" xfId="17706" hidden="1"/>
    <cellStyle name="40% - Accent6 11" xfId="17784" hidden="1"/>
    <cellStyle name="40% - Accent6 11" xfId="16800" hidden="1"/>
    <cellStyle name="40% - Accent6 11" xfId="16746" hidden="1"/>
    <cellStyle name="40% - Accent6 11" xfId="17404" hidden="1"/>
    <cellStyle name="40% - Accent6 11" xfId="18162" hidden="1"/>
    <cellStyle name="40% - Accent6 11" xfId="18238" hidden="1"/>
    <cellStyle name="40% - Accent6 11" xfId="18316" hidden="1"/>
    <cellStyle name="40% - Accent6 11" xfId="18499" hidden="1"/>
    <cellStyle name="40% - Accent6 11" xfId="18575" hidden="1"/>
    <cellStyle name="40% - Accent6 11" xfId="18653" hidden="1"/>
    <cellStyle name="40% - Accent6 11" xfId="18836" hidden="1"/>
    <cellStyle name="40% - Accent6 11" xfId="18912" hidden="1"/>
    <cellStyle name="40% - Accent6 11" xfId="19014" hidden="1"/>
    <cellStyle name="40% - Accent6 11" xfId="19088" hidden="1"/>
    <cellStyle name="40% - Accent6 11" xfId="19164" hidden="1"/>
    <cellStyle name="40% - Accent6 11" xfId="19242" hidden="1"/>
    <cellStyle name="40% - Accent6 11" xfId="19827" hidden="1"/>
    <cellStyle name="40% - Accent6 11" xfId="19903" hidden="1"/>
    <cellStyle name="40% - Accent6 11" xfId="19982" hidden="1"/>
    <cellStyle name="40% - Accent6 11" xfId="19665" hidden="1"/>
    <cellStyle name="40% - Accent6 11" xfId="19567" hidden="1"/>
    <cellStyle name="40% - Accent6 11" xfId="19712" hidden="1"/>
    <cellStyle name="40% - Accent6 11" xfId="20422" hidden="1"/>
    <cellStyle name="40% - Accent6 11" xfId="20498" hidden="1"/>
    <cellStyle name="40% - Accent6 11" xfId="20576" hidden="1"/>
    <cellStyle name="40% - Accent6 11" xfId="19592" hidden="1"/>
    <cellStyle name="40% - Accent6 11" xfId="19538" hidden="1"/>
    <cellStyle name="40% - Accent6 11" xfId="20196" hidden="1"/>
    <cellStyle name="40% - Accent6 11" xfId="20954" hidden="1"/>
    <cellStyle name="40% - Accent6 11" xfId="21030" hidden="1"/>
    <cellStyle name="40% - Accent6 11" xfId="21108" hidden="1"/>
    <cellStyle name="40% - Accent6 11" xfId="21291" hidden="1"/>
    <cellStyle name="40% - Accent6 11" xfId="21367" hidden="1"/>
    <cellStyle name="40% - Accent6 11" xfId="21445" hidden="1"/>
    <cellStyle name="40% - Accent6 11" xfId="21628" hidden="1"/>
    <cellStyle name="40% - Accent6 11" xfId="21704" hidden="1"/>
    <cellStyle name="40% - Accent6 11" xfId="15969" hidden="1"/>
    <cellStyle name="40% - Accent6 11" xfId="15895" hidden="1"/>
    <cellStyle name="40% - Accent6 11" xfId="15814" hidden="1"/>
    <cellStyle name="40% - Accent6 11" xfId="15728" hidden="1"/>
    <cellStyle name="40% - Accent6 11" xfId="7945" hidden="1"/>
    <cellStyle name="40% - Accent6 11" xfId="7739" hidden="1"/>
    <cellStyle name="40% - Accent6 11" xfId="7461" hidden="1"/>
    <cellStyle name="40% - Accent6 11" xfId="8378" hidden="1"/>
    <cellStyle name="40% - Accent6 11" xfId="8722" hidden="1"/>
    <cellStyle name="40% - Accent6 11" xfId="8190" hidden="1"/>
    <cellStyle name="40% - Accent6 11" xfId="5277" hidden="1"/>
    <cellStyle name="40% - Accent6 11" xfId="5076" hidden="1"/>
    <cellStyle name="40% - Accent6 11" xfId="4968" hidden="1"/>
    <cellStyle name="40% - Accent6 11" xfId="8553" hidden="1"/>
    <cellStyle name="40% - Accent6 11" xfId="8861" hidden="1"/>
    <cellStyle name="40% - Accent6 11" xfId="6292" hidden="1"/>
    <cellStyle name="40% - Accent6 11" xfId="3012" hidden="1"/>
    <cellStyle name="40% - Accent6 11" xfId="2879" hidden="1"/>
    <cellStyle name="40% - Accent6 11" xfId="2647" hidden="1"/>
    <cellStyle name="40% - Accent6 11" xfId="1507" hidden="1"/>
    <cellStyle name="40% - Accent6 11" xfId="1318" hidden="1"/>
    <cellStyle name="40% - Accent6 11" xfId="1093" hidden="1"/>
    <cellStyle name="40% - Accent6 11" xfId="21764" hidden="1"/>
    <cellStyle name="40% - Accent6 11" xfId="21844" hidden="1"/>
    <cellStyle name="40% - Accent6 11" xfId="22373" hidden="1"/>
    <cellStyle name="40% - Accent6 11" xfId="22447" hidden="1"/>
    <cellStyle name="40% - Accent6 11" xfId="22523" hidden="1"/>
    <cellStyle name="40% - Accent6 11" xfId="22601" hidden="1"/>
    <cellStyle name="40% - Accent6 11" xfId="23186" hidden="1"/>
    <cellStyle name="40% - Accent6 11" xfId="23262" hidden="1"/>
    <cellStyle name="40% - Accent6 11" xfId="23341" hidden="1"/>
    <cellStyle name="40% - Accent6 11" xfId="23024" hidden="1"/>
    <cellStyle name="40% - Accent6 11" xfId="22926" hidden="1"/>
    <cellStyle name="40% - Accent6 11" xfId="23071" hidden="1"/>
    <cellStyle name="40% - Accent6 11" xfId="23781" hidden="1"/>
    <cellStyle name="40% - Accent6 11" xfId="23857" hidden="1"/>
    <cellStyle name="40% - Accent6 11" xfId="23935" hidden="1"/>
    <cellStyle name="40% - Accent6 11" xfId="22951" hidden="1"/>
    <cellStyle name="40% - Accent6 11" xfId="22897" hidden="1"/>
    <cellStyle name="40% - Accent6 11" xfId="23555" hidden="1"/>
    <cellStyle name="40% - Accent6 11" xfId="24313" hidden="1"/>
    <cellStyle name="40% - Accent6 11" xfId="24389" hidden="1"/>
    <cellStyle name="40% - Accent6 11" xfId="24467" hidden="1"/>
    <cellStyle name="40% - Accent6 11" xfId="24650" hidden="1"/>
    <cellStyle name="40% - Accent6 11" xfId="24726" hidden="1"/>
    <cellStyle name="40% - Accent6 11" xfId="24804" hidden="1"/>
    <cellStyle name="40% - Accent6 11" xfId="24987" hidden="1"/>
    <cellStyle name="40% - Accent6 11" xfId="25063" hidden="1"/>
    <cellStyle name="40% - Accent6 11" xfId="25165" hidden="1"/>
    <cellStyle name="40% - Accent6 11" xfId="25239" hidden="1"/>
    <cellStyle name="40% - Accent6 11" xfId="25315" hidden="1"/>
    <cellStyle name="40% - Accent6 11" xfId="25393" hidden="1"/>
    <cellStyle name="40% - Accent6 11" xfId="25978" hidden="1"/>
    <cellStyle name="40% - Accent6 11" xfId="26054" hidden="1"/>
    <cellStyle name="40% - Accent6 11" xfId="26133" hidden="1"/>
    <cellStyle name="40% - Accent6 11" xfId="25816" hidden="1"/>
    <cellStyle name="40% - Accent6 11" xfId="25718" hidden="1"/>
    <cellStyle name="40% - Accent6 11" xfId="25863" hidden="1"/>
    <cellStyle name="40% - Accent6 11" xfId="26573" hidden="1"/>
    <cellStyle name="40% - Accent6 11" xfId="26649" hidden="1"/>
    <cellStyle name="40% - Accent6 11" xfId="26727" hidden="1"/>
    <cellStyle name="40% - Accent6 11" xfId="25743" hidden="1"/>
    <cellStyle name="40% - Accent6 11" xfId="25689" hidden="1"/>
    <cellStyle name="40% - Accent6 11" xfId="26347" hidden="1"/>
    <cellStyle name="40% - Accent6 11" xfId="27105" hidden="1"/>
    <cellStyle name="40% - Accent6 11" xfId="27181" hidden="1"/>
    <cellStyle name="40% - Accent6 11" xfId="27259" hidden="1"/>
    <cellStyle name="40% - Accent6 11" xfId="27442" hidden="1"/>
    <cellStyle name="40% - Accent6 11" xfId="27518" hidden="1"/>
    <cellStyle name="40% - Accent6 11" xfId="27596" hidden="1"/>
    <cellStyle name="40% - Accent6 11" xfId="27779" hidden="1"/>
    <cellStyle name="40% - Accent6 11" xfId="27855" hidden="1"/>
    <cellStyle name="40% - Accent6 11" xfId="22222" hidden="1"/>
    <cellStyle name="40% - Accent6 11" xfId="22148" hidden="1"/>
    <cellStyle name="40% - Accent6 11" xfId="22067" hidden="1"/>
    <cellStyle name="40% - Accent6 11" xfId="21984" hidden="1"/>
    <cellStyle name="40% - Accent6 11" xfId="8845" hidden="1"/>
    <cellStyle name="40% - Accent6 11" xfId="8548" hidden="1"/>
    <cellStyle name="40% - Accent6 11" xfId="8411" hidden="1"/>
    <cellStyle name="40% - Accent6 11" xfId="9409" hidden="1"/>
    <cellStyle name="40% - Accent6 11" xfId="9788" hidden="1"/>
    <cellStyle name="40% - Accent6 11" xfId="9225" hidden="1"/>
    <cellStyle name="40% - Accent6 11" xfId="5822" hidden="1"/>
    <cellStyle name="40% - Accent6 11" xfId="5583" hidden="1"/>
    <cellStyle name="40% - Accent6 11" xfId="5487" hidden="1"/>
    <cellStyle name="40% - Accent6 11" xfId="9658" hidden="1"/>
    <cellStyle name="40% - Accent6 11" xfId="15470" hidden="1"/>
    <cellStyle name="40% - Accent6 11" xfId="6839" hidden="1"/>
    <cellStyle name="40% - Accent6 11" xfId="3344" hidden="1"/>
    <cellStyle name="40% - Accent6 11" xfId="3153" hidden="1"/>
    <cellStyle name="40% - Accent6 11" xfId="2980" hidden="1"/>
    <cellStyle name="40% - Accent6 11" xfId="1639" hidden="1"/>
    <cellStyle name="40% - Accent6 11" xfId="1479" hidden="1"/>
    <cellStyle name="40% - Accent6 11" xfId="1227" hidden="1"/>
    <cellStyle name="40% - Accent6 11" xfId="27914" hidden="1"/>
    <cellStyle name="40% - Accent6 11" xfId="27990" hidden="1"/>
    <cellStyle name="40% - Accent6 11" xfId="28092" hidden="1"/>
    <cellStyle name="40% - Accent6 11" xfId="28166" hidden="1"/>
    <cellStyle name="40% - Accent6 11" xfId="28242" hidden="1"/>
    <cellStyle name="40% - Accent6 11" xfId="28320" hidden="1"/>
    <cellStyle name="40% - Accent6 11" xfId="28905" hidden="1"/>
    <cellStyle name="40% - Accent6 11" xfId="28981" hidden="1"/>
    <cellStyle name="40% - Accent6 11" xfId="29060" hidden="1"/>
    <cellStyle name="40% - Accent6 11" xfId="28743" hidden="1"/>
    <cellStyle name="40% - Accent6 11" xfId="28645" hidden="1"/>
    <cellStyle name="40% - Accent6 11" xfId="28790" hidden="1"/>
    <cellStyle name="40% - Accent6 11" xfId="29500" hidden="1"/>
    <cellStyle name="40% - Accent6 11" xfId="29576" hidden="1"/>
    <cellStyle name="40% - Accent6 11" xfId="29654" hidden="1"/>
    <cellStyle name="40% - Accent6 11" xfId="28670" hidden="1"/>
    <cellStyle name="40% - Accent6 11" xfId="28616" hidden="1"/>
    <cellStyle name="40% - Accent6 11" xfId="29274" hidden="1"/>
    <cellStyle name="40% - Accent6 11" xfId="30032" hidden="1"/>
    <cellStyle name="40% - Accent6 11" xfId="30108" hidden="1"/>
    <cellStyle name="40% - Accent6 11" xfId="30186" hidden="1"/>
    <cellStyle name="40% - Accent6 11" xfId="30369" hidden="1"/>
    <cellStyle name="40% - Accent6 11" xfId="30445" hidden="1"/>
    <cellStyle name="40% - Accent6 11" xfId="30523" hidden="1"/>
    <cellStyle name="40% - Accent6 11" xfId="30706" hidden="1"/>
    <cellStyle name="40% - Accent6 11" xfId="30782" hidden="1"/>
    <cellStyle name="40% - Accent6 11" xfId="30884" hidden="1"/>
    <cellStyle name="40% - Accent6 11" xfId="30958" hidden="1"/>
    <cellStyle name="40% - Accent6 11" xfId="31034" hidden="1"/>
    <cellStyle name="40% - Accent6 11" xfId="31112" hidden="1"/>
    <cellStyle name="40% - Accent6 11" xfId="31697" hidden="1"/>
    <cellStyle name="40% - Accent6 11" xfId="31773" hidden="1"/>
    <cellStyle name="40% - Accent6 11" xfId="31852" hidden="1"/>
    <cellStyle name="40% - Accent6 11" xfId="31535" hidden="1"/>
    <cellStyle name="40% - Accent6 11" xfId="31437" hidden="1"/>
    <cellStyle name="40% - Accent6 11" xfId="31582" hidden="1"/>
    <cellStyle name="40% - Accent6 11" xfId="32292" hidden="1"/>
    <cellStyle name="40% - Accent6 11" xfId="32368" hidden="1"/>
    <cellStyle name="40% - Accent6 11" xfId="32446" hidden="1"/>
    <cellStyle name="40% - Accent6 11" xfId="31462" hidden="1"/>
    <cellStyle name="40% - Accent6 11" xfId="31408" hidden="1"/>
    <cellStyle name="40% - Accent6 11" xfId="32066" hidden="1"/>
    <cellStyle name="40% - Accent6 11" xfId="32824" hidden="1"/>
    <cellStyle name="40% - Accent6 11" xfId="32900" hidden="1"/>
    <cellStyle name="40% - Accent6 11" xfId="32978" hidden="1"/>
    <cellStyle name="40% - Accent6 11" xfId="33161" hidden="1"/>
    <cellStyle name="40% - Accent6 11" xfId="33237" hidden="1"/>
    <cellStyle name="40% - Accent6 11" xfId="33315" hidden="1"/>
    <cellStyle name="40% - Accent6 11" xfId="33498" hidden="1"/>
    <cellStyle name="40% - Accent6 11" xfId="33574" hidden="1"/>
    <cellStyle name="40% - Accent6 12" xfId="206" hidden="1"/>
    <cellStyle name="40% - Accent6 12" xfId="284" hidden="1"/>
    <cellStyle name="40% - Accent6 12" xfId="433" hidden="1"/>
    <cellStyle name="40% - Accent6 12" xfId="740" hidden="1"/>
    <cellStyle name="40% - Accent6 12" xfId="2456" hidden="1"/>
    <cellStyle name="40% - Accent6 12" xfId="2607" hidden="1"/>
    <cellStyle name="40% - Accent6 12" xfId="2814" hidden="1"/>
    <cellStyle name="40% - Accent6 12" xfId="3814" hidden="1"/>
    <cellStyle name="40% - Accent6 12" xfId="1477" hidden="1"/>
    <cellStyle name="40% - Accent6 12" xfId="1731" hidden="1"/>
    <cellStyle name="40% - Accent6 12" xfId="4436" hidden="1"/>
    <cellStyle name="40% - Accent6 12" xfId="4625" hidden="1"/>
    <cellStyle name="40% - Accent6 12" xfId="4786" hidden="1"/>
    <cellStyle name="40% - Accent6 12" xfId="5837" hidden="1"/>
    <cellStyle name="40% - Accent6 12" xfId="3825" hidden="1"/>
    <cellStyle name="40% - Accent6 12" xfId="112" hidden="1"/>
    <cellStyle name="40% - Accent6 12" xfId="6396" hidden="1"/>
    <cellStyle name="40% - Accent6 12" xfId="6503" hidden="1"/>
    <cellStyle name="40% - Accent6 12" xfId="6699" hidden="1"/>
    <cellStyle name="40% - Accent6 12" xfId="7578" hidden="1"/>
    <cellStyle name="40% - Accent6 12" xfId="7722" hidden="1"/>
    <cellStyle name="40% - Accent6 12" xfId="7894" hidden="1"/>
    <cellStyle name="40% - Accent6 12" xfId="8818" hidden="1"/>
    <cellStyle name="40% - Accent6 12" xfId="8986" hidden="1"/>
    <cellStyle name="40% - Accent6 12" xfId="9894" hidden="1"/>
    <cellStyle name="40% - Accent6 12" xfId="9969" hidden="1"/>
    <cellStyle name="40% - Accent6 12" xfId="10044" hidden="1"/>
    <cellStyle name="40% - Accent6 12" xfId="10122" hidden="1"/>
    <cellStyle name="40% - Accent6 12" xfId="10708" hidden="1"/>
    <cellStyle name="40% - Accent6 12" xfId="10783" hidden="1"/>
    <cellStyle name="40% - Accent6 12" xfId="10862" hidden="1"/>
    <cellStyle name="40% - Accent6 12" xfId="11090" hidden="1"/>
    <cellStyle name="40% - Accent6 12" xfId="10337" hidden="1"/>
    <cellStyle name="40% - Accent6 12" xfId="10407" hidden="1"/>
    <cellStyle name="40% - Accent6 12" xfId="11303" hidden="1"/>
    <cellStyle name="40% - Accent6 12" xfId="11378" hidden="1"/>
    <cellStyle name="40% - Accent6 12" xfId="11456" hidden="1"/>
    <cellStyle name="40% - Accent6 12" xfId="11648" hidden="1"/>
    <cellStyle name="40% - Accent6 12" xfId="11097" hidden="1"/>
    <cellStyle name="40% - Accent6 12" xfId="9809" hidden="1"/>
    <cellStyle name="40% - Accent6 12" xfId="11835" hidden="1"/>
    <cellStyle name="40% - Accent6 12" xfId="11910" hidden="1"/>
    <cellStyle name="40% - Accent6 12" xfId="11988" hidden="1"/>
    <cellStyle name="40% - Accent6 12" xfId="12172" hidden="1"/>
    <cellStyle name="40% - Accent6 12" xfId="12247" hidden="1"/>
    <cellStyle name="40% - Accent6 12" xfId="12325" hidden="1"/>
    <cellStyle name="40% - Accent6 12" xfId="12509" hidden="1"/>
    <cellStyle name="40% - Accent6 12" xfId="12584" hidden="1"/>
    <cellStyle name="40% - Accent6 12" xfId="12686" hidden="1"/>
    <cellStyle name="40% - Accent6 12" xfId="12761" hidden="1"/>
    <cellStyle name="40% - Accent6 12" xfId="12836" hidden="1"/>
    <cellStyle name="40% - Accent6 12" xfId="12914" hidden="1"/>
    <cellStyle name="40% - Accent6 12" xfId="13500" hidden="1"/>
    <cellStyle name="40% - Accent6 12" xfId="13575" hidden="1"/>
    <cellStyle name="40% - Accent6 12" xfId="13654" hidden="1"/>
    <cellStyle name="40% - Accent6 12" xfId="13882" hidden="1"/>
    <cellStyle name="40% - Accent6 12" xfId="13129" hidden="1"/>
    <cellStyle name="40% - Accent6 12" xfId="13199" hidden="1"/>
    <cellStyle name="40% - Accent6 12" xfId="14095" hidden="1"/>
    <cellStyle name="40% - Accent6 12" xfId="14170" hidden="1"/>
    <cellStyle name="40% - Accent6 12" xfId="14248" hidden="1"/>
    <cellStyle name="40% - Accent6 12" xfId="14440" hidden="1"/>
    <cellStyle name="40% - Accent6 12" xfId="13889" hidden="1"/>
    <cellStyle name="40% - Accent6 12" xfId="12601" hidden="1"/>
    <cellStyle name="40% - Accent6 12" xfId="14627" hidden="1"/>
    <cellStyle name="40% - Accent6 12" xfId="14702" hidden="1"/>
    <cellStyle name="40% - Accent6 12" xfId="14780" hidden="1"/>
    <cellStyle name="40% - Accent6 12" xfId="14964" hidden="1"/>
    <cellStyle name="40% - Accent6 12" xfId="15039" hidden="1"/>
    <cellStyle name="40% - Accent6 12" xfId="15117" hidden="1"/>
    <cellStyle name="40% - Accent6 12" xfId="15301" hidden="1"/>
    <cellStyle name="40% - Accent6 12" xfId="15376" hidden="1"/>
    <cellStyle name="40% - Accent6 12" xfId="9552" hidden="1"/>
    <cellStyle name="40% - Accent6 12" xfId="9441" hidden="1"/>
    <cellStyle name="40% - Accent6 12" xfId="9327" hidden="1"/>
    <cellStyle name="40% - Accent6 12" xfId="9210" hidden="1"/>
    <cellStyle name="40% - Accent6 12" xfId="6959" hidden="1"/>
    <cellStyle name="40% - Accent6 12" xfId="6874" hidden="1"/>
    <cellStyle name="40% - Accent6 12" xfId="6780" hidden="1"/>
    <cellStyle name="40% - Accent6 12" xfId="5653" hidden="1"/>
    <cellStyle name="40% - Accent6 12" xfId="8200" hidden="1"/>
    <cellStyle name="40% - Accent6 12" xfId="7964" hidden="1"/>
    <cellStyle name="40% - Accent6 12" xfId="4809" hidden="1"/>
    <cellStyle name="40% - Accent6 12" xfId="4645" hidden="1"/>
    <cellStyle name="40% - Accent6 12" xfId="4336" hidden="1"/>
    <cellStyle name="40% - Accent6 12" xfId="3635" hidden="1"/>
    <cellStyle name="40% - Accent6 12" xfId="5643" hidden="1"/>
    <cellStyle name="40% - Accent6 12" xfId="9768" hidden="1"/>
    <cellStyle name="40% - Accent6 12" xfId="2667" hidden="1"/>
    <cellStyle name="40% - Accent6 12" xfId="2477" hidden="1"/>
    <cellStyle name="40% - Accent6 12" xfId="2303" hidden="1"/>
    <cellStyle name="40% - Accent6 12" xfId="1329" hidden="1"/>
    <cellStyle name="40% - Accent6 12" xfId="1155" hidden="1"/>
    <cellStyle name="40% - Accent6 12" xfId="914" hidden="1"/>
    <cellStyle name="40% - Accent6 12" xfId="15448" hidden="1"/>
    <cellStyle name="40% - Accent6 12" xfId="15555" hidden="1"/>
    <cellStyle name="40% - Accent6 12" xfId="16235" hidden="1"/>
    <cellStyle name="40% - Accent6 12" xfId="16310" hidden="1"/>
    <cellStyle name="40% - Accent6 12" xfId="16385" hidden="1"/>
    <cellStyle name="40% - Accent6 12" xfId="16463" hidden="1"/>
    <cellStyle name="40% - Accent6 12" xfId="17049" hidden="1"/>
    <cellStyle name="40% - Accent6 12" xfId="17124" hidden="1"/>
    <cellStyle name="40% - Accent6 12" xfId="17203" hidden="1"/>
    <cellStyle name="40% - Accent6 12" xfId="17431" hidden="1"/>
    <cellStyle name="40% - Accent6 12" xfId="16678" hidden="1"/>
    <cellStyle name="40% - Accent6 12" xfId="16748" hidden="1"/>
    <cellStyle name="40% - Accent6 12" xfId="17644" hidden="1"/>
    <cellStyle name="40% - Accent6 12" xfId="17719" hidden="1"/>
    <cellStyle name="40% - Accent6 12" xfId="17797" hidden="1"/>
    <cellStyle name="40% - Accent6 12" xfId="17989" hidden="1"/>
    <cellStyle name="40% - Accent6 12" xfId="17438" hidden="1"/>
    <cellStyle name="40% - Accent6 12" xfId="16150" hidden="1"/>
    <cellStyle name="40% - Accent6 12" xfId="18176" hidden="1"/>
    <cellStyle name="40% - Accent6 12" xfId="18251" hidden="1"/>
    <cellStyle name="40% - Accent6 12" xfId="18329" hidden="1"/>
    <cellStyle name="40% - Accent6 12" xfId="18513" hidden="1"/>
    <cellStyle name="40% - Accent6 12" xfId="18588" hidden="1"/>
    <cellStyle name="40% - Accent6 12" xfId="18666" hidden="1"/>
    <cellStyle name="40% - Accent6 12" xfId="18850" hidden="1"/>
    <cellStyle name="40% - Accent6 12" xfId="18925" hidden="1"/>
    <cellStyle name="40% - Accent6 12" xfId="19027" hidden="1"/>
    <cellStyle name="40% - Accent6 12" xfId="19102" hidden="1"/>
    <cellStyle name="40% - Accent6 12" xfId="19177" hidden="1"/>
    <cellStyle name="40% - Accent6 12" xfId="19255" hidden="1"/>
    <cellStyle name="40% - Accent6 12" xfId="19841" hidden="1"/>
    <cellStyle name="40% - Accent6 12" xfId="19916" hidden="1"/>
    <cellStyle name="40% - Accent6 12" xfId="19995" hidden="1"/>
    <cellStyle name="40% - Accent6 12" xfId="20223" hidden="1"/>
    <cellStyle name="40% - Accent6 12" xfId="19470" hidden="1"/>
    <cellStyle name="40% - Accent6 12" xfId="19540" hidden="1"/>
    <cellStyle name="40% - Accent6 12" xfId="20436" hidden="1"/>
    <cellStyle name="40% - Accent6 12" xfId="20511" hidden="1"/>
    <cellStyle name="40% - Accent6 12" xfId="20589" hidden="1"/>
    <cellStyle name="40% - Accent6 12" xfId="20781" hidden="1"/>
    <cellStyle name="40% - Accent6 12" xfId="20230" hidden="1"/>
    <cellStyle name="40% - Accent6 12" xfId="18942" hidden="1"/>
    <cellStyle name="40% - Accent6 12" xfId="20968" hidden="1"/>
    <cellStyle name="40% - Accent6 12" xfId="21043" hidden="1"/>
    <cellStyle name="40% - Accent6 12" xfId="21121" hidden="1"/>
    <cellStyle name="40% - Accent6 12" xfId="21305" hidden="1"/>
    <cellStyle name="40% - Accent6 12" xfId="21380" hidden="1"/>
    <cellStyle name="40% - Accent6 12" xfId="21458" hidden="1"/>
    <cellStyle name="40% - Accent6 12" xfId="21642" hidden="1"/>
    <cellStyle name="40% - Accent6 12" xfId="21717" hidden="1"/>
    <cellStyle name="40% - Accent6 12" xfId="15956" hidden="1"/>
    <cellStyle name="40% - Accent6 12" xfId="15881" hidden="1"/>
    <cellStyle name="40% - Accent6 12" xfId="15801" hidden="1"/>
    <cellStyle name="40% - Accent6 12" xfId="15715" hidden="1"/>
    <cellStyle name="40% - Accent6 12" xfId="7924" hidden="1"/>
    <cellStyle name="40% - Accent6 12" xfId="7702" hidden="1"/>
    <cellStyle name="40% - Accent6 12" xfId="7438" hidden="1"/>
    <cellStyle name="40% - Accent6 12" xfId="6158" hidden="1"/>
    <cellStyle name="40% - Accent6 12" xfId="9243" hidden="1"/>
    <cellStyle name="40% - Accent6 12" xfId="8859" hidden="1"/>
    <cellStyle name="40% - Accent6 12" xfId="5261" hidden="1"/>
    <cellStyle name="40% - Accent6 12" xfId="5062" hidden="1"/>
    <cellStyle name="40% - Accent6 12" xfId="4955" hidden="1"/>
    <cellStyle name="40% - Accent6 12" xfId="3813" hidden="1"/>
    <cellStyle name="40% - Accent6 12" xfId="6151" hidden="1"/>
    <cellStyle name="40% - Accent6 12" xfId="16141" hidden="1"/>
    <cellStyle name="40% - Accent6 12" xfId="2987" hidden="1"/>
    <cellStyle name="40% - Accent6 12" xfId="2862" hidden="1"/>
    <cellStyle name="40% - Accent6 12" xfId="2626" hidden="1"/>
    <cellStyle name="40% - Accent6 12" xfId="1482" hidden="1"/>
    <cellStyle name="40% - Accent6 12" xfId="1296" hidden="1"/>
    <cellStyle name="40% - Accent6 12" xfId="1077" hidden="1"/>
    <cellStyle name="40% - Accent6 12" xfId="21778" hidden="1"/>
    <cellStyle name="40% - Accent6 12" xfId="21857" hidden="1"/>
    <cellStyle name="40% - Accent6 12" xfId="22386" hidden="1"/>
    <cellStyle name="40% - Accent6 12" xfId="22461" hidden="1"/>
    <cellStyle name="40% - Accent6 12" xfId="22536" hidden="1"/>
    <cellStyle name="40% - Accent6 12" xfId="22614" hidden="1"/>
    <cellStyle name="40% - Accent6 12" xfId="23200" hidden="1"/>
    <cellStyle name="40% - Accent6 12" xfId="23275" hidden="1"/>
    <cellStyle name="40% - Accent6 12" xfId="23354" hidden="1"/>
    <cellStyle name="40% - Accent6 12" xfId="23582" hidden="1"/>
    <cellStyle name="40% - Accent6 12" xfId="22829" hidden="1"/>
    <cellStyle name="40% - Accent6 12" xfId="22899" hidden="1"/>
    <cellStyle name="40% - Accent6 12" xfId="23795" hidden="1"/>
    <cellStyle name="40% - Accent6 12" xfId="23870" hidden="1"/>
    <cellStyle name="40% - Accent6 12" xfId="23948" hidden="1"/>
    <cellStyle name="40% - Accent6 12" xfId="24140" hidden="1"/>
    <cellStyle name="40% - Accent6 12" xfId="23589" hidden="1"/>
    <cellStyle name="40% - Accent6 12" xfId="22301" hidden="1"/>
    <cellStyle name="40% - Accent6 12" xfId="24327" hidden="1"/>
    <cellStyle name="40% - Accent6 12" xfId="24402" hidden="1"/>
    <cellStyle name="40% - Accent6 12" xfId="24480" hidden="1"/>
    <cellStyle name="40% - Accent6 12" xfId="24664" hidden="1"/>
    <cellStyle name="40% - Accent6 12" xfId="24739" hidden="1"/>
    <cellStyle name="40% - Accent6 12" xfId="24817" hidden="1"/>
    <cellStyle name="40% - Accent6 12" xfId="25001" hidden="1"/>
    <cellStyle name="40% - Accent6 12" xfId="25076" hidden="1"/>
    <cellStyle name="40% - Accent6 12" xfId="25178" hidden="1"/>
    <cellStyle name="40% - Accent6 12" xfId="25253" hidden="1"/>
    <cellStyle name="40% - Accent6 12" xfId="25328" hidden="1"/>
    <cellStyle name="40% - Accent6 12" xfId="25406" hidden="1"/>
    <cellStyle name="40% - Accent6 12" xfId="25992" hidden="1"/>
    <cellStyle name="40% - Accent6 12" xfId="26067" hidden="1"/>
    <cellStyle name="40% - Accent6 12" xfId="26146" hidden="1"/>
    <cellStyle name="40% - Accent6 12" xfId="26374" hidden="1"/>
    <cellStyle name="40% - Accent6 12" xfId="25621" hidden="1"/>
    <cellStyle name="40% - Accent6 12" xfId="25691" hidden="1"/>
    <cellStyle name="40% - Accent6 12" xfId="26587" hidden="1"/>
    <cellStyle name="40% - Accent6 12" xfId="26662" hidden="1"/>
    <cellStyle name="40% - Accent6 12" xfId="26740" hidden="1"/>
    <cellStyle name="40% - Accent6 12" xfId="26932" hidden="1"/>
    <cellStyle name="40% - Accent6 12" xfId="26381" hidden="1"/>
    <cellStyle name="40% - Accent6 12" xfId="25093" hidden="1"/>
    <cellStyle name="40% - Accent6 12" xfId="27119" hidden="1"/>
    <cellStyle name="40% - Accent6 12" xfId="27194" hidden="1"/>
    <cellStyle name="40% - Accent6 12" xfId="27272" hidden="1"/>
    <cellStyle name="40% - Accent6 12" xfId="27456" hidden="1"/>
    <cellStyle name="40% - Accent6 12" xfId="27531" hidden="1"/>
    <cellStyle name="40% - Accent6 12" xfId="27609" hidden="1"/>
    <cellStyle name="40% - Accent6 12" xfId="27793" hidden="1"/>
    <cellStyle name="40% - Accent6 12" xfId="27868" hidden="1"/>
    <cellStyle name="40% - Accent6 12" xfId="22209" hidden="1"/>
    <cellStyle name="40% - Accent6 12" xfId="22134" hidden="1"/>
    <cellStyle name="40% - Accent6 12" xfId="22054" hidden="1"/>
    <cellStyle name="40% - Accent6 12" xfId="21971" hidden="1"/>
    <cellStyle name="40% - Accent6 12" xfId="8816" hidden="1"/>
    <cellStyle name="40% - Accent6 12" xfId="8529" hidden="1"/>
    <cellStyle name="40% - Accent6 12" xfId="8387" hidden="1"/>
    <cellStyle name="40% - Accent6 12" xfId="6728" hidden="1"/>
    <cellStyle name="40% - Accent6 12" xfId="15742" hidden="1"/>
    <cellStyle name="40% - Accent6 12" xfId="15468" hidden="1"/>
    <cellStyle name="40% - Accent6 12" xfId="5802" hidden="1"/>
    <cellStyle name="40% - Accent6 12" xfId="5568" hidden="1"/>
    <cellStyle name="40% - Accent6 12" xfId="5473" hidden="1"/>
    <cellStyle name="40% - Accent6 12" xfId="4000" hidden="1"/>
    <cellStyle name="40% - Accent6 12" xfId="6717" hidden="1"/>
    <cellStyle name="40% - Accent6 12" xfId="22294" hidden="1"/>
    <cellStyle name="40% - Accent6 12" xfId="3328" hidden="1"/>
    <cellStyle name="40% - Accent6 12" xfId="3140" hidden="1"/>
    <cellStyle name="40% - Accent6 12" xfId="2958" hidden="1"/>
    <cellStyle name="40% - Accent6 12" xfId="1624" hidden="1"/>
    <cellStyle name="40% - Accent6 12" xfId="1455" hidden="1"/>
    <cellStyle name="40% - Accent6 12" xfId="1187" hidden="1"/>
    <cellStyle name="40% - Accent6 12" xfId="27928" hidden="1"/>
    <cellStyle name="40% - Accent6 12" xfId="28003" hidden="1"/>
    <cellStyle name="40% - Accent6 12" xfId="28105" hidden="1"/>
    <cellStyle name="40% - Accent6 12" xfId="28180" hidden="1"/>
    <cellStyle name="40% - Accent6 12" xfId="28255" hidden="1"/>
    <cellStyle name="40% - Accent6 12" xfId="28333" hidden="1"/>
    <cellStyle name="40% - Accent6 12" xfId="28919" hidden="1"/>
    <cellStyle name="40% - Accent6 12" xfId="28994" hidden="1"/>
    <cellStyle name="40% - Accent6 12" xfId="29073" hidden="1"/>
    <cellStyle name="40% - Accent6 12" xfId="29301" hidden="1"/>
    <cellStyle name="40% - Accent6 12" xfId="28548" hidden="1"/>
    <cellStyle name="40% - Accent6 12" xfId="28618" hidden="1"/>
    <cellStyle name="40% - Accent6 12" xfId="29514" hidden="1"/>
    <cellStyle name="40% - Accent6 12" xfId="29589" hidden="1"/>
    <cellStyle name="40% - Accent6 12" xfId="29667" hidden="1"/>
    <cellStyle name="40% - Accent6 12" xfId="29859" hidden="1"/>
    <cellStyle name="40% - Accent6 12" xfId="29308" hidden="1"/>
    <cellStyle name="40% - Accent6 12" xfId="28020" hidden="1"/>
    <cellStyle name="40% - Accent6 12" xfId="30046" hidden="1"/>
    <cellStyle name="40% - Accent6 12" xfId="30121" hidden="1"/>
    <cellStyle name="40% - Accent6 12" xfId="30199" hidden="1"/>
    <cellStyle name="40% - Accent6 12" xfId="30383" hidden="1"/>
    <cellStyle name="40% - Accent6 12" xfId="30458" hidden="1"/>
    <cellStyle name="40% - Accent6 12" xfId="30536" hidden="1"/>
    <cellStyle name="40% - Accent6 12" xfId="30720" hidden="1"/>
    <cellStyle name="40% - Accent6 12" xfId="30795" hidden="1"/>
    <cellStyle name="40% - Accent6 12" xfId="30897" hidden="1"/>
    <cellStyle name="40% - Accent6 12" xfId="30972" hidden="1"/>
    <cellStyle name="40% - Accent6 12" xfId="31047" hidden="1"/>
    <cellStyle name="40% - Accent6 12" xfId="31125" hidden="1"/>
    <cellStyle name="40% - Accent6 12" xfId="31711" hidden="1"/>
    <cellStyle name="40% - Accent6 12" xfId="31786" hidden="1"/>
    <cellStyle name="40% - Accent6 12" xfId="31865" hidden="1"/>
    <cellStyle name="40% - Accent6 12" xfId="32093" hidden="1"/>
    <cellStyle name="40% - Accent6 12" xfId="31340" hidden="1"/>
    <cellStyle name="40% - Accent6 12" xfId="31410" hidden="1"/>
    <cellStyle name="40% - Accent6 12" xfId="32306" hidden="1"/>
    <cellStyle name="40% - Accent6 12" xfId="32381" hidden="1"/>
    <cellStyle name="40% - Accent6 12" xfId="32459" hidden="1"/>
    <cellStyle name="40% - Accent6 12" xfId="32651" hidden="1"/>
    <cellStyle name="40% - Accent6 12" xfId="32100" hidden="1"/>
    <cellStyle name="40% - Accent6 12" xfId="30812" hidden="1"/>
    <cellStyle name="40% - Accent6 12" xfId="32838" hidden="1"/>
    <cellStyle name="40% - Accent6 12" xfId="32913" hidden="1"/>
    <cellStyle name="40% - Accent6 12" xfId="32991" hidden="1"/>
    <cellStyle name="40% - Accent6 12" xfId="33175" hidden="1"/>
    <cellStyle name="40% - Accent6 12" xfId="33250" hidden="1"/>
    <cellStyle name="40% - Accent6 12" xfId="33328" hidden="1"/>
    <cellStyle name="40% - Accent6 12" xfId="33512" hidden="1"/>
    <cellStyle name="40% - Accent6 12" xfId="33587" hidden="1"/>
    <cellStyle name="40% - Accent6 13" xfId="753" hidden="1"/>
    <cellStyle name="40% - Accent6 13" xfId="962" hidden="1"/>
    <cellStyle name="40% - Accent6 13" xfId="3526" hidden="1"/>
    <cellStyle name="40% - Accent6 13" xfId="4041" hidden="1"/>
    <cellStyle name="40% - Accent6 13" xfId="5360" hidden="1"/>
    <cellStyle name="40% - Accent6 13" xfId="6057" hidden="1"/>
    <cellStyle name="40% - Accent6 13" xfId="7074" hidden="1"/>
    <cellStyle name="40% - Accent6 13" xfId="8278" hidden="1"/>
    <cellStyle name="40% - Accent6 13" xfId="10135" hidden="1"/>
    <cellStyle name="40% - Accent6 13" xfId="10250" hidden="1"/>
    <cellStyle name="40% - Accent6 13" xfId="10973" hidden="1"/>
    <cellStyle name="40% - Accent6 13" xfId="11146" hidden="1"/>
    <cellStyle name="40% - Accent6 13" xfId="11539" hidden="1"/>
    <cellStyle name="40% - Accent6 13" xfId="11687" hidden="1"/>
    <cellStyle name="40% - Accent6 13" xfId="12025" hidden="1"/>
    <cellStyle name="40% - Accent6 13" xfId="12362" hidden="1"/>
    <cellStyle name="40% - Accent6 13" xfId="12927" hidden="1"/>
    <cellStyle name="40% - Accent6 13" xfId="13042" hidden="1"/>
    <cellStyle name="40% - Accent6 13" xfId="13765" hidden="1"/>
    <cellStyle name="40% - Accent6 13" xfId="13938" hidden="1"/>
    <cellStyle name="40% - Accent6 13" xfId="14331" hidden="1"/>
    <cellStyle name="40% - Accent6 13" xfId="14479" hidden="1"/>
    <cellStyle name="40% - Accent6 13" xfId="14817" hidden="1"/>
    <cellStyle name="40% - Accent6 13" xfId="15154" hidden="1"/>
    <cellStyle name="40% - Accent6 13" xfId="9194" hidden="1"/>
    <cellStyle name="40% - Accent6 13" xfId="8648" hidden="1"/>
    <cellStyle name="40% - Accent6 13" xfId="6021" hidden="1"/>
    <cellStyle name="40% - Accent6 13" xfId="5229" hidden="1"/>
    <cellStyle name="40% - Accent6 13" xfId="3948" hidden="1"/>
    <cellStyle name="40% - Accent6 13" xfId="3267" hidden="1"/>
    <cellStyle name="40% - Accent6 13" xfId="1834" hidden="1"/>
    <cellStyle name="40% - Accent6 13" xfId="457" hidden="1"/>
    <cellStyle name="40% - Accent6 13" xfId="16476" hidden="1"/>
    <cellStyle name="40% - Accent6 13" xfId="16591" hidden="1"/>
    <cellStyle name="40% - Accent6 13" xfId="17314" hidden="1"/>
    <cellStyle name="40% - Accent6 13" xfId="17487" hidden="1"/>
    <cellStyle name="40% - Accent6 13" xfId="17880" hidden="1"/>
    <cellStyle name="40% - Accent6 13" xfId="18028" hidden="1"/>
    <cellStyle name="40% - Accent6 13" xfId="18366" hidden="1"/>
    <cellStyle name="40% - Accent6 13" xfId="18703" hidden="1"/>
    <cellStyle name="40% - Accent6 13" xfId="19268" hidden="1"/>
    <cellStyle name="40% - Accent6 13" xfId="19383" hidden="1"/>
    <cellStyle name="40% - Accent6 13" xfId="20106" hidden="1"/>
    <cellStyle name="40% - Accent6 13" xfId="20279" hidden="1"/>
    <cellStyle name="40% - Accent6 13" xfId="20672" hidden="1"/>
    <cellStyle name="40% - Accent6 13" xfId="20820" hidden="1"/>
    <cellStyle name="40% - Accent6 13" xfId="21158" hidden="1"/>
    <cellStyle name="40% - Accent6 13" xfId="21495" hidden="1"/>
    <cellStyle name="40% - Accent6 13" xfId="15702" hidden="1"/>
    <cellStyle name="40% - Accent6 13" xfId="9745" hidden="1"/>
    <cellStyle name="40% - Accent6 13" xfId="6604" hidden="1"/>
    <cellStyle name="40% - Accent6 13" xfId="5759" hidden="1"/>
    <cellStyle name="40% - Accent6 13" xfId="4215" hidden="1"/>
    <cellStyle name="40% - Accent6 13" xfId="3496" hidden="1"/>
    <cellStyle name="40% - Accent6 13" xfId="2007" hidden="1"/>
    <cellStyle name="40% - Accent6 13" xfId="567" hidden="1"/>
    <cellStyle name="40% - Accent6 13" xfId="22627" hidden="1"/>
    <cellStyle name="40% - Accent6 13" xfId="22742" hidden="1"/>
    <cellStyle name="40% - Accent6 13" xfId="23465" hidden="1"/>
    <cellStyle name="40% - Accent6 13" xfId="23638" hidden="1"/>
    <cellStyle name="40% - Accent6 13" xfId="24031" hidden="1"/>
    <cellStyle name="40% - Accent6 13" xfId="24179" hidden="1"/>
    <cellStyle name="40% - Accent6 13" xfId="24517" hidden="1"/>
    <cellStyle name="40% - Accent6 13" xfId="24854" hidden="1"/>
    <cellStyle name="40% - Accent6 13" xfId="25419" hidden="1"/>
    <cellStyle name="40% - Accent6 13" xfId="25534" hidden="1"/>
    <cellStyle name="40% - Accent6 13" xfId="26257" hidden="1"/>
    <cellStyle name="40% - Accent6 13" xfId="26430" hidden="1"/>
    <cellStyle name="40% - Accent6 13" xfId="26823" hidden="1"/>
    <cellStyle name="40% - Accent6 13" xfId="26971" hidden="1"/>
    <cellStyle name="40% - Accent6 13" xfId="27309" hidden="1"/>
    <cellStyle name="40% - Accent6 13" xfId="27646" hidden="1"/>
    <cellStyle name="40% - Accent6 13" xfId="21958" hidden="1"/>
    <cellStyle name="40% - Accent6 13" xfId="16126" hidden="1"/>
    <cellStyle name="40% - Accent6 13" xfId="7307" hidden="1"/>
    <cellStyle name="40% - Accent6 13" xfId="6272" hidden="1"/>
    <cellStyle name="40% - Accent6 13" xfId="4523" hidden="1"/>
    <cellStyle name="40% - Accent6 13" xfId="3752" hidden="1"/>
    <cellStyle name="40% - Accent6 13" xfId="2188" hidden="1"/>
    <cellStyle name="40% - Accent6 13" xfId="702" hidden="1"/>
    <cellStyle name="40% - Accent6 13" xfId="28346" hidden="1"/>
    <cellStyle name="40% - Accent6 13" xfId="28461" hidden="1"/>
    <cellStyle name="40% - Accent6 13" xfId="29184" hidden="1"/>
    <cellStyle name="40% - Accent6 13" xfId="29357" hidden="1"/>
    <cellStyle name="40% - Accent6 13" xfId="29750" hidden="1"/>
    <cellStyle name="40% - Accent6 13" xfId="29898" hidden="1"/>
    <cellStyle name="40% - Accent6 13" xfId="30236" hidden="1"/>
    <cellStyle name="40% - Accent6 13" xfId="30573" hidden="1"/>
    <cellStyle name="40% - Accent6 13" xfId="31138" hidden="1"/>
    <cellStyle name="40% - Accent6 13" xfId="31253" hidden="1"/>
    <cellStyle name="40% - Accent6 13" xfId="31976" hidden="1"/>
    <cellStyle name="40% - Accent6 13" xfId="32149" hidden="1"/>
    <cellStyle name="40% - Accent6 13" xfId="32542" hidden="1"/>
    <cellStyle name="40% - Accent6 13" xfId="32690" hidden="1"/>
    <cellStyle name="40% - Accent6 13" xfId="33028" hidden="1"/>
    <cellStyle name="40% - Accent6 13" xfId="33365" hidden="1"/>
    <cellStyle name="40% - Accent6 3 2 3 2" xfId="839" hidden="1"/>
    <cellStyle name="40% - Accent6 3 2 3 2" xfId="1047" hidden="1"/>
    <cellStyle name="40% - Accent6 3 2 3 2" xfId="3611" hidden="1"/>
    <cellStyle name="40% - Accent6 3 2 3 2" xfId="4126" hidden="1"/>
    <cellStyle name="40% - Accent6 3 2 3 2" xfId="5445" hidden="1"/>
    <cellStyle name="40% - Accent6 3 2 3 2" xfId="6142" hidden="1"/>
    <cellStyle name="40% - Accent6 3 2 3 2" xfId="7159" hidden="1"/>
    <cellStyle name="40% - Accent6 3 2 3 2" xfId="8363" hidden="1"/>
    <cellStyle name="40% - Accent6 3 2 3 2" xfId="10220" hidden="1"/>
    <cellStyle name="40% - Accent6 3 2 3 2" xfId="10335" hidden="1"/>
    <cellStyle name="40% - Accent6 3 2 3 2" xfId="11058" hidden="1"/>
    <cellStyle name="40% - Accent6 3 2 3 2" xfId="11231" hidden="1"/>
    <cellStyle name="40% - Accent6 3 2 3 2" xfId="11624" hidden="1"/>
    <cellStyle name="40% - Accent6 3 2 3 2" xfId="11772" hidden="1"/>
    <cellStyle name="40% - Accent6 3 2 3 2" xfId="12110" hidden="1"/>
    <cellStyle name="40% - Accent6 3 2 3 2" xfId="12447" hidden="1"/>
    <cellStyle name="40% - Accent6 3 2 3 2" xfId="13012" hidden="1"/>
    <cellStyle name="40% - Accent6 3 2 3 2" xfId="13127" hidden="1"/>
    <cellStyle name="40% - Accent6 3 2 3 2" xfId="13850" hidden="1"/>
    <cellStyle name="40% - Accent6 3 2 3 2" xfId="14023" hidden="1"/>
    <cellStyle name="40% - Accent6 3 2 3 2" xfId="14416" hidden="1"/>
    <cellStyle name="40% - Accent6 3 2 3 2" xfId="14564" hidden="1"/>
    <cellStyle name="40% - Accent6 3 2 3 2" xfId="14902" hidden="1"/>
    <cellStyle name="40% - Accent6 3 2 3 2" xfId="15239" hidden="1"/>
    <cellStyle name="40% - Accent6 3 2 3 2" xfId="9107" hidden="1"/>
    <cellStyle name="40% - Accent6 3 2 3 2" xfId="8563" hidden="1"/>
    <cellStyle name="40% - Accent6 3 2 3 2" xfId="5935" hidden="1"/>
    <cellStyle name="40% - Accent6 3 2 3 2" xfId="5143" hidden="1"/>
    <cellStyle name="40% - Accent6 3 2 3 2" xfId="3858" hidden="1"/>
    <cellStyle name="40% - Accent6 3 2 3 2" xfId="3179" hidden="1"/>
    <cellStyle name="40% - Accent6 3 2 3 2" xfId="1736" hidden="1"/>
    <cellStyle name="40% - Accent6 3 2 3 2" xfId="326" hidden="1"/>
    <cellStyle name="40% - Accent6 3 2 3 2" xfId="16561" hidden="1"/>
    <cellStyle name="40% - Accent6 3 2 3 2" xfId="16676" hidden="1"/>
    <cellStyle name="40% - Accent6 3 2 3 2" xfId="17399" hidden="1"/>
    <cellStyle name="40% - Accent6 3 2 3 2" xfId="17572" hidden="1"/>
    <cellStyle name="40% - Accent6 3 2 3 2" xfId="17965" hidden="1"/>
    <cellStyle name="40% - Accent6 3 2 3 2" xfId="18113" hidden="1"/>
    <cellStyle name="40% - Accent6 3 2 3 2" xfId="18451" hidden="1"/>
    <cellStyle name="40% - Accent6 3 2 3 2" xfId="18788" hidden="1"/>
    <cellStyle name="40% - Accent6 3 2 3 2" xfId="19353" hidden="1"/>
    <cellStyle name="40% - Accent6 3 2 3 2" xfId="19468" hidden="1"/>
    <cellStyle name="40% - Accent6 3 2 3 2" xfId="20191" hidden="1"/>
    <cellStyle name="40% - Accent6 3 2 3 2" xfId="20364" hidden="1"/>
    <cellStyle name="40% - Accent6 3 2 3 2" xfId="20757" hidden="1"/>
    <cellStyle name="40% - Accent6 3 2 3 2" xfId="20905" hidden="1"/>
    <cellStyle name="40% - Accent6 3 2 3 2" xfId="21243" hidden="1"/>
    <cellStyle name="40% - Accent6 3 2 3 2" xfId="21580" hidden="1"/>
    <cellStyle name="40% - Accent6 3 2 3 2" xfId="15615" hidden="1"/>
    <cellStyle name="40% - Accent6 3 2 3 2" xfId="9660" hidden="1"/>
    <cellStyle name="40% - Accent6 3 2 3 2" xfId="6501" hidden="1"/>
    <cellStyle name="40% - Accent6 3 2 3 2" xfId="5655" hidden="1"/>
    <cellStyle name="40% - Accent6 3 2 3 2" xfId="4129" hidden="1"/>
    <cellStyle name="40% - Accent6 3 2 3 2" xfId="3407" hidden="1"/>
    <cellStyle name="40% - Accent6 3 2 3 2" xfId="1908" hidden="1"/>
    <cellStyle name="40% - Accent6 3 2 3 2" xfId="321" hidden="1"/>
    <cellStyle name="40% - Accent6 3 2 3 2" xfId="22712" hidden="1"/>
    <cellStyle name="40% - Accent6 3 2 3 2" xfId="22827" hidden="1"/>
    <cellStyle name="40% - Accent6 3 2 3 2" xfId="23550" hidden="1"/>
    <cellStyle name="40% - Accent6 3 2 3 2" xfId="23723" hidden="1"/>
    <cellStyle name="40% - Accent6 3 2 3 2" xfId="24116" hidden="1"/>
    <cellStyle name="40% - Accent6 3 2 3 2" xfId="24264" hidden="1"/>
    <cellStyle name="40% - Accent6 3 2 3 2" xfId="24602" hidden="1"/>
    <cellStyle name="40% - Accent6 3 2 3 2" xfId="24939" hidden="1"/>
    <cellStyle name="40% - Accent6 3 2 3 2" xfId="25504" hidden="1"/>
    <cellStyle name="40% - Accent6 3 2 3 2" xfId="25619" hidden="1"/>
    <cellStyle name="40% - Accent6 3 2 3 2" xfId="26342" hidden="1"/>
    <cellStyle name="40% - Accent6 3 2 3 2" xfId="26515" hidden="1"/>
    <cellStyle name="40% - Accent6 3 2 3 2" xfId="26908" hidden="1"/>
    <cellStyle name="40% - Accent6 3 2 3 2" xfId="27056" hidden="1"/>
    <cellStyle name="40% - Accent6 3 2 3 2" xfId="27394" hidden="1"/>
    <cellStyle name="40% - Accent6 3 2 3 2" xfId="27731" hidden="1"/>
    <cellStyle name="40% - Accent6 3 2 3 2" xfId="21871" hidden="1"/>
    <cellStyle name="40% - Accent6 3 2 3 2" xfId="16041" hidden="1"/>
    <cellStyle name="40% - Accent6 3 2 3 2" xfId="7205" hidden="1"/>
    <cellStyle name="40% - Accent6 3 2 3 2" xfId="6162" hidden="1"/>
    <cellStyle name="40% - Accent6 3 2 3 2" xfId="4331" hidden="1"/>
    <cellStyle name="40% - Accent6 3 2 3 2" xfId="3663" hidden="1"/>
    <cellStyle name="40% - Accent6 3 2 3 2" xfId="2094" hidden="1"/>
    <cellStyle name="40% - Accent6 3 2 3 2" xfId="581" hidden="1"/>
    <cellStyle name="40% - Accent6 3 2 3 2" xfId="28431" hidden="1"/>
    <cellStyle name="40% - Accent6 3 2 3 2" xfId="28546" hidden="1"/>
    <cellStyle name="40% - Accent6 3 2 3 2" xfId="29269" hidden="1"/>
    <cellStyle name="40% - Accent6 3 2 3 2" xfId="29442" hidden="1"/>
    <cellStyle name="40% - Accent6 3 2 3 2" xfId="29835" hidden="1"/>
    <cellStyle name="40% - Accent6 3 2 3 2" xfId="29983" hidden="1"/>
    <cellStyle name="40% - Accent6 3 2 3 2" xfId="30321" hidden="1"/>
    <cellStyle name="40% - Accent6 3 2 3 2" xfId="30658" hidden="1"/>
    <cellStyle name="40% - Accent6 3 2 3 2" xfId="31223" hidden="1"/>
    <cellStyle name="40% - Accent6 3 2 3 2" xfId="31338" hidden="1"/>
    <cellStyle name="40% - Accent6 3 2 3 2" xfId="32061" hidden="1"/>
    <cellStyle name="40% - Accent6 3 2 3 2" xfId="32234" hidden="1"/>
    <cellStyle name="40% - Accent6 3 2 3 2" xfId="32627" hidden="1"/>
    <cellStyle name="40% - Accent6 3 2 3 2" xfId="32775" hidden="1"/>
    <cellStyle name="40% - Accent6 3 2 3 2" xfId="33113" hidden="1"/>
    <cellStyle name="40% - Accent6 3 2 3 2" xfId="33450" hidden="1"/>
    <cellStyle name="40% - Accent6 3 2 4 2" xfId="812" hidden="1"/>
    <cellStyle name="40% - Accent6 3 2 4 2" xfId="1020" hidden="1"/>
    <cellStyle name="40% - Accent6 3 2 4 2" xfId="3584" hidden="1"/>
    <cellStyle name="40% - Accent6 3 2 4 2" xfId="4099" hidden="1"/>
    <cellStyle name="40% - Accent6 3 2 4 2" xfId="5418" hidden="1"/>
    <cellStyle name="40% - Accent6 3 2 4 2" xfId="6115" hidden="1"/>
    <cellStyle name="40% - Accent6 3 2 4 2" xfId="7132" hidden="1"/>
    <cellStyle name="40% - Accent6 3 2 4 2" xfId="8336" hidden="1"/>
    <cellStyle name="40% - Accent6 3 2 4 2" xfId="10193" hidden="1"/>
    <cellStyle name="40% - Accent6 3 2 4 2" xfId="10308" hidden="1"/>
    <cellStyle name="40% - Accent6 3 2 4 2" xfId="11031" hidden="1"/>
    <cellStyle name="40% - Accent6 3 2 4 2" xfId="11204" hidden="1"/>
    <cellStyle name="40% - Accent6 3 2 4 2" xfId="11597" hidden="1"/>
    <cellStyle name="40% - Accent6 3 2 4 2" xfId="11745" hidden="1"/>
    <cellStyle name="40% - Accent6 3 2 4 2" xfId="12083" hidden="1"/>
    <cellStyle name="40% - Accent6 3 2 4 2" xfId="12420" hidden="1"/>
    <cellStyle name="40% - Accent6 3 2 4 2" xfId="12985" hidden="1"/>
    <cellStyle name="40% - Accent6 3 2 4 2" xfId="13100" hidden="1"/>
    <cellStyle name="40% - Accent6 3 2 4 2" xfId="13823" hidden="1"/>
    <cellStyle name="40% - Accent6 3 2 4 2" xfId="13996" hidden="1"/>
    <cellStyle name="40% - Accent6 3 2 4 2" xfId="14389" hidden="1"/>
    <cellStyle name="40% - Accent6 3 2 4 2" xfId="14537" hidden="1"/>
    <cellStyle name="40% - Accent6 3 2 4 2" xfId="14875" hidden="1"/>
    <cellStyle name="40% - Accent6 3 2 4 2" xfId="15212" hidden="1"/>
    <cellStyle name="40% - Accent6 3 2 4 2" xfId="9134" hidden="1"/>
    <cellStyle name="40% - Accent6 3 2 4 2" xfId="8590" hidden="1"/>
    <cellStyle name="40% - Accent6 3 2 4 2" xfId="5962" hidden="1"/>
    <cellStyle name="40% - Accent6 3 2 4 2" xfId="5171" hidden="1"/>
    <cellStyle name="40% - Accent6 3 2 4 2" xfId="3887" hidden="1"/>
    <cellStyle name="40% - Accent6 3 2 4 2" xfId="3208" hidden="1"/>
    <cellStyle name="40% - Accent6 3 2 4 2" xfId="1765" hidden="1"/>
    <cellStyle name="40% - Accent6 3 2 4 2" xfId="368" hidden="1"/>
    <cellStyle name="40% - Accent6 3 2 4 2" xfId="16534" hidden="1"/>
    <cellStyle name="40% - Accent6 3 2 4 2" xfId="16649" hidden="1"/>
    <cellStyle name="40% - Accent6 3 2 4 2" xfId="17372" hidden="1"/>
    <cellStyle name="40% - Accent6 3 2 4 2" xfId="17545" hidden="1"/>
    <cellStyle name="40% - Accent6 3 2 4 2" xfId="17938" hidden="1"/>
    <cellStyle name="40% - Accent6 3 2 4 2" xfId="18086" hidden="1"/>
    <cellStyle name="40% - Accent6 3 2 4 2" xfId="18424" hidden="1"/>
    <cellStyle name="40% - Accent6 3 2 4 2" xfId="18761" hidden="1"/>
    <cellStyle name="40% - Accent6 3 2 4 2" xfId="19326" hidden="1"/>
    <cellStyle name="40% - Accent6 3 2 4 2" xfId="19441" hidden="1"/>
    <cellStyle name="40% - Accent6 3 2 4 2" xfId="20164" hidden="1"/>
    <cellStyle name="40% - Accent6 3 2 4 2" xfId="20337" hidden="1"/>
    <cellStyle name="40% - Accent6 3 2 4 2" xfId="20730" hidden="1"/>
    <cellStyle name="40% - Accent6 3 2 4 2" xfId="20878" hidden="1"/>
    <cellStyle name="40% - Accent6 3 2 4 2" xfId="21216" hidden="1"/>
    <cellStyle name="40% - Accent6 3 2 4 2" xfId="21553" hidden="1"/>
    <cellStyle name="40% - Accent6 3 2 4 2" xfId="15642" hidden="1"/>
    <cellStyle name="40% - Accent6 3 2 4 2" xfId="9687" hidden="1"/>
    <cellStyle name="40% - Accent6 3 2 4 2" xfId="6535" hidden="1"/>
    <cellStyle name="40% - Accent6 3 2 4 2" xfId="5687" hidden="1"/>
    <cellStyle name="40% - Accent6 3 2 4 2" xfId="4157" hidden="1"/>
    <cellStyle name="40% - Accent6 3 2 4 2" xfId="3435" hidden="1"/>
    <cellStyle name="40% - Accent6 3 2 4 2" xfId="1939" hidden="1"/>
    <cellStyle name="40% - Accent6 3 2 4 2" xfId="502" hidden="1"/>
    <cellStyle name="40% - Accent6 3 2 4 2" xfId="22685" hidden="1"/>
    <cellStyle name="40% - Accent6 3 2 4 2" xfId="22800" hidden="1"/>
    <cellStyle name="40% - Accent6 3 2 4 2" xfId="23523" hidden="1"/>
    <cellStyle name="40% - Accent6 3 2 4 2" xfId="23696" hidden="1"/>
    <cellStyle name="40% - Accent6 3 2 4 2" xfId="24089" hidden="1"/>
    <cellStyle name="40% - Accent6 3 2 4 2" xfId="24237" hidden="1"/>
    <cellStyle name="40% - Accent6 3 2 4 2" xfId="24575" hidden="1"/>
    <cellStyle name="40% - Accent6 3 2 4 2" xfId="24912" hidden="1"/>
    <cellStyle name="40% - Accent6 3 2 4 2" xfId="25477" hidden="1"/>
    <cellStyle name="40% - Accent6 3 2 4 2" xfId="25592" hidden="1"/>
    <cellStyle name="40% - Accent6 3 2 4 2" xfId="26315" hidden="1"/>
    <cellStyle name="40% - Accent6 3 2 4 2" xfId="26488" hidden="1"/>
    <cellStyle name="40% - Accent6 3 2 4 2" xfId="26881" hidden="1"/>
    <cellStyle name="40% - Accent6 3 2 4 2" xfId="27029" hidden="1"/>
    <cellStyle name="40% - Accent6 3 2 4 2" xfId="27367" hidden="1"/>
    <cellStyle name="40% - Accent6 3 2 4 2" xfId="27704" hidden="1"/>
    <cellStyle name="40% - Accent6 3 2 4 2" xfId="21898" hidden="1"/>
    <cellStyle name="40% - Accent6 3 2 4 2" xfId="16068" hidden="1"/>
    <cellStyle name="40% - Accent6 3 2 4 2" xfId="7240" hidden="1"/>
    <cellStyle name="40% - Accent6 3 2 4 2" xfId="6197" hidden="1"/>
    <cellStyle name="40% - Accent6 3 2 4 2" xfId="4402" hidden="1"/>
    <cellStyle name="40% - Accent6 3 2 4 2" xfId="3691" hidden="1"/>
    <cellStyle name="40% - Accent6 3 2 4 2" xfId="2127" hidden="1"/>
    <cellStyle name="40% - Accent6 3 2 4 2" xfId="614" hidden="1"/>
    <cellStyle name="40% - Accent6 3 2 4 2" xfId="28404" hidden="1"/>
    <cellStyle name="40% - Accent6 3 2 4 2" xfId="28519" hidden="1"/>
    <cellStyle name="40% - Accent6 3 2 4 2" xfId="29242" hidden="1"/>
    <cellStyle name="40% - Accent6 3 2 4 2" xfId="29415" hidden="1"/>
    <cellStyle name="40% - Accent6 3 2 4 2" xfId="29808" hidden="1"/>
    <cellStyle name="40% - Accent6 3 2 4 2" xfId="29956" hidden="1"/>
    <cellStyle name="40% - Accent6 3 2 4 2" xfId="30294" hidden="1"/>
    <cellStyle name="40% - Accent6 3 2 4 2" xfId="30631" hidden="1"/>
    <cellStyle name="40% - Accent6 3 2 4 2" xfId="31196" hidden="1"/>
    <cellStyle name="40% - Accent6 3 2 4 2" xfId="31311" hidden="1"/>
    <cellStyle name="40% - Accent6 3 2 4 2" xfId="32034" hidden="1"/>
    <cellStyle name="40% - Accent6 3 2 4 2" xfId="32207" hidden="1"/>
    <cellStyle name="40% - Accent6 3 2 4 2" xfId="32600" hidden="1"/>
    <cellStyle name="40% - Accent6 3 2 4 2" xfId="32748" hidden="1"/>
    <cellStyle name="40% - Accent6 3 2 4 2" xfId="33086" hidden="1"/>
    <cellStyle name="40% - Accent6 3 2 4 2" xfId="33423" hidden="1"/>
    <cellStyle name="40% - Accent6 3 3 3 2" xfId="811" hidden="1"/>
    <cellStyle name="40% - Accent6 3 3 3 2" xfId="1019" hidden="1"/>
    <cellStyle name="40% - Accent6 3 3 3 2" xfId="3583" hidden="1"/>
    <cellStyle name="40% - Accent6 3 3 3 2" xfId="4098" hidden="1"/>
    <cellStyle name="40% - Accent6 3 3 3 2" xfId="5417" hidden="1"/>
    <cellStyle name="40% - Accent6 3 3 3 2" xfId="6114" hidden="1"/>
    <cellStyle name="40% - Accent6 3 3 3 2" xfId="7131" hidden="1"/>
    <cellStyle name="40% - Accent6 3 3 3 2" xfId="8335" hidden="1"/>
    <cellStyle name="40% - Accent6 3 3 3 2" xfId="10192" hidden="1"/>
    <cellStyle name="40% - Accent6 3 3 3 2" xfId="10307" hidden="1"/>
    <cellStyle name="40% - Accent6 3 3 3 2" xfId="11030" hidden="1"/>
    <cellStyle name="40% - Accent6 3 3 3 2" xfId="11203" hidden="1"/>
    <cellStyle name="40% - Accent6 3 3 3 2" xfId="11596" hidden="1"/>
    <cellStyle name="40% - Accent6 3 3 3 2" xfId="11744" hidden="1"/>
    <cellStyle name="40% - Accent6 3 3 3 2" xfId="12082" hidden="1"/>
    <cellStyle name="40% - Accent6 3 3 3 2" xfId="12419" hidden="1"/>
    <cellStyle name="40% - Accent6 3 3 3 2" xfId="12984" hidden="1"/>
    <cellStyle name="40% - Accent6 3 3 3 2" xfId="13099" hidden="1"/>
    <cellStyle name="40% - Accent6 3 3 3 2" xfId="13822" hidden="1"/>
    <cellStyle name="40% - Accent6 3 3 3 2" xfId="13995" hidden="1"/>
    <cellStyle name="40% - Accent6 3 3 3 2" xfId="14388" hidden="1"/>
    <cellStyle name="40% - Accent6 3 3 3 2" xfId="14536" hidden="1"/>
    <cellStyle name="40% - Accent6 3 3 3 2" xfId="14874" hidden="1"/>
    <cellStyle name="40% - Accent6 3 3 3 2" xfId="15211" hidden="1"/>
    <cellStyle name="40% - Accent6 3 3 3 2" xfId="9135" hidden="1"/>
    <cellStyle name="40% - Accent6 3 3 3 2" xfId="8591" hidden="1"/>
    <cellStyle name="40% - Accent6 3 3 3 2" xfId="5963" hidden="1"/>
    <cellStyle name="40% - Accent6 3 3 3 2" xfId="5172" hidden="1"/>
    <cellStyle name="40% - Accent6 3 3 3 2" xfId="3888" hidden="1"/>
    <cellStyle name="40% - Accent6 3 3 3 2" xfId="3209" hidden="1"/>
    <cellStyle name="40% - Accent6 3 3 3 2" xfId="1766" hidden="1"/>
    <cellStyle name="40% - Accent6 3 3 3 2" xfId="369" hidden="1"/>
    <cellStyle name="40% - Accent6 3 3 3 2" xfId="16533" hidden="1"/>
    <cellStyle name="40% - Accent6 3 3 3 2" xfId="16648" hidden="1"/>
    <cellStyle name="40% - Accent6 3 3 3 2" xfId="17371" hidden="1"/>
    <cellStyle name="40% - Accent6 3 3 3 2" xfId="17544" hidden="1"/>
    <cellStyle name="40% - Accent6 3 3 3 2" xfId="17937" hidden="1"/>
    <cellStyle name="40% - Accent6 3 3 3 2" xfId="18085" hidden="1"/>
    <cellStyle name="40% - Accent6 3 3 3 2" xfId="18423" hidden="1"/>
    <cellStyle name="40% - Accent6 3 3 3 2" xfId="18760" hidden="1"/>
    <cellStyle name="40% - Accent6 3 3 3 2" xfId="19325" hidden="1"/>
    <cellStyle name="40% - Accent6 3 3 3 2" xfId="19440" hidden="1"/>
    <cellStyle name="40% - Accent6 3 3 3 2" xfId="20163" hidden="1"/>
    <cellStyle name="40% - Accent6 3 3 3 2" xfId="20336" hidden="1"/>
    <cellStyle name="40% - Accent6 3 3 3 2" xfId="20729" hidden="1"/>
    <cellStyle name="40% - Accent6 3 3 3 2" xfId="20877" hidden="1"/>
    <cellStyle name="40% - Accent6 3 3 3 2" xfId="21215" hidden="1"/>
    <cellStyle name="40% - Accent6 3 3 3 2" xfId="21552" hidden="1"/>
    <cellStyle name="40% - Accent6 3 3 3 2" xfId="15643" hidden="1"/>
    <cellStyle name="40% - Accent6 3 3 3 2" xfId="9688" hidden="1"/>
    <cellStyle name="40% - Accent6 3 3 3 2" xfId="6536" hidden="1"/>
    <cellStyle name="40% - Accent6 3 3 3 2" xfId="5688" hidden="1"/>
    <cellStyle name="40% - Accent6 3 3 3 2" xfId="4158" hidden="1"/>
    <cellStyle name="40% - Accent6 3 3 3 2" xfId="3436" hidden="1"/>
    <cellStyle name="40% - Accent6 3 3 3 2" xfId="1940" hidden="1"/>
    <cellStyle name="40% - Accent6 3 3 3 2" xfId="503" hidden="1"/>
    <cellStyle name="40% - Accent6 3 3 3 2" xfId="22684" hidden="1"/>
    <cellStyle name="40% - Accent6 3 3 3 2" xfId="22799" hidden="1"/>
    <cellStyle name="40% - Accent6 3 3 3 2" xfId="23522" hidden="1"/>
    <cellStyle name="40% - Accent6 3 3 3 2" xfId="23695" hidden="1"/>
    <cellStyle name="40% - Accent6 3 3 3 2" xfId="24088" hidden="1"/>
    <cellStyle name="40% - Accent6 3 3 3 2" xfId="24236" hidden="1"/>
    <cellStyle name="40% - Accent6 3 3 3 2" xfId="24574" hidden="1"/>
    <cellStyle name="40% - Accent6 3 3 3 2" xfId="24911" hidden="1"/>
    <cellStyle name="40% - Accent6 3 3 3 2" xfId="25476" hidden="1"/>
    <cellStyle name="40% - Accent6 3 3 3 2" xfId="25591" hidden="1"/>
    <cellStyle name="40% - Accent6 3 3 3 2" xfId="26314" hidden="1"/>
    <cellStyle name="40% - Accent6 3 3 3 2" xfId="26487" hidden="1"/>
    <cellStyle name="40% - Accent6 3 3 3 2" xfId="26880" hidden="1"/>
    <cellStyle name="40% - Accent6 3 3 3 2" xfId="27028" hidden="1"/>
    <cellStyle name="40% - Accent6 3 3 3 2" xfId="27366" hidden="1"/>
    <cellStyle name="40% - Accent6 3 3 3 2" xfId="27703" hidden="1"/>
    <cellStyle name="40% - Accent6 3 3 3 2" xfId="21899" hidden="1"/>
    <cellStyle name="40% - Accent6 3 3 3 2" xfId="16069" hidden="1"/>
    <cellStyle name="40% - Accent6 3 3 3 2" xfId="7242" hidden="1"/>
    <cellStyle name="40% - Accent6 3 3 3 2" xfId="6198" hidden="1"/>
    <cellStyle name="40% - Accent6 3 3 3 2" xfId="4404" hidden="1"/>
    <cellStyle name="40% - Accent6 3 3 3 2" xfId="3692" hidden="1"/>
    <cellStyle name="40% - Accent6 3 3 3 2" xfId="2128" hidden="1"/>
    <cellStyle name="40% - Accent6 3 3 3 2" xfId="615" hidden="1"/>
    <cellStyle name="40% - Accent6 3 3 3 2" xfId="28403" hidden="1"/>
    <cellStyle name="40% - Accent6 3 3 3 2" xfId="28518" hidden="1"/>
    <cellStyle name="40% - Accent6 3 3 3 2" xfId="29241" hidden="1"/>
    <cellStyle name="40% - Accent6 3 3 3 2" xfId="29414" hidden="1"/>
    <cellStyle name="40% - Accent6 3 3 3 2" xfId="29807" hidden="1"/>
    <cellStyle name="40% - Accent6 3 3 3 2" xfId="29955" hidden="1"/>
    <cellStyle name="40% - Accent6 3 3 3 2" xfId="30293" hidden="1"/>
    <cellStyle name="40% - Accent6 3 3 3 2" xfId="30630" hidden="1"/>
    <cellStyle name="40% - Accent6 3 3 3 2" xfId="31195" hidden="1"/>
    <cellStyle name="40% - Accent6 3 3 3 2" xfId="31310" hidden="1"/>
    <cellStyle name="40% - Accent6 3 3 3 2" xfId="32033" hidden="1"/>
    <cellStyle name="40% - Accent6 3 3 3 2" xfId="32206" hidden="1"/>
    <cellStyle name="40% - Accent6 3 3 3 2" xfId="32599" hidden="1"/>
    <cellStyle name="40% - Accent6 3 3 3 2" xfId="32747" hidden="1"/>
    <cellStyle name="40% - Accent6 3 3 3 2" xfId="33085" hidden="1"/>
    <cellStyle name="40% - Accent6 3 3 3 2" xfId="33422" hidden="1"/>
    <cellStyle name="40% - Accent6 4 2 3 2" xfId="840" hidden="1"/>
    <cellStyle name="40% - Accent6 4 2 3 2" xfId="1048" hidden="1"/>
    <cellStyle name="40% - Accent6 4 2 3 2" xfId="3612" hidden="1"/>
    <cellStyle name="40% - Accent6 4 2 3 2" xfId="4127" hidden="1"/>
    <cellStyle name="40% - Accent6 4 2 3 2" xfId="5446" hidden="1"/>
    <cellStyle name="40% - Accent6 4 2 3 2" xfId="6143" hidden="1"/>
    <cellStyle name="40% - Accent6 4 2 3 2" xfId="7160" hidden="1"/>
    <cellStyle name="40% - Accent6 4 2 3 2" xfId="8364" hidden="1"/>
    <cellStyle name="40% - Accent6 4 2 3 2" xfId="10221" hidden="1"/>
    <cellStyle name="40% - Accent6 4 2 3 2" xfId="10336" hidden="1"/>
    <cellStyle name="40% - Accent6 4 2 3 2" xfId="11059" hidden="1"/>
    <cellStyle name="40% - Accent6 4 2 3 2" xfId="11232" hidden="1"/>
    <cellStyle name="40% - Accent6 4 2 3 2" xfId="11625" hidden="1"/>
    <cellStyle name="40% - Accent6 4 2 3 2" xfId="11773" hidden="1"/>
    <cellStyle name="40% - Accent6 4 2 3 2" xfId="12111" hidden="1"/>
    <cellStyle name="40% - Accent6 4 2 3 2" xfId="12448" hidden="1"/>
    <cellStyle name="40% - Accent6 4 2 3 2" xfId="13013" hidden="1"/>
    <cellStyle name="40% - Accent6 4 2 3 2" xfId="13128" hidden="1"/>
    <cellStyle name="40% - Accent6 4 2 3 2" xfId="13851" hidden="1"/>
    <cellStyle name="40% - Accent6 4 2 3 2" xfId="14024" hidden="1"/>
    <cellStyle name="40% - Accent6 4 2 3 2" xfId="14417" hidden="1"/>
    <cellStyle name="40% - Accent6 4 2 3 2" xfId="14565" hidden="1"/>
    <cellStyle name="40% - Accent6 4 2 3 2" xfId="14903" hidden="1"/>
    <cellStyle name="40% - Accent6 4 2 3 2" xfId="15240" hidden="1"/>
    <cellStyle name="40% - Accent6 4 2 3 2" xfId="9106" hidden="1"/>
    <cellStyle name="40% - Accent6 4 2 3 2" xfId="8562" hidden="1"/>
    <cellStyle name="40% - Accent6 4 2 3 2" xfId="5934" hidden="1"/>
    <cellStyle name="40% - Accent6 4 2 3 2" xfId="5142" hidden="1"/>
    <cellStyle name="40% - Accent6 4 2 3 2" xfId="3857" hidden="1"/>
    <cellStyle name="40% - Accent6 4 2 3 2" xfId="3178" hidden="1"/>
    <cellStyle name="40% - Accent6 4 2 3 2" xfId="1735" hidden="1"/>
    <cellStyle name="40% - Accent6 4 2 3 2" xfId="325" hidden="1"/>
    <cellStyle name="40% - Accent6 4 2 3 2" xfId="16562" hidden="1"/>
    <cellStyle name="40% - Accent6 4 2 3 2" xfId="16677" hidden="1"/>
    <cellStyle name="40% - Accent6 4 2 3 2" xfId="17400" hidden="1"/>
    <cellStyle name="40% - Accent6 4 2 3 2" xfId="17573" hidden="1"/>
    <cellStyle name="40% - Accent6 4 2 3 2" xfId="17966" hidden="1"/>
    <cellStyle name="40% - Accent6 4 2 3 2" xfId="18114" hidden="1"/>
    <cellStyle name="40% - Accent6 4 2 3 2" xfId="18452" hidden="1"/>
    <cellStyle name="40% - Accent6 4 2 3 2" xfId="18789" hidden="1"/>
    <cellStyle name="40% - Accent6 4 2 3 2" xfId="19354" hidden="1"/>
    <cellStyle name="40% - Accent6 4 2 3 2" xfId="19469" hidden="1"/>
    <cellStyle name="40% - Accent6 4 2 3 2" xfId="20192" hidden="1"/>
    <cellStyle name="40% - Accent6 4 2 3 2" xfId="20365" hidden="1"/>
    <cellStyle name="40% - Accent6 4 2 3 2" xfId="20758" hidden="1"/>
    <cellStyle name="40% - Accent6 4 2 3 2" xfId="20906" hidden="1"/>
    <cellStyle name="40% - Accent6 4 2 3 2" xfId="21244" hidden="1"/>
    <cellStyle name="40% - Accent6 4 2 3 2" xfId="21581" hidden="1"/>
    <cellStyle name="40% - Accent6 4 2 3 2" xfId="15614" hidden="1"/>
    <cellStyle name="40% - Accent6 4 2 3 2" xfId="9659" hidden="1"/>
    <cellStyle name="40% - Accent6 4 2 3 2" xfId="6500" hidden="1"/>
    <cellStyle name="40% - Accent6 4 2 3 2" xfId="5654" hidden="1"/>
    <cellStyle name="40% - Accent6 4 2 3 2" xfId="4128" hidden="1"/>
    <cellStyle name="40% - Accent6 4 2 3 2" xfId="3406" hidden="1"/>
    <cellStyle name="40% - Accent6 4 2 3 2" xfId="1907" hidden="1"/>
    <cellStyle name="40% - Accent6 4 2 3 2" xfId="318" hidden="1"/>
    <cellStyle name="40% - Accent6 4 2 3 2" xfId="22713" hidden="1"/>
    <cellStyle name="40% - Accent6 4 2 3 2" xfId="22828" hidden="1"/>
    <cellStyle name="40% - Accent6 4 2 3 2" xfId="23551" hidden="1"/>
    <cellStyle name="40% - Accent6 4 2 3 2" xfId="23724" hidden="1"/>
    <cellStyle name="40% - Accent6 4 2 3 2" xfId="24117" hidden="1"/>
    <cellStyle name="40% - Accent6 4 2 3 2" xfId="24265" hidden="1"/>
    <cellStyle name="40% - Accent6 4 2 3 2" xfId="24603" hidden="1"/>
    <cellStyle name="40% - Accent6 4 2 3 2" xfId="24940" hidden="1"/>
    <cellStyle name="40% - Accent6 4 2 3 2" xfId="25505" hidden="1"/>
    <cellStyle name="40% - Accent6 4 2 3 2" xfId="25620" hidden="1"/>
    <cellStyle name="40% - Accent6 4 2 3 2" xfId="26343" hidden="1"/>
    <cellStyle name="40% - Accent6 4 2 3 2" xfId="26516" hidden="1"/>
    <cellStyle name="40% - Accent6 4 2 3 2" xfId="26909" hidden="1"/>
    <cellStyle name="40% - Accent6 4 2 3 2" xfId="27057" hidden="1"/>
    <cellStyle name="40% - Accent6 4 2 3 2" xfId="27395" hidden="1"/>
    <cellStyle name="40% - Accent6 4 2 3 2" xfId="27732" hidden="1"/>
    <cellStyle name="40% - Accent6 4 2 3 2" xfId="21870" hidden="1"/>
    <cellStyle name="40% - Accent6 4 2 3 2" xfId="16040" hidden="1"/>
    <cellStyle name="40% - Accent6 4 2 3 2" xfId="7204" hidden="1"/>
    <cellStyle name="40% - Accent6 4 2 3 2" xfId="6161" hidden="1"/>
    <cellStyle name="40% - Accent6 4 2 3 2" xfId="4330" hidden="1"/>
    <cellStyle name="40% - Accent6 4 2 3 2" xfId="3662" hidden="1"/>
    <cellStyle name="40% - Accent6 4 2 3 2" xfId="2092" hidden="1"/>
    <cellStyle name="40% - Accent6 4 2 3 2" xfId="578" hidden="1"/>
    <cellStyle name="40% - Accent6 4 2 3 2" xfId="28432" hidden="1"/>
    <cellStyle name="40% - Accent6 4 2 3 2" xfId="28547" hidden="1"/>
    <cellStyle name="40% - Accent6 4 2 3 2" xfId="29270" hidden="1"/>
    <cellStyle name="40% - Accent6 4 2 3 2" xfId="29443" hidden="1"/>
    <cellStyle name="40% - Accent6 4 2 3 2" xfId="29836" hidden="1"/>
    <cellStyle name="40% - Accent6 4 2 3 2" xfId="29984" hidden="1"/>
    <cellStyle name="40% - Accent6 4 2 3 2" xfId="30322" hidden="1"/>
    <cellStyle name="40% - Accent6 4 2 3 2" xfId="30659" hidden="1"/>
    <cellStyle name="40% - Accent6 4 2 3 2" xfId="31224" hidden="1"/>
    <cellStyle name="40% - Accent6 4 2 3 2" xfId="31339" hidden="1"/>
    <cellStyle name="40% - Accent6 4 2 3 2" xfId="32062" hidden="1"/>
    <cellStyle name="40% - Accent6 4 2 3 2" xfId="32235" hidden="1"/>
    <cellStyle name="40% - Accent6 4 2 3 2" xfId="32628" hidden="1"/>
    <cellStyle name="40% - Accent6 4 2 3 2" xfId="32776" hidden="1"/>
    <cellStyle name="40% - Accent6 4 2 3 2" xfId="33114" hidden="1"/>
    <cellStyle name="40% - Accent6 4 2 3 2" xfId="33451" hidden="1"/>
    <cellStyle name="40% - Accent6 4 2 4 2" xfId="814" hidden="1"/>
    <cellStyle name="40% - Accent6 4 2 4 2" xfId="1022" hidden="1"/>
    <cellStyle name="40% - Accent6 4 2 4 2" xfId="3586" hidden="1"/>
    <cellStyle name="40% - Accent6 4 2 4 2" xfId="4101" hidden="1"/>
    <cellStyle name="40% - Accent6 4 2 4 2" xfId="5420" hidden="1"/>
    <cellStyle name="40% - Accent6 4 2 4 2" xfId="6117" hidden="1"/>
    <cellStyle name="40% - Accent6 4 2 4 2" xfId="7134" hidden="1"/>
    <cellStyle name="40% - Accent6 4 2 4 2" xfId="8338" hidden="1"/>
    <cellStyle name="40% - Accent6 4 2 4 2" xfId="10195" hidden="1"/>
    <cellStyle name="40% - Accent6 4 2 4 2" xfId="10310" hidden="1"/>
    <cellStyle name="40% - Accent6 4 2 4 2" xfId="11033" hidden="1"/>
    <cellStyle name="40% - Accent6 4 2 4 2" xfId="11206" hidden="1"/>
    <cellStyle name="40% - Accent6 4 2 4 2" xfId="11599" hidden="1"/>
    <cellStyle name="40% - Accent6 4 2 4 2" xfId="11747" hidden="1"/>
    <cellStyle name="40% - Accent6 4 2 4 2" xfId="12085" hidden="1"/>
    <cellStyle name="40% - Accent6 4 2 4 2" xfId="12422" hidden="1"/>
    <cellStyle name="40% - Accent6 4 2 4 2" xfId="12987" hidden="1"/>
    <cellStyle name="40% - Accent6 4 2 4 2" xfId="13102" hidden="1"/>
    <cellStyle name="40% - Accent6 4 2 4 2" xfId="13825" hidden="1"/>
    <cellStyle name="40% - Accent6 4 2 4 2" xfId="13998" hidden="1"/>
    <cellStyle name="40% - Accent6 4 2 4 2" xfId="14391" hidden="1"/>
    <cellStyle name="40% - Accent6 4 2 4 2" xfId="14539" hidden="1"/>
    <cellStyle name="40% - Accent6 4 2 4 2" xfId="14877" hidden="1"/>
    <cellStyle name="40% - Accent6 4 2 4 2" xfId="15214" hidden="1"/>
    <cellStyle name="40% - Accent6 4 2 4 2" xfId="9132" hidden="1"/>
    <cellStyle name="40% - Accent6 4 2 4 2" xfId="8588" hidden="1"/>
    <cellStyle name="40% - Accent6 4 2 4 2" xfId="5960" hidden="1"/>
    <cellStyle name="40% - Accent6 4 2 4 2" xfId="5169" hidden="1"/>
    <cellStyle name="40% - Accent6 4 2 4 2" xfId="3884" hidden="1"/>
    <cellStyle name="40% - Accent6 4 2 4 2" xfId="3206" hidden="1"/>
    <cellStyle name="40% - Accent6 4 2 4 2" xfId="1763" hidden="1"/>
    <cellStyle name="40% - Accent6 4 2 4 2" xfId="366" hidden="1"/>
    <cellStyle name="40% - Accent6 4 2 4 2" xfId="16536" hidden="1"/>
    <cellStyle name="40% - Accent6 4 2 4 2" xfId="16651" hidden="1"/>
    <cellStyle name="40% - Accent6 4 2 4 2" xfId="17374" hidden="1"/>
    <cellStyle name="40% - Accent6 4 2 4 2" xfId="17547" hidden="1"/>
    <cellStyle name="40% - Accent6 4 2 4 2" xfId="17940" hidden="1"/>
    <cellStyle name="40% - Accent6 4 2 4 2" xfId="18088" hidden="1"/>
    <cellStyle name="40% - Accent6 4 2 4 2" xfId="18426" hidden="1"/>
    <cellStyle name="40% - Accent6 4 2 4 2" xfId="18763" hidden="1"/>
    <cellStyle name="40% - Accent6 4 2 4 2" xfId="19328" hidden="1"/>
    <cellStyle name="40% - Accent6 4 2 4 2" xfId="19443" hidden="1"/>
    <cellStyle name="40% - Accent6 4 2 4 2" xfId="20166" hidden="1"/>
    <cellStyle name="40% - Accent6 4 2 4 2" xfId="20339" hidden="1"/>
    <cellStyle name="40% - Accent6 4 2 4 2" xfId="20732" hidden="1"/>
    <cellStyle name="40% - Accent6 4 2 4 2" xfId="20880" hidden="1"/>
    <cellStyle name="40% - Accent6 4 2 4 2" xfId="21218" hidden="1"/>
    <cellStyle name="40% - Accent6 4 2 4 2" xfId="21555" hidden="1"/>
    <cellStyle name="40% - Accent6 4 2 4 2" xfId="15640" hidden="1"/>
    <cellStyle name="40% - Accent6 4 2 4 2" xfId="9685" hidden="1"/>
    <cellStyle name="40% - Accent6 4 2 4 2" xfId="6533" hidden="1"/>
    <cellStyle name="40% - Accent6 4 2 4 2" xfId="5685" hidden="1"/>
    <cellStyle name="40% - Accent6 4 2 4 2" xfId="4154" hidden="1"/>
    <cellStyle name="40% - Accent6 4 2 4 2" xfId="3433" hidden="1"/>
    <cellStyle name="40% - Accent6 4 2 4 2" xfId="1936" hidden="1"/>
    <cellStyle name="40% - Accent6 4 2 4 2" xfId="500" hidden="1"/>
    <cellStyle name="40% - Accent6 4 2 4 2" xfId="22687" hidden="1"/>
    <cellStyle name="40% - Accent6 4 2 4 2" xfId="22802" hidden="1"/>
    <cellStyle name="40% - Accent6 4 2 4 2" xfId="23525" hidden="1"/>
    <cellStyle name="40% - Accent6 4 2 4 2" xfId="23698" hidden="1"/>
    <cellStyle name="40% - Accent6 4 2 4 2" xfId="24091" hidden="1"/>
    <cellStyle name="40% - Accent6 4 2 4 2" xfId="24239" hidden="1"/>
    <cellStyle name="40% - Accent6 4 2 4 2" xfId="24577" hidden="1"/>
    <cellStyle name="40% - Accent6 4 2 4 2" xfId="24914" hidden="1"/>
    <cellStyle name="40% - Accent6 4 2 4 2" xfId="25479" hidden="1"/>
    <cellStyle name="40% - Accent6 4 2 4 2" xfId="25594" hidden="1"/>
    <cellStyle name="40% - Accent6 4 2 4 2" xfId="26317" hidden="1"/>
    <cellStyle name="40% - Accent6 4 2 4 2" xfId="26490" hidden="1"/>
    <cellStyle name="40% - Accent6 4 2 4 2" xfId="26883" hidden="1"/>
    <cellStyle name="40% - Accent6 4 2 4 2" xfId="27031" hidden="1"/>
    <cellStyle name="40% - Accent6 4 2 4 2" xfId="27369" hidden="1"/>
    <cellStyle name="40% - Accent6 4 2 4 2" xfId="27706" hidden="1"/>
    <cellStyle name="40% - Accent6 4 2 4 2" xfId="21896" hidden="1"/>
    <cellStyle name="40% - Accent6 4 2 4 2" xfId="16066" hidden="1"/>
    <cellStyle name="40% - Accent6 4 2 4 2" xfId="7237" hidden="1"/>
    <cellStyle name="40% - Accent6 4 2 4 2" xfId="6194" hidden="1"/>
    <cellStyle name="40% - Accent6 4 2 4 2" xfId="4394" hidden="1"/>
    <cellStyle name="40% - Accent6 4 2 4 2" xfId="3689" hidden="1"/>
    <cellStyle name="40% - Accent6 4 2 4 2" xfId="2123" hidden="1"/>
    <cellStyle name="40% - Accent6 4 2 4 2" xfId="612" hidden="1"/>
    <cellStyle name="40% - Accent6 4 2 4 2" xfId="28406" hidden="1"/>
    <cellStyle name="40% - Accent6 4 2 4 2" xfId="28521" hidden="1"/>
    <cellStyle name="40% - Accent6 4 2 4 2" xfId="29244" hidden="1"/>
    <cellStyle name="40% - Accent6 4 2 4 2" xfId="29417" hidden="1"/>
    <cellStyle name="40% - Accent6 4 2 4 2" xfId="29810" hidden="1"/>
    <cellStyle name="40% - Accent6 4 2 4 2" xfId="29958" hidden="1"/>
    <cellStyle name="40% - Accent6 4 2 4 2" xfId="30296" hidden="1"/>
    <cellStyle name="40% - Accent6 4 2 4 2" xfId="30633" hidden="1"/>
    <cellStyle name="40% - Accent6 4 2 4 2" xfId="31198" hidden="1"/>
    <cellStyle name="40% - Accent6 4 2 4 2" xfId="31313" hidden="1"/>
    <cellStyle name="40% - Accent6 4 2 4 2" xfId="32036" hidden="1"/>
    <cellStyle name="40% - Accent6 4 2 4 2" xfId="32209" hidden="1"/>
    <cellStyle name="40% - Accent6 4 2 4 2" xfId="32602" hidden="1"/>
    <cellStyle name="40% - Accent6 4 2 4 2" xfId="32750" hidden="1"/>
    <cellStyle name="40% - Accent6 4 2 4 2" xfId="33088" hidden="1"/>
    <cellStyle name="40% - Accent6 4 2 4 2" xfId="33425" hidden="1"/>
    <cellStyle name="40% - Accent6 4 3 3 2" xfId="813" hidden="1"/>
    <cellStyle name="40% - Accent6 4 3 3 2" xfId="1021" hidden="1"/>
    <cellStyle name="40% - Accent6 4 3 3 2" xfId="3585" hidden="1"/>
    <cellStyle name="40% - Accent6 4 3 3 2" xfId="4100" hidden="1"/>
    <cellStyle name="40% - Accent6 4 3 3 2" xfId="5419" hidden="1"/>
    <cellStyle name="40% - Accent6 4 3 3 2" xfId="6116" hidden="1"/>
    <cellStyle name="40% - Accent6 4 3 3 2" xfId="7133" hidden="1"/>
    <cellStyle name="40% - Accent6 4 3 3 2" xfId="8337" hidden="1"/>
    <cellStyle name="40% - Accent6 4 3 3 2" xfId="10194" hidden="1"/>
    <cellStyle name="40% - Accent6 4 3 3 2" xfId="10309" hidden="1"/>
    <cellStyle name="40% - Accent6 4 3 3 2" xfId="11032" hidden="1"/>
    <cellStyle name="40% - Accent6 4 3 3 2" xfId="11205" hidden="1"/>
    <cellStyle name="40% - Accent6 4 3 3 2" xfId="11598" hidden="1"/>
    <cellStyle name="40% - Accent6 4 3 3 2" xfId="11746" hidden="1"/>
    <cellStyle name="40% - Accent6 4 3 3 2" xfId="12084" hidden="1"/>
    <cellStyle name="40% - Accent6 4 3 3 2" xfId="12421" hidden="1"/>
    <cellStyle name="40% - Accent6 4 3 3 2" xfId="12986" hidden="1"/>
    <cellStyle name="40% - Accent6 4 3 3 2" xfId="13101" hidden="1"/>
    <cellStyle name="40% - Accent6 4 3 3 2" xfId="13824" hidden="1"/>
    <cellStyle name="40% - Accent6 4 3 3 2" xfId="13997" hidden="1"/>
    <cellStyle name="40% - Accent6 4 3 3 2" xfId="14390" hidden="1"/>
    <cellStyle name="40% - Accent6 4 3 3 2" xfId="14538" hidden="1"/>
    <cellStyle name="40% - Accent6 4 3 3 2" xfId="14876" hidden="1"/>
    <cellStyle name="40% - Accent6 4 3 3 2" xfId="15213" hidden="1"/>
    <cellStyle name="40% - Accent6 4 3 3 2" xfId="9133" hidden="1"/>
    <cellStyle name="40% - Accent6 4 3 3 2" xfId="8589" hidden="1"/>
    <cellStyle name="40% - Accent6 4 3 3 2" xfId="5961" hidden="1"/>
    <cellStyle name="40% - Accent6 4 3 3 2" xfId="5170" hidden="1"/>
    <cellStyle name="40% - Accent6 4 3 3 2" xfId="3886" hidden="1"/>
    <cellStyle name="40% - Accent6 4 3 3 2" xfId="3207" hidden="1"/>
    <cellStyle name="40% - Accent6 4 3 3 2" xfId="1764" hidden="1"/>
    <cellStyle name="40% - Accent6 4 3 3 2" xfId="367" hidden="1"/>
    <cellStyle name="40% - Accent6 4 3 3 2" xfId="16535" hidden="1"/>
    <cellStyle name="40% - Accent6 4 3 3 2" xfId="16650" hidden="1"/>
    <cellStyle name="40% - Accent6 4 3 3 2" xfId="17373" hidden="1"/>
    <cellStyle name="40% - Accent6 4 3 3 2" xfId="17546" hidden="1"/>
    <cellStyle name="40% - Accent6 4 3 3 2" xfId="17939" hidden="1"/>
    <cellStyle name="40% - Accent6 4 3 3 2" xfId="18087" hidden="1"/>
    <cellStyle name="40% - Accent6 4 3 3 2" xfId="18425" hidden="1"/>
    <cellStyle name="40% - Accent6 4 3 3 2" xfId="18762" hidden="1"/>
    <cellStyle name="40% - Accent6 4 3 3 2" xfId="19327" hidden="1"/>
    <cellStyle name="40% - Accent6 4 3 3 2" xfId="19442" hidden="1"/>
    <cellStyle name="40% - Accent6 4 3 3 2" xfId="20165" hidden="1"/>
    <cellStyle name="40% - Accent6 4 3 3 2" xfId="20338" hidden="1"/>
    <cellStyle name="40% - Accent6 4 3 3 2" xfId="20731" hidden="1"/>
    <cellStyle name="40% - Accent6 4 3 3 2" xfId="20879" hidden="1"/>
    <cellStyle name="40% - Accent6 4 3 3 2" xfId="21217" hidden="1"/>
    <cellStyle name="40% - Accent6 4 3 3 2" xfId="21554" hidden="1"/>
    <cellStyle name="40% - Accent6 4 3 3 2" xfId="15641" hidden="1"/>
    <cellStyle name="40% - Accent6 4 3 3 2" xfId="9686" hidden="1"/>
    <cellStyle name="40% - Accent6 4 3 3 2" xfId="6534" hidden="1"/>
    <cellStyle name="40% - Accent6 4 3 3 2" xfId="5686" hidden="1"/>
    <cellStyle name="40% - Accent6 4 3 3 2" xfId="4156" hidden="1"/>
    <cellStyle name="40% - Accent6 4 3 3 2" xfId="3434" hidden="1"/>
    <cellStyle name="40% - Accent6 4 3 3 2" xfId="1937" hidden="1"/>
    <cellStyle name="40% - Accent6 4 3 3 2" xfId="501" hidden="1"/>
    <cellStyle name="40% - Accent6 4 3 3 2" xfId="22686" hidden="1"/>
    <cellStyle name="40% - Accent6 4 3 3 2" xfId="22801" hidden="1"/>
    <cellStyle name="40% - Accent6 4 3 3 2" xfId="23524" hidden="1"/>
    <cellStyle name="40% - Accent6 4 3 3 2" xfId="23697" hidden="1"/>
    <cellStyle name="40% - Accent6 4 3 3 2" xfId="24090" hidden="1"/>
    <cellStyle name="40% - Accent6 4 3 3 2" xfId="24238" hidden="1"/>
    <cellStyle name="40% - Accent6 4 3 3 2" xfId="24576" hidden="1"/>
    <cellStyle name="40% - Accent6 4 3 3 2" xfId="24913" hidden="1"/>
    <cellStyle name="40% - Accent6 4 3 3 2" xfId="25478" hidden="1"/>
    <cellStyle name="40% - Accent6 4 3 3 2" xfId="25593" hidden="1"/>
    <cellStyle name="40% - Accent6 4 3 3 2" xfId="26316" hidden="1"/>
    <cellStyle name="40% - Accent6 4 3 3 2" xfId="26489" hidden="1"/>
    <cellStyle name="40% - Accent6 4 3 3 2" xfId="26882" hidden="1"/>
    <cellStyle name="40% - Accent6 4 3 3 2" xfId="27030" hidden="1"/>
    <cellStyle name="40% - Accent6 4 3 3 2" xfId="27368" hidden="1"/>
    <cellStyle name="40% - Accent6 4 3 3 2" xfId="27705" hidden="1"/>
    <cellStyle name="40% - Accent6 4 3 3 2" xfId="21897" hidden="1"/>
    <cellStyle name="40% - Accent6 4 3 3 2" xfId="16067" hidden="1"/>
    <cellStyle name="40% - Accent6 4 3 3 2" xfId="7238" hidden="1"/>
    <cellStyle name="40% - Accent6 4 3 3 2" xfId="6196" hidden="1"/>
    <cellStyle name="40% - Accent6 4 3 3 2" xfId="4395" hidden="1"/>
    <cellStyle name="40% - Accent6 4 3 3 2" xfId="3690" hidden="1"/>
    <cellStyle name="40% - Accent6 4 3 3 2" xfId="2124" hidden="1"/>
    <cellStyle name="40% - Accent6 4 3 3 2" xfId="613" hidden="1"/>
    <cellStyle name="40% - Accent6 4 3 3 2" xfId="28405" hidden="1"/>
    <cellStyle name="40% - Accent6 4 3 3 2" xfId="28520" hidden="1"/>
    <cellStyle name="40% - Accent6 4 3 3 2" xfId="29243" hidden="1"/>
    <cellStyle name="40% - Accent6 4 3 3 2" xfId="29416" hidden="1"/>
    <cellStyle name="40% - Accent6 4 3 3 2" xfId="29809" hidden="1"/>
    <cellStyle name="40% - Accent6 4 3 3 2" xfId="29957" hidden="1"/>
    <cellStyle name="40% - Accent6 4 3 3 2" xfId="30295" hidden="1"/>
    <cellStyle name="40% - Accent6 4 3 3 2" xfId="30632" hidden="1"/>
    <cellStyle name="40% - Accent6 4 3 3 2" xfId="31197" hidden="1"/>
    <cellStyle name="40% - Accent6 4 3 3 2" xfId="31312" hidden="1"/>
    <cellStyle name="40% - Accent6 4 3 3 2" xfId="32035" hidden="1"/>
    <cellStyle name="40% - Accent6 4 3 3 2" xfId="32208" hidden="1"/>
    <cellStyle name="40% - Accent6 4 3 3 2" xfId="32601" hidden="1"/>
    <cellStyle name="40% - Accent6 4 3 3 2" xfId="32749" hidden="1"/>
    <cellStyle name="40% - Accent6 4 3 3 2" xfId="33087" hidden="1"/>
    <cellStyle name="40% - Accent6 4 3 3 2" xfId="33424" hidden="1"/>
    <cellStyle name="40% - Accent6 5 2" xfId="768" hidden="1"/>
    <cellStyle name="40% - Accent6 5 2" xfId="976" hidden="1"/>
    <cellStyle name="40% - Accent6 5 2" xfId="3540" hidden="1"/>
    <cellStyle name="40% - Accent6 5 2" xfId="4055" hidden="1"/>
    <cellStyle name="40% - Accent6 5 2" xfId="5374" hidden="1"/>
    <cellStyle name="40% - Accent6 5 2" xfId="6071" hidden="1"/>
    <cellStyle name="40% - Accent6 5 2" xfId="7088" hidden="1"/>
    <cellStyle name="40% - Accent6 5 2" xfId="8292" hidden="1"/>
    <cellStyle name="40% - Accent6 5 2" xfId="10149" hidden="1"/>
    <cellStyle name="40% - Accent6 5 2" xfId="10264" hidden="1"/>
    <cellStyle name="40% - Accent6 5 2" xfId="10987" hidden="1"/>
    <cellStyle name="40% - Accent6 5 2" xfId="11160" hidden="1"/>
    <cellStyle name="40% - Accent6 5 2" xfId="11553" hidden="1"/>
    <cellStyle name="40% - Accent6 5 2" xfId="11701" hidden="1"/>
    <cellStyle name="40% - Accent6 5 2" xfId="12039" hidden="1"/>
    <cellStyle name="40% - Accent6 5 2" xfId="12376" hidden="1"/>
    <cellStyle name="40% - Accent6 5 2" xfId="12941" hidden="1"/>
    <cellStyle name="40% - Accent6 5 2" xfId="13056" hidden="1"/>
    <cellStyle name="40% - Accent6 5 2" xfId="13779" hidden="1"/>
    <cellStyle name="40% - Accent6 5 2" xfId="13952" hidden="1"/>
    <cellStyle name="40% - Accent6 5 2" xfId="14345" hidden="1"/>
    <cellStyle name="40% - Accent6 5 2" xfId="14493" hidden="1"/>
    <cellStyle name="40% - Accent6 5 2" xfId="14831" hidden="1"/>
    <cellStyle name="40% - Accent6 5 2" xfId="15168" hidden="1"/>
    <cellStyle name="40% - Accent6 5 2" xfId="9179" hidden="1"/>
    <cellStyle name="40% - Accent6 5 2" xfId="8634" hidden="1"/>
    <cellStyle name="40% - Accent6 5 2" xfId="6006" hidden="1"/>
    <cellStyle name="40% - Accent6 5 2" xfId="5215" hidden="1"/>
    <cellStyle name="40% - Accent6 5 2" xfId="3933" hidden="1"/>
    <cellStyle name="40% - Accent6 5 2" xfId="3252" hidden="1"/>
    <cellStyle name="40% - Accent6 5 2" xfId="1816" hidden="1"/>
    <cellStyle name="40% - Accent6 5 2" xfId="441" hidden="1"/>
    <cellStyle name="40% - Accent6 5 2" xfId="16490" hidden="1"/>
    <cellStyle name="40% - Accent6 5 2" xfId="16605" hidden="1"/>
    <cellStyle name="40% - Accent6 5 2" xfId="17328" hidden="1"/>
    <cellStyle name="40% - Accent6 5 2" xfId="17501" hidden="1"/>
    <cellStyle name="40% - Accent6 5 2" xfId="17894" hidden="1"/>
    <cellStyle name="40% - Accent6 5 2" xfId="18042" hidden="1"/>
    <cellStyle name="40% - Accent6 5 2" xfId="18380" hidden="1"/>
    <cellStyle name="40% - Accent6 5 2" xfId="18717" hidden="1"/>
    <cellStyle name="40% - Accent6 5 2" xfId="19282" hidden="1"/>
    <cellStyle name="40% - Accent6 5 2" xfId="19397" hidden="1"/>
    <cellStyle name="40% - Accent6 5 2" xfId="20120" hidden="1"/>
    <cellStyle name="40% - Accent6 5 2" xfId="20293" hidden="1"/>
    <cellStyle name="40% - Accent6 5 2" xfId="20686" hidden="1"/>
    <cellStyle name="40% - Accent6 5 2" xfId="20834" hidden="1"/>
    <cellStyle name="40% - Accent6 5 2" xfId="21172" hidden="1"/>
    <cellStyle name="40% - Accent6 5 2" xfId="21509" hidden="1"/>
    <cellStyle name="40% - Accent6 5 2" xfId="15687" hidden="1"/>
    <cellStyle name="40% - Accent6 5 2" xfId="9731" hidden="1"/>
    <cellStyle name="40% - Accent6 5 2" xfId="6590" hidden="1"/>
    <cellStyle name="40% - Accent6 5 2" xfId="5744" hidden="1"/>
    <cellStyle name="40% - Accent6 5 2" xfId="4201" hidden="1"/>
    <cellStyle name="40% - Accent6 5 2" xfId="3482" hidden="1"/>
    <cellStyle name="40% - Accent6 5 2" xfId="1992" hidden="1"/>
    <cellStyle name="40% - Accent6 5 2" xfId="553" hidden="1"/>
    <cellStyle name="40% - Accent6 5 2" xfId="22641" hidden="1"/>
    <cellStyle name="40% - Accent6 5 2" xfId="22756" hidden="1"/>
    <cellStyle name="40% - Accent6 5 2" xfId="23479" hidden="1"/>
    <cellStyle name="40% - Accent6 5 2" xfId="23652" hidden="1"/>
    <cellStyle name="40% - Accent6 5 2" xfId="24045" hidden="1"/>
    <cellStyle name="40% - Accent6 5 2" xfId="24193" hidden="1"/>
    <cellStyle name="40% - Accent6 5 2" xfId="24531" hidden="1"/>
    <cellStyle name="40% - Accent6 5 2" xfId="24868" hidden="1"/>
    <cellStyle name="40% - Accent6 5 2" xfId="25433" hidden="1"/>
    <cellStyle name="40% - Accent6 5 2" xfId="25548" hidden="1"/>
    <cellStyle name="40% - Accent6 5 2" xfId="26271" hidden="1"/>
    <cellStyle name="40% - Accent6 5 2" xfId="26444" hidden="1"/>
    <cellStyle name="40% - Accent6 5 2" xfId="26837" hidden="1"/>
    <cellStyle name="40% - Accent6 5 2" xfId="26985" hidden="1"/>
    <cellStyle name="40% - Accent6 5 2" xfId="27323" hidden="1"/>
    <cellStyle name="40% - Accent6 5 2" xfId="27660" hidden="1"/>
    <cellStyle name="40% - Accent6 5 2" xfId="21943" hidden="1"/>
    <cellStyle name="40% - Accent6 5 2" xfId="16112" hidden="1"/>
    <cellStyle name="40% - Accent6 5 2" xfId="7293" hidden="1"/>
    <cellStyle name="40% - Accent6 5 2" xfId="6253" hidden="1"/>
    <cellStyle name="40% - Accent6 5 2" xfId="4495" hidden="1"/>
    <cellStyle name="40% - Accent6 5 2" xfId="3738" hidden="1"/>
    <cellStyle name="40% - Accent6 5 2" xfId="2173" hidden="1"/>
    <cellStyle name="40% - Accent6 5 2" xfId="678" hidden="1"/>
    <cellStyle name="40% - Accent6 5 2" xfId="28360" hidden="1"/>
    <cellStyle name="40% - Accent6 5 2" xfId="28475" hidden="1"/>
    <cellStyle name="40% - Accent6 5 2" xfId="29198" hidden="1"/>
    <cellStyle name="40% - Accent6 5 2" xfId="29371" hidden="1"/>
    <cellStyle name="40% - Accent6 5 2" xfId="29764" hidden="1"/>
    <cellStyle name="40% - Accent6 5 2" xfId="29912" hidden="1"/>
    <cellStyle name="40% - Accent6 5 2" xfId="30250" hidden="1"/>
    <cellStyle name="40% - Accent6 5 2" xfId="30587" hidden="1"/>
    <cellStyle name="40% - Accent6 5 2" xfId="31152" hidden="1"/>
    <cellStyle name="40% - Accent6 5 2" xfId="31267" hidden="1"/>
    <cellStyle name="40% - Accent6 5 2" xfId="31990" hidden="1"/>
    <cellStyle name="40% - Accent6 5 2" xfId="32163" hidden="1"/>
    <cellStyle name="40% - Accent6 5 2" xfId="32556" hidden="1"/>
    <cellStyle name="40% - Accent6 5 2" xfId="32704" hidden="1"/>
    <cellStyle name="40% - Accent6 5 2" xfId="33042" hidden="1"/>
    <cellStyle name="40% - Accent6 5 2" xfId="33379" hidden="1"/>
    <cellStyle name="40% - Accent6 7" xfId="136" hidden="1"/>
    <cellStyle name="40% - Accent6 7" xfId="220" hidden="1"/>
    <cellStyle name="40% - Accent6 7" xfId="301" hidden="1"/>
    <cellStyle name="40% - Accent6 7" xfId="545" hidden="1"/>
    <cellStyle name="40% - Accent6 7" xfId="2363" hidden="1"/>
    <cellStyle name="40% - Accent6 7" xfId="2494" hidden="1"/>
    <cellStyle name="40% - Accent6 7" xfId="2652" hidden="1"/>
    <cellStyle name="40% - Accent6 7" xfId="1680" hidden="1"/>
    <cellStyle name="40% - Accent6 7" xfId="2897" hidden="1"/>
    <cellStyle name="40% - Accent6 7" xfId="2221" hidden="1"/>
    <cellStyle name="40% - Accent6 7" xfId="1606" hidden="1"/>
    <cellStyle name="40% - Accent6 7" xfId="4525" hidden="1"/>
    <cellStyle name="40% - Accent6 7" xfId="4678" hidden="1"/>
    <cellStyle name="40% - Accent6 7" xfId="2228" hidden="1"/>
    <cellStyle name="40% - Accent6 7" xfId="4872" hidden="1"/>
    <cellStyle name="40% - Accent6 7" xfId="2074" hidden="1"/>
    <cellStyle name="40% - Accent6 7" xfId="2290" hidden="1"/>
    <cellStyle name="40% - Accent6 7" xfId="6418" hidden="1"/>
    <cellStyle name="40% - Accent6 7" xfId="6610" hidden="1"/>
    <cellStyle name="40% - Accent6 7" xfId="3827" hidden="1"/>
    <cellStyle name="40% - Accent6 7" xfId="7613" hidden="1"/>
    <cellStyle name="40% - Accent6 7" xfId="7785" hidden="1"/>
    <cellStyle name="40% - Accent6 7" xfId="5924" hidden="1"/>
    <cellStyle name="40% - Accent6 7" xfId="8869" hidden="1"/>
    <cellStyle name="40% - Accent6 7" xfId="9827" hidden="1"/>
    <cellStyle name="40% - Accent6 7" xfId="9905" hidden="1"/>
    <cellStyle name="40% - Accent6 7" xfId="9983" hidden="1"/>
    <cellStyle name="40% - Accent6 7" xfId="10061" hidden="1"/>
    <cellStyle name="40% - Accent6 7" xfId="10643" hidden="1"/>
    <cellStyle name="40% - Accent6 7" xfId="10722" hidden="1"/>
    <cellStyle name="40% - Accent6 7" xfId="10801" hidden="1"/>
    <cellStyle name="40% - Accent6 7" xfId="10373" hidden="1"/>
    <cellStyle name="40% - Accent6 7" xfId="10890" hidden="1"/>
    <cellStyle name="40% - Accent6 7" xfId="10571" hidden="1"/>
    <cellStyle name="40% - Accent6 7" xfId="10357" hidden="1"/>
    <cellStyle name="40% - Accent6 7" xfId="11317" hidden="1"/>
    <cellStyle name="40% - Accent6 7" xfId="11395" hidden="1"/>
    <cellStyle name="40% - Accent6 7" xfId="10577" hidden="1"/>
    <cellStyle name="40% - Accent6 7" xfId="11478" hidden="1"/>
    <cellStyle name="40% - Accent6 7" xfId="10536" hidden="1"/>
    <cellStyle name="40% - Accent6 7" xfId="10626" hidden="1"/>
    <cellStyle name="40% - Accent6 7" xfId="11849" hidden="1"/>
    <cellStyle name="40% - Accent6 7" xfId="11927" hidden="1"/>
    <cellStyle name="40% - Accent6 7" xfId="11098" hidden="1"/>
    <cellStyle name="40% - Accent6 7" xfId="12186" hidden="1"/>
    <cellStyle name="40% - Accent6 7" xfId="12264" hidden="1"/>
    <cellStyle name="40% - Accent6 7" xfId="11667" hidden="1"/>
    <cellStyle name="40% - Accent6 7" xfId="12523" hidden="1"/>
    <cellStyle name="40% - Accent6 7" xfId="12619" hidden="1"/>
    <cellStyle name="40% - Accent6 7" xfId="12697" hidden="1"/>
    <cellStyle name="40% - Accent6 7" xfId="12775" hidden="1"/>
    <cellStyle name="40% - Accent6 7" xfId="12853" hidden="1"/>
    <cellStyle name="40% - Accent6 7" xfId="13435" hidden="1"/>
    <cellStyle name="40% - Accent6 7" xfId="13514" hidden="1"/>
    <cellStyle name="40% - Accent6 7" xfId="13593" hidden="1"/>
    <cellStyle name="40% - Accent6 7" xfId="13165" hidden="1"/>
    <cellStyle name="40% - Accent6 7" xfId="13682" hidden="1"/>
    <cellStyle name="40% - Accent6 7" xfId="13363" hidden="1"/>
    <cellStyle name="40% - Accent6 7" xfId="13149" hidden="1"/>
    <cellStyle name="40% - Accent6 7" xfId="14109" hidden="1"/>
    <cellStyle name="40% - Accent6 7" xfId="14187" hidden="1"/>
    <cellStyle name="40% - Accent6 7" xfId="13369" hidden="1"/>
    <cellStyle name="40% - Accent6 7" xfId="14270" hidden="1"/>
    <cellStyle name="40% - Accent6 7" xfId="13328" hidden="1"/>
    <cellStyle name="40% - Accent6 7" xfId="13418" hidden="1"/>
    <cellStyle name="40% - Accent6 7" xfId="14641" hidden="1"/>
    <cellStyle name="40% - Accent6 7" xfId="14719" hidden="1"/>
    <cellStyle name="40% - Accent6 7" xfId="13890" hidden="1"/>
    <cellStyle name="40% - Accent6 7" xfId="14978" hidden="1"/>
    <cellStyle name="40% - Accent6 7" xfId="15056" hidden="1"/>
    <cellStyle name="40% - Accent6 7" xfId="14459" hidden="1"/>
    <cellStyle name="40% - Accent6 7" xfId="15315" hidden="1"/>
    <cellStyle name="40% - Accent6 7" xfId="9634" hidden="1"/>
    <cellStyle name="40% - Accent6 7" xfId="9533" hidden="1"/>
    <cellStyle name="40% - Accent6 7" xfId="9414" hidden="1"/>
    <cellStyle name="40% - Accent6 7" xfId="9305" hidden="1"/>
    <cellStyle name="40% - Accent6 7" xfId="7039" hidden="1"/>
    <cellStyle name="40% - Accent6 7" xfId="6943" hidden="1"/>
    <cellStyle name="40% - Accent6 7" xfId="6853" hidden="1"/>
    <cellStyle name="40% - Accent6 7" xfId="8069" hidden="1"/>
    <cellStyle name="40% - Accent6 7" xfId="6704" hidden="1"/>
    <cellStyle name="40% - Accent6 7" xfId="7355" hidden="1"/>
    <cellStyle name="40% - Accent6 7" xfId="8126" hidden="1"/>
    <cellStyle name="40% - Accent6 7" xfId="4787" hidden="1"/>
    <cellStyle name="40% - Accent6 7" xfId="4563" hidden="1"/>
    <cellStyle name="40% - Accent6 7" xfId="7345" hidden="1"/>
    <cellStyle name="40% - Accent6 7" xfId="4288" hidden="1"/>
    <cellStyle name="40% - Accent6 7" xfId="7424" hidden="1"/>
    <cellStyle name="40% - Accent6 7" xfId="7177" hidden="1"/>
    <cellStyle name="40% - Accent6 7" xfId="2616" hidden="1"/>
    <cellStyle name="40% - Accent6 7" xfId="2405" hidden="1"/>
    <cellStyle name="40% - Accent6 7" xfId="5642" hidden="1"/>
    <cellStyle name="40% - Accent6 7" xfId="1277" hidden="1"/>
    <cellStyle name="40% - Accent6 7" xfId="1102" hidden="1"/>
    <cellStyle name="40% - Accent6 7" xfId="3378" hidden="1"/>
    <cellStyle name="40% - Accent6 7" xfId="15473" hidden="1"/>
    <cellStyle name="40% - Accent6 7" xfId="16168" hidden="1"/>
    <cellStyle name="40% - Accent6 7" xfId="16246" hidden="1"/>
    <cellStyle name="40% - Accent6 7" xfId="16324" hidden="1"/>
    <cellStyle name="40% - Accent6 7" xfId="16402" hidden="1"/>
    <cellStyle name="40% - Accent6 7" xfId="16984" hidden="1"/>
    <cellStyle name="40% - Accent6 7" xfId="17063" hidden="1"/>
    <cellStyle name="40% - Accent6 7" xfId="17142" hidden="1"/>
    <cellStyle name="40% - Accent6 7" xfId="16714" hidden="1"/>
    <cellStyle name="40% - Accent6 7" xfId="17231" hidden="1"/>
    <cellStyle name="40% - Accent6 7" xfId="16912" hidden="1"/>
    <cellStyle name="40% - Accent6 7" xfId="16698" hidden="1"/>
    <cellStyle name="40% - Accent6 7" xfId="17658" hidden="1"/>
    <cellStyle name="40% - Accent6 7" xfId="17736" hidden="1"/>
    <cellStyle name="40% - Accent6 7" xfId="16918" hidden="1"/>
    <cellStyle name="40% - Accent6 7" xfId="17819" hidden="1"/>
    <cellStyle name="40% - Accent6 7" xfId="16877" hidden="1"/>
    <cellStyle name="40% - Accent6 7" xfId="16967" hidden="1"/>
    <cellStyle name="40% - Accent6 7" xfId="18190" hidden="1"/>
    <cellStyle name="40% - Accent6 7" xfId="18268" hidden="1"/>
    <cellStyle name="40% - Accent6 7" xfId="17439" hidden="1"/>
    <cellStyle name="40% - Accent6 7" xfId="18527" hidden="1"/>
    <cellStyle name="40% - Accent6 7" xfId="18605" hidden="1"/>
    <cellStyle name="40% - Accent6 7" xfId="18008" hidden="1"/>
    <cellStyle name="40% - Accent6 7" xfId="18864" hidden="1"/>
    <cellStyle name="40% - Accent6 7" xfId="18960" hidden="1"/>
    <cellStyle name="40% - Accent6 7" xfId="19038" hidden="1"/>
    <cellStyle name="40% - Accent6 7" xfId="19116" hidden="1"/>
    <cellStyle name="40% - Accent6 7" xfId="19194" hidden="1"/>
    <cellStyle name="40% - Accent6 7" xfId="19776" hidden="1"/>
    <cellStyle name="40% - Accent6 7" xfId="19855" hidden="1"/>
    <cellStyle name="40% - Accent6 7" xfId="19934" hidden="1"/>
    <cellStyle name="40% - Accent6 7" xfId="19506" hidden="1"/>
    <cellStyle name="40% - Accent6 7" xfId="20023" hidden="1"/>
    <cellStyle name="40% - Accent6 7" xfId="19704" hidden="1"/>
    <cellStyle name="40% - Accent6 7" xfId="19490" hidden="1"/>
    <cellStyle name="40% - Accent6 7" xfId="20450" hidden="1"/>
    <cellStyle name="40% - Accent6 7" xfId="20528" hidden="1"/>
    <cellStyle name="40% - Accent6 7" xfId="19710" hidden="1"/>
    <cellStyle name="40% - Accent6 7" xfId="20611" hidden="1"/>
    <cellStyle name="40% - Accent6 7" xfId="19669" hidden="1"/>
    <cellStyle name="40% - Accent6 7" xfId="19759" hidden="1"/>
    <cellStyle name="40% - Accent6 7" xfId="20982" hidden="1"/>
    <cellStyle name="40% - Accent6 7" xfId="21060" hidden="1"/>
    <cellStyle name="40% - Accent6 7" xfId="20231" hidden="1"/>
    <cellStyle name="40% - Accent6 7" xfId="21319" hidden="1"/>
    <cellStyle name="40% - Accent6 7" xfId="21397" hidden="1"/>
    <cellStyle name="40% - Accent6 7" xfId="20800" hidden="1"/>
    <cellStyle name="40% - Accent6 7" xfId="21656" hidden="1"/>
    <cellStyle name="40% - Accent6 7" xfId="16023" hidden="1"/>
    <cellStyle name="40% - Accent6 7" xfId="15945" hidden="1"/>
    <cellStyle name="40% - Accent6 7" xfId="15866" hidden="1"/>
    <cellStyle name="40% - Accent6 7" xfId="15783" hidden="1"/>
    <cellStyle name="40% - Accent6 7" xfId="8039" hidden="1"/>
    <cellStyle name="40% - Accent6 7" xfId="7880" hidden="1"/>
    <cellStyle name="40% - Accent6 7" xfId="7616" hidden="1"/>
    <cellStyle name="40% - Accent6 7" xfId="9015" hidden="1"/>
    <cellStyle name="40% - Accent6 7" xfId="7376" hidden="1"/>
    <cellStyle name="40% - Accent6 7" xfId="8205" hidden="1"/>
    <cellStyle name="40% - Accent6 7" xfId="9053" hidden="1"/>
    <cellStyle name="40% - Accent6 7" xfId="5138" hidden="1"/>
    <cellStyle name="40% - Accent6 7" xfId="5036" hidden="1"/>
    <cellStyle name="40% - Accent6 7" xfId="8194" hidden="1"/>
    <cellStyle name="40% - Accent6 7" xfId="4909" hidden="1"/>
    <cellStyle name="40% - Accent6 7" xfId="8374" hidden="1"/>
    <cellStyle name="40% - Accent6 7" xfId="8103" hidden="1"/>
    <cellStyle name="40% - Accent6 7" xfId="2954" hidden="1"/>
    <cellStyle name="40% - Accent6 7" xfId="2827" hidden="1"/>
    <cellStyle name="40% - Accent6 7" xfId="6150" hidden="1"/>
    <cellStyle name="40% - Accent6 7" xfId="1442" hidden="1"/>
    <cellStyle name="40% - Accent6 7" xfId="1231" hidden="1"/>
    <cellStyle name="40% - Accent6 7" xfId="3631" hidden="1"/>
    <cellStyle name="40% - Accent6 7" xfId="21793" hidden="1"/>
    <cellStyle name="40% - Accent6 7" xfId="22319" hidden="1"/>
    <cellStyle name="40% - Accent6 7" xfId="22397" hidden="1"/>
    <cellStyle name="40% - Accent6 7" xfId="22475" hidden="1"/>
    <cellStyle name="40% - Accent6 7" xfId="22553" hidden="1"/>
    <cellStyle name="40% - Accent6 7" xfId="23135" hidden="1"/>
    <cellStyle name="40% - Accent6 7" xfId="23214" hidden="1"/>
    <cellStyle name="40% - Accent6 7" xfId="23293" hidden="1"/>
    <cellStyle name="40% - Accent6 7" xfId="22865" hidden="1"/>
    <cellStyle name="40% - Accent6 7" xfId="23382" hidden="1"/>
    <cellStyle name="40% - Accent6 7" xfId="23063" hidden="1"/>
    <cellStyle name="40% - Accent6 7" xfId="22849" hidden="1"/>
    <cellStyle name="40% - Accent6 7" xfId="23809" hidden="1"/>
    <cellStyle name="40% - Accent6 7" xfId="23887" hidden="1"/>
    <cellStyle name="40% - Accent6 7" xfId="23069" hidden="1"/>
    <cellStyle name="40% - Accent6 7" xfId="23970" hidden="1"/>
    <cellStyle name="40% - Accent6 7" xfId="23028" hidden="1"/>
    <cellStyle name="40% - Accent6 7" xfId="23118" hidden="1"/>
    <cellStyle name="40% - Accent6 7" xfId="24341" hidden="1"/>
    <cellStyle name="40% - Accent6 7" xfId="24419" hidden="1"/>
    <cellStyle name="40% - Accent6 7" xfId="23590" hidden="1"/>
    <cellStyle name="40% - Accent6 7" xfId="24678" hidden="1"/>
    <cellStyle name="40% - Accent6 7" xfId="24756" hidden="1"/>
    <cellStyle name="40% - Accent6 7" xfId="24159" hidden="1"/>
    <cellStyle name="40% - Accent6 7" xfId="25015" hidden="1"/>
    <cellStyle name="40% - Accent6 7" xfId="25111" hidden="1"/>
    <cellStyle name="40% - Accent6 7" xfId="25189" hidden="1"/>
    <cellStyle name="40% - Accent6 7" xfId="25267" hidden="1"/>
    <cellStyle name="40% - Accent6 7" xfId="25345" hidden="1"/>
    <cellStyle name="40% - Accent6 7" xfId="25927" hidden="1"/>
    <cellStyle name="40% - Accent6 7" xfId="26006" hidden="1"/>
    <cellStyle name="40% - Accent6 7" xfId="26085" hidden="1"/>
    <cellStyle name="40% - Accent6 7" xfId="25657" hidden="1"/>
    <cellStyle name="40% - Accent6 7" xfId="26174" hidden="1"/>
    <cellStyle name="40% - Accent6 7" xfId="25855" hidden="1"/>
    <cellStyle name="40% - Accent6 7" xfId="25641" hidden="1"/>
    <cellStyle name="40% - Accent6 7" xfId="26601" hidden="1"/>
    <cellStyle name="40% - Accent6 7" xfId="26679" hidden="1"/>
    <cellStyle name="40% - Accent6 7" xfId="25861" hidden="1"/>
    <cellStyle name="40% - Accent6 7" xfId="26762" hidden="1"/>
    <cellStyle name="40% - Accent6 7" xfId="25820" hidden="1"/>
    <cellStyle name="40% - Accent6 7" xfId="25910" hidden="1"/>
    <cellStyle name="40% - Accent6 7" xfId="27133" hidden="1"/>
    <cellStyle name="40% - Accent6 7" xfId="27211" hidden="1"/>
    <cellStyle name="40% - Accent6 7" xfId="26382" hidden="1"/>
    <cellStyle name="40% - Accent6 7" xfId="27470" hidden="1"/>
    <cellStyle name="40% - Accent6 7" xfId="27548" hidden="1"/>
    <cellStyle name="40% - Accent6 7" xfId="26951" hidden="1"/>
    <cellStyle name="40% - Accent6 7" xfId="27807" hidden="1"/>
    <cellStyle name="40% - Accent6 7" xfId="22276" hidden="1"/>
    <cellStyle name="40% - Accent6 7" xfId="22198" hidden="1"/>
    <cellStyle name="40% - Accent6 7" xfId="22119" hidden="1"/>
    <cellStyle name="40% - Accent6 7" xfId="22036" hidden="1"/>
    <cellStyle name="40% - Accent6 7" xfId="8995" hidden="1"/>
    <cellStyle name="40% - Accent6 7" xfId="8733" hidden="1"/>
    <cellStyle name="40% - Accent6 7" xfId="8494" hidden="1"/>
    <cellStyle name="40% - Accent6 7" xfId="15570" hidden="1"/>
    <cellStyle name="40% - Accent6 7" xfId="8229" hidden="1"/>
    <cellStyle name="40% - Accent6 7" xfId="9261" hidden="1"/>
    <cellStyle name="40% - Accent6 7" xfId="15592" hidden="1"/>
    <cellStyle name="40% - Accent6 7" xfId="5649" hidden="1"/>
    <cellStyle name="40% - Accent6 7" xfId="5546" hidden="1"/>
    <cellStyle name="40% - Accent6 7" xfId="9237" hidden="1"/>
    <cellStyle name="40% - Accent6 7" xfId="5342" hidden="1"/>
    <cellStyle name="40% - Accent6 7" xfId="9402" hidden="1"/>
    <cellStyle name="40% - Accent6 7" xfId="9036" hidden="1"/>
    <cellStyle name="40% - Accent6 7" xfId="3311" hidden="1"/>
    <cellStyle name="40% - Accent6 7" xfId="3110" hidden="1"/>
    <cellStyle name="40% - Accent6 7" xfId="6714" hidden="1"/>
    <cellStyle name="40% - Accent6 7" xfId="1597" hidden="1"/>
    <cellStyle name="40% - Accent6 7" xfId="1425" hidden="1"/>
    <cellStyle name="40% - Accent6 7" xfId="3812" hidden="1"/>
    <cellStyle name="40% - Accent6 7" xfId="27942" hidden="1"/>
    <cellStyle name="40% - Accent6 7" xfId="28038" hidden="1"/>
    <cellStyle name="40% - Accent6 7" xfId="28116" hidden="1"/>
    <cellStyle name="40% - Accent6 7" xfId="28194" hidden="1"/>
    <cellStyle name="40% - Accent6 7" xfId="28272" hidden="1"/>
    <cellStyle name="40% - Accent6 7" xfId="28854" hidden="1"/>
    <cellStyle name="40% - Accent6 7" xfId="28933" hidden="1"/>
    <cellStyle name="40% - Accent6 7" xfId="29012" hidden="1"/>
    <cellStyle name="40% - Accent6 7" xfId="28584" hidden="1"/>
    <cellStyle name="40% - Accent6 7" xfId="29101" hidden="1"/>
    <cellStyle name="40% - Accent6 7" xfId="28782" hidden="1"/>
    <cellStyle name="40% - Accent6 7" xfId="28568" hidden="1"/>
    <cellStyle name="40% - Accent6 7" xfId="29528" hidden="1"/>
    <cellStyle name="40% - Accent6 7" xfId="29606" hidden="1"/>
    <cellStyle name="40% - Accent6 7" xfId="28788" hidden="1"/>
    <cellStyle name="40% - Accent6 7" xfId="29689" hidden="1"/>
    <cellStyle name="40% - Accent6 7" xfId="28747" hidden="1"/>
    <cellStyle name="40% - Accent6 7" xfId="28837" hidden="1"/>
    <cellStyle name="40% - Accent6 7" xfId="30060" hidden="1"/>
    <cellStyle name="40% - Accent6 7" xfId="30138" hidden="1"/>
    <cellStyle name="40% - Accent6 7" xfId="29309" hidden="1"/>
    <cellStyle name="40% - Accent6 7" xfId="30397" hidden="1"/>
    <cellStyle name="40% - Accent6 7" xfId="30475" hidden="1"/>
    <cellStyle name="40% - Accent6 7" xfId="29878" hidden="1"/>
    <cellStyle name="40% - Accent6 7" xfId="30734" hidden="1"/>
    <cellStyle name="40% - Accent6 7" xfId="30830" hidden="1"/>
    <cellStyle name="40% - Accent6 7" xfId="30908" hidden="1"/>
    <cellStyle name="40% - Accent6 7" xfId="30986" hidden="1"/>
    <cellStyle name="40% - Accent6 7" xfId="31064" hidden="1"/>
    <cellStyle name="40% - Accent6 7" xfId="31646" hidden="1"/>
    <cellStyle name="40% - Accent6 7" xfId="31725" hidden="1"/>
    <cellStyle name="40% - Accent6 7" xfId="31804" hidden="1"/>
    <cellStyle name="40% - Accent6 7" xfId="31376" hidden="1"/>
    <cellStyle name="40% - Accent6 7" xfId="31893" hidden="1"/>
    <cellStyle name="40% - Accent6 7" xfId="31574" hidden="1"/>
    <cellStyle name="40% - Accent6 7" xfId="31360" hidden="1"/>
    <cellStyle name="40% - Accent6 7" xfId="32320" hidden="1"/>
    <cellStyle name="40% - Accent6 7" xfId="32398" hidden="1"/>
    <cellStyle name="40% - Accent6 7" xfId="31580" hidden="1"/>
    <cellStyle name="40% - Accent6 7" xfId="32481" hidden="1"/>
    <cellStyle name="40% - Accent6 7" xfId="31539" hidden="1"/>
    <cellStyle name="40% - Accent6 7" xfId="31629" hidden="1"/>
    <cellStyle name="40% - Accent6 7" xfId="32852" hidden="1"/>
    <cellStyle name="40% - Accent6 7" xfId="32930" hidden="1"/>
    <cellStyle name="40% - Accent6 7" xfId="32101" hidden="1"/>
    <cellStyle name="40% - Accent6 7" xfId="33189" hidden="1"/>
    <cellStyle name="40% - Accent6 7" xfId="33267" hidden="1"/>
    <cellStyle name="40% - Accent6 7" xfId="32670" hidden="1"/>
    <cellStyle name="40% - Accent6 7" xfId="33526" hidden="1"/>
    <cellStyle name="40% - Accent6 8" xfId="151" hidden="1"/>
    <cellStyle name="40% - Accent6 8" xfId="121" hidden="1"/>
    <cellStyle name="40% - Accent6 8" xfId="286" hidden="1"/>
    <cellStyle name="40% - Accent6 8" xfId="460" hidden="1"/>
    <cellStyle name="40% - Accent6 8" xfId="2291" hidden="1"/>
    <cellStyle name="40% - Accent6 8" xfId="2459" hidden="1"/>
    <cellStyle name="40% - Accent6 8" xfId="2614" hidden="1"/>
    <cellStyle name="40% - Accent6 8" xfId="2209" hidden="1"/>
    <cellStyle name="40% - Accent6 8" xfId="3776" hidden="1"/>
    <cellStyle name="40% - Accent6 8" xfId="2261" hidden="1"/>
    <cellStyle name="40% - Accent6 8" xfId="4230" hidden="1"/>
    <cellStyle name="40% - Accent6 8" xfId="4441" hidden="1"/>
    <cellStyle name="40% - Accent6 8" xfId="4635" hidden="1"/>
    <cellStyle name="40% - Accent6 8" xfId="3969" hidden="1"/>
    <cellStyle name="40% - Accent6 8" xfId="5777" hidden="1"/>
    <cellStyle name="40% - Accent6 8" xfId="1750" hidden="1"/>
    <cellStyle name="40% - Accent6 8" xfId="6203" hidden="1"/>
    <cellStyle name="40% - Accent6 8" xfId="6398" hidden="1"/>
    <cellStyle name="40% - Accent6 8" xfId="6530" hidden="1"/>
    <cellStyle name="40% - Accent6 8" xfId="7190" hidden="1"/>
    <cellStyle name="40% - Accent6 8" xfId="7581" hidden="1"/>
    <cellStyle name="40% - Accent6 8" xfId="7737" hidden="1"/>
    <cellStyle name="40% - Accent6 8" xfId="8392" hidden="1"/>
    <cellStyle name="40% - Accent6 8" xfId="8821" hidden="1"/>
    <cellStyle name="40% - Accent6 8" xfId="9842" hidden="1"/>
    <cellStyle name="40% - Accent6 8" xfId="9812" hidden="1"/>
    <cellStyle name="40% - Accent6 8" xfId="9971" hidden="1"/>
    <cellStyle name="40% - Accent6 8" xfId="10049" hidden="1"/>
    <cellStyle name="40% - Accent6 8" xfId="10627" hidden="1"/>
    <cellStyle name="40% - Accent6 8" xfId="10710" hidden="1"/>
    <cellStyle name="40% - Accent6 8" xfId="10788" hidden="1"/>
    <cellStyle name="40% - Accent6 8" xfId="10563" hidden="1"/>
    <cellStyle name="40% - Accent6 8" xfId="11064" hidden="1"/>
    <cellStyle name="40% - Accent6 8" xfId="10602" hidden="1"/>
    <cellStyle name="40% - Accent6 8" xfId="11233" hidden="1"/>
    <cellStyle name="40% - Accent6 8" xfId="11305" hidden="1"/>
    <cellStyle name="40% - Accent6 8" xfId="11383" hidden="1"/>
    <cellStyle name="40% - Accent6 8" xfId="11118" hidden="1"/>
    <cellStyle name="40% - Accent6 8" xfId="11628" hidden="1"/>
    <cellStyle name="40% - Accent6 8" xfId="10412" hidden="1"/>
    <cellStyle name="40% - Accent6 8" xfId="11774" hidden="1"/>
    <cellStyle name="40% - Accent6 8" xfId="11837" hidden="1"/>
    <cellStyle name="40% - Accent6 8" xfId="11915" hidden="1"/>
    <cellStyle name="40% - Accent6 8" xfId="12112" hidden="1"/>
    <cellStyle name="40% - Accent6 8" xfId="12174" hidden="1"/>
    <cellStyle name="40% - Accent6 8" xfId="12252" hidden="1"/>
    <cellStyle name="40% - Accent6 8" xfId="12449" hidden="1"/>
    <cellStyle name="40% - Accent6 8" xfId="12511" hidden="1"/>
    <cellStyle name="40% - Accent6 8" xfId="12634" hidden="1"/>
    <cellStyle name="40% - Accent6 8" xfId="12604" hidden="1"/>
    <cellStyle name="40% - Accent6 8" xfId="12763" hidden="1"/>
    <cellStyle name="40% - Accent6 8" xfId="12841" hidden="1"/>
    <cellStyle name="40% - Accent6 8" xfId="13419" hidden="1"/>
    <cellStyle name="40% - Accent6 8" xfId="13502" hidden="1"/>
    <cellStyle name="40% - Accent6 8" xfId="13580" hidden="1"/>
    <cellStyle name="40% - Accent6 8" xfId="13355" hidden="1"/>
    <cellStyle name="40% - Accent6 8" xfId="13856" hidden="1"/>
    <cellStyle name="40% - Accent6 8" xfId="13394" hidden="1"/>
    <cellStyle name="40% - Accent6 8" xfId="14025" hidden="1"/>
    <cellStyle name="40% - Accent6 8" xfId="14097" hidden="1"/>
    <cellStyle name="40% - Accent6 8" xfId="14175" hidden="1"/>
    <cellStyle name="40% - Accent6 8" xfId="13910" hidden="1"/>
    <cellStyle name="40% - Accent6 8" xfId="14420" hidden="1"/>
    <cellStyle name="40% - Accent6 8" xfId="13204" hidden="1"/>
    <cellStyle name="40% - Accent6 8" xfId="14566" hidden="1"/>
    <cellStyle name="40% - Accent6 8" xfId="14629" hidden="1"/>
    <cellStyle name="40% - Accent6 8" xfId="14707" hidden="1"/>
    <cellStyle name="40% - Accent6 8" xfId="14904" hidden="1"/>
    <cellStyle name="40% - Accent6 8" xfId="14966" hidden="1"/>
    <cellStyle name="40% - Accent6 8" xfId="15044" hidden="1"/>
    <cellStyle name="40% - Accent6 8" xfId="15241" hidden="1"/>
    <cellStyle name="40% - Accent6 8" xfId="15303" hidden="1"/>
    <cellStyle name="40% - Accent6 8" xfId="9617" hidden="1"/>
    <cellStyle name="40% - Accent6 8" xfId="9649" hidden="1"/>
    <cellStyle name="40% - Accent6 8" xfId="9439" hidden="1"/>
    <cellStyle name="40% - Accent6 8" xfId="9321" hidden="1"/>
    <cellStyle name="40% - Accent6 8" xfId="7176" hidden="1"/>
    <cellStyle name="40% - Accent6 8" xfId="6957" hidden="1"/>
    <cellStyle name="40% - Accent6 8" xfId="6868" hidden="1"/>
    <cellStyle name="40% - Accent6 8" xfId="7364" hidden="1"/>
    <cellStyle name="40% - Accent6 8" xfId="5785" hidden="1"/>
    <cellStyle name="40% - Accent6 8" xfId="7223" hidden="1"/>
    <cellStyle name="40% - Accent6 8" xfId="5106" hidden="1"/>
    <cellStyle name="40% - Accent6 8" xfId="4807" hidden="1"/>
    <cellStyle name="40% - Accent6 8" xfId="4631" hidden="1"/>
    <cellStyle name="40% - Accent6 8" xfId="5495" hidden="1"/>
    <cellStyle name="40% - Accent6 8" xfId="3656" hidden="1"/>
    <cellStyle name="40% - Accent6 8" xfId="7947" hidden="1"/>
    <cellStyle name="40% - Accent6 8" xfId="3122" hidden="1"/>
    <cellStyle name="40% - Accent6 8" xfId="2663" hidden="1"/>
    <cellStyle name="40% - Accent6 8" xfId="2466" hidden="1"/>
    <cellStyle name="40% - Accent6 8" xfId="1711" hidden="1"/>
    <cellStyle name="40% - Accent6 8" xfId="1326" hidden="1"/>
    <cellStyle name="40% - Accent6 8" xfId="1143" hidden="1"/>
    <cellStyle name="40% - Accent6 8" xfId="295" hidden="1"/>
    <cellStyle name="40% - Accent6 8" xfId="15450" hidden="1"/>
    <cellStyle name="40% - Accent6 8" xfId="16183" hidden="1"/>
    <cellStyle name="40% - Accent6 8" xfId="16153" hidden="1"/>
    <cellStyle name="40% - Accent6 8" xfId="16312" hidden="1"/>
    <cellStyle name="40% - Accent6 8" xfId="16390" hidden="1"/>
    <cellStyle name="40% - Accent6 8" xfId="16968" hidden="1"/>
    <cellStyle name="40% - Accent6 8" xfId="17051" hidden="1"/>
    <cellStyle name="40% - Accent6 8" xfId="17129" hidden="1"/>
    <cellStyle name="40% - Accent6 8" xfId="16904" hidden="1"/>
    <cellStyle name="40% - Accent6 8" xfId="17405" hidden="1"/>
    <cellStyle name="40% - Accent6 8" xfId="16943" hidden="1"/>
    <cellStyle name="40% - Accent6 8" xfId="17574" hidden="1"/>
    <cellStyle name="40% - Accent6 8" xfId="17646" hidden="1"/>
    <cellStyle name="40% - Accent6 8" xfId="17724" hidden="1"/>
    <cellStyle name="40% - Accent6 8" xfId="17459" hidden="1"/>
    <cellStyle name="40% - Accent6 8" xfId="17969" hidden="1"/>
    <cellStyle name="40% - Accent6 8" xfId="16753" hidden="1"/>
    <cellStyle name="40% - Accent6 8" xfId="18115" hidden="1"/>
    <cellStyle name="40% - Accent6 8" xfId="18178" hidden="1"/>
    <cellStyle name="40% - Accent6 8" xfId="18256" hidden="1"/>
    <cellStyle name="40% - Accent6 8" xfId="18453" hidden="1"/>
    <cellStyle name="40% - Accent6 8" xfId="18515" hidden="1"/>
    <cellStyle name="40% - Accent6 8" xfId="18593" hidden="1"/>
    <cellStyle name="40% - Accent6 8" xfId="18790" hidden="1"/>
    <cellStyle name="40% - Accent6 8" xfId="18852" hidden="1"/>
    <cellStyle name="40% - Accent6 8" xfId="18975" hidden="1"/>
    <cellStyle name="40% - Accent6 8" xfId="18945" hidden="1"/>
    <cellStyle name="40% - Accent6 8" xfId="19104" hidden="1"/>
    <cellStyle name="40% - Accent6 8" xfId="19182" hidden="1"/>
    <cellStyle name="40% - Accent6 8" xfId="19760" hidden="1"/>
    <cellStyle name="40% - Accent6 8" xfId="19843" hidden="1"/>
    <cellStyle name="40% - Accent6 8" xfId="19921" hidden="1"/>
    <cellStyle name="40% - Accent6 8" xfId="19696" hidden="1"/>
    <cellStyle name="40% - Accent6 8" xfId="20197" hidden="1"/>
    <cellStyle name="40% - Accent6 8" xfId="19735" hidden="1"/>
    <cellStyle name="40% - Accent6 8" xfId="20366" hidden="1"/>
    <cellStyle name="40% - Accent6 8" xfId="20438" hidden="1"/>
    <cellStyle name="40% - Accent6 8" xfId="20516" hidden="1"/>
    <cellStyle name="40% - Accent6 8" xfId="20251" hidden="1"/>
    <cellStyle name="40% - Accent6 8" xfId="20761" hidden="1"/>
    <cellStyle name="40% - Accent6 8" xfId="19545" hidden="1"/>
    <cellStyle name="40% - Accent6 8" xfId="20907" hidden="1"/>
    <cellStyle name="40% - Accent6 8" xfId="20970" hidden="1"/>
    <cellStyle name="40% - Accent6 8" xfId="21048" hidden="1"/>
    <cellStyle name="40% - Accent6 8" xfId="21245" hidden="1"/>
    <cellStyle name="40% - Accent6 8" xfId="21307" hidden="1"/>
    <cellStyle name="40% - Accent6 8" xfId="21385" hidden="1"/>
    <cellStyle name="40% - Accent6 8" xfId="21582" hidden="1"/>
    <cellStyle name="40% - Accent6 8" xfId="21644" hidden="1"/>
    <cellStyle name="40% - Accent6 8" xfId="16008" hidden="1"/>
    <cellStyle name="40% - Accent6 8" xfId="16038" hidden="1"/>
    <cellStyle name="40% - Accent6 8" xfId="15879" hidden="1"/>
    <cellStyle name="40% - Accent6 8" xfId="15796" hidden="1"/>
    <cellStyle name="40% - Accent6 8" xfId="8102" hidden="1"/>
    <cellStyle name="40% - Accent6 8" xfId="7922" hidden="1"/>
    <cellStyle name="40% - Accent6 8" xfId="7682" hidden="1"/>
    <cellStyle name="40% - Accent6 8" xfId="8217" hidden="1"/>
    <cellStyle name="40% - Accent6 8" xfId="6287" hidden="1"/>
    <cellStyle name="40% - Accent6 8" xfId="8157" hidden="1"/>
    <cellStyle name="40% - Accent6 8" xfId="5611" hidden="1"/>
    <cellStyle name="40% - Accent6 8" xfId="5258" hidden="1"/>
    <cellStyle name="40% - Accent6 8" xfId="5054" hidden="1"/>
    <cellStyle name="40% - Accent6 8" xfId="5908" hidden="1"/>
    <cellStyle name="40% - Accent6 8" xfId="3850" hidden="1"/>
    <cellStyle name="40% - Accent6 8" xfId="8840" hidden="1"/>
    <cellStyle name="40% - Accent6 8" xfId="3399" hidden="1"/>
    <cellStyle name="40% - Accent6 8" xfId="2983" hidden="1"/>
    <cellStyle name="40% - Accent6 8" xfId="2851" hidden="1"/>
    <cellStyle name="40% - Accent6 8" xfId="1883" hidden="1"/>
    <cellStyle name="40% - Accent6 8" xfId="1476" hidden="1"/>
    <cellStyle name="40% - Accent6 8" xfId="1280" hidden="1"/>
    <cellStyle name="40% - Accent6 8" xfId="292" hidden="1"/>
    <cellStyle name="40% - Accent6 8" xfId="21780" hidden="1"/>
    <cellStyle name="40% - Accent6 8" xfId="22334" hidden="1"/>
    <cellStyle name="40% - Accent6 8" xfId="22304" hidden="1"/>
    <cellStyle name="40% - Accent6 8" xfId="22463" hidden="1"/>
    <cellStyle name="40% - Accent6 8" xfId="22541" hidden="1"/>
    <cellStyle name="40% - Accent6 8" xfId="23119" hidden="1"/>
    <cellStyle name="40% - Accent6 8" xfId="23202" hidden="1"/>
    <cellStyle name="40% - Accent6 8" xfId="23280" hidden="1"/>
    <cellStyle name="40% - Accent6 8" xfId="23055" hidden="1"/>
    <cellStyle name="40% - Accent6 8" xfId="23556" hidden="1"/>
    <cellStyle name="40% - Accent6 8" xfId="23094" hidden="1"/>
    <cellStyle name="40% - Accent6 8" xfId="23725" hidden="1"/>
    <cellStyle name="40% - Accent6 8" xfId="23797" hidden="1"/>
    <cellStyle name="40% - Accent6 8" xfId="23875" hidden="1"/>
    <cellStyle name="40% - Accent6 8" xfId="23610" hidden="1"/>
    <cellStyle name="40% - Accent6 8" xfId="24120" hidden="1"/>
    <cellStyle name="40% - Accent6 8" xfId="22904" hidden="1"/>
    <cellStyle name="40% - Accent6 8" xfId="24266" hidden="1"/>
    <cellStyle name="40% - Accent6 8" xfId="24329" hidden="1"/>
    <cellStyle name="40% - Accent6 8" xfId="24407" hidden="1"/>
    <cellStyle name="40% - Accent6 8" xfId="24604" hidden="1"/>
    <cellStyle name="40% - Accent6 8" xfId="24666" hidden="1"/>
    <cellStyle name="40% - Accent6 8" xfId="24744" hidden="1"/>
    <cellStyle name="40% - Accent6 8" xfId="24941" hidden="1"/>
    <cellStyle name="40% - Accent6 8" xfId="25003" hidden="1"/>
    <cellStyle name="40% - Accent6 8" xfId="25126" hidden="1"/>
    <cellStyle name="40% - Accent6 8" xfId="25096" hidden="1"/>
    <cellStyle name="40% - Accent6 8" xfId="25255" hidden="1"/>
    <cellStyle name="40% - Accent6 8" xfId="25333" hidden="1"/>
    <cellStyle name="40% - Accent6 8" xfId="25911" hidden="1"/>
    <cellStyle name="40% - Accent6 8" xfId="25994" hidden="1"/>
    <cellStyle name="40% - Accent6 8" xfId="26072" hidden="1"/>
    <cellStyle name="40% - Accent6 8" xfId="25847" hidden="1"/>
    <cellStyle name="40% - Accent6 8" xfId="26348" hidden="1"/>
    <cellStyle name="40% - Accent6 8" xfId="25886" hidden="1"/>
    <cellStyle name="40% - Accent6 8" xfId="26517" hidden="1"/>
    <cellStyle name="40% - Accent6 8" xfId="26589" hidden="1"/>
    <cellStyle name="40% - Accent6 8" xfId="26667" hidden="1"/>
    <cellStyle name="40% - Accent6 8" xfId="26402" hidden="1"/>
    <cellStyle name="40% - Accent6 8" xfId="26912" hidden="1"/>
    <cellStyle name="40% - Accent6 8" xfId="25696" hidden="1"/>
    <cellStyle name="40% - Accent6 8" xfId="27058" hidden="1"/>
    <cellStyle name="40% - Accent6 8" xfId="27121" hidden="1"/>
    <cellStyle name="40% - Accent6 8" xfId="27199" hidden="1"/>
    <cellStyle name="40% - Accent6 8" xfId="27396" hidden="1"/>
    <cellStyle name="40% - Accent6 8" xfId="27458" hidden="1"/>
    <cellStyle name="40% - Accent6 8" xfId="27536" hidden="1"/>
    <cellStyle name="40% - Accent6 8" xfId="27733" hidden="1"/>
    <cellStyle name="40% - Accent6 8" xfId="27795" hidden="1"/>
    <cellStyle name="40% - Accent6 8" xfId="22261" hidden="1"/>
    <cellStyle name="40% - Accent6 8" xfId="22291" hidden="1"/>
    <cellStyle name="40% - Accent6 8" xfId="22132" hidden="1"/>
    <cellStyle name="40% - Accent6 8" xfId="22049" hidden="1"/>
    <cellStyle name="40% - Accent6 8" xfId="9035" hidden="1"/>
    <cellStyle name="40% - Accent6 8" xfId="8807" hidden="1"/>
    <cellStyle name="40% - Accent6 8" xfId="8523" hidden="1"/>
    <cellStyle name="40% - Accent6 8" xfId="9288" hidden="1"/>
    <cellStyle name="40% - Accent6 8" xfId="6777" hidden="1"/>
    <cellStyle name="40% - Accent6 8" xfId="9084" hidden="1"/>
    <cellStyle name="40% - Accent6 8" xfId="6041" hidden="1"/>
    <cellStyle name="40% - Accent6 8" xfId="5797" hidden="1"/>
    <cellStyle name="40% - Accent6 8" xfId="5562" hidden="1"/>
    <cellStyle name="40% - Accent6 8" xfId="6328" hidden="1"/>
    <cellStyle name="40% - Accent6 8" xfId="4024" hidden="1"/>
    <cellStyle name="40% - Accent6 8" xfId="15458" hidden="1"/>
    <cellStyle name="40% - Accent6 8" xfId="3658" hidden="1"/>
    <cellStyle name="40% - Accent6 8" xfId="3326" hidden="1"/>
    <cellStyle name="40% - Accent6 8" xfId="3133" hidden="1"/>
    <cellStyle name="40% - Accent6 8" xfId="2066" hidden="1"/>
    <cellStyle name="40% - Accent6 8" xfId="1622" hidden="1"/>
    <cellStyle name="40% - Accent6 8" xfId="1447" hidden="1"/>
    <cellStyle name="40% - Accent6 8" xfId="296" hidden="1"/>
    <cellStyle name="40% - Accent6 8" xfId="27930" hidden="1"/>
    <cellStyle name="40% - Accent6 8" xfId="28053" hidden="1"/>
    <cellStyle name="40% - Accent6 8" xfId="28023" hidden="1"/>
    <cellStyle name="40% - Accent6 8" xfId="28182" hidden="1"/>
    <cellStyle name="40% - Accent6 8" xfId="28260" hidden="1"/>
    <cellStyle name="40% - Accent6 8" xfId="28838" hidden="1"/>
    <cellStyle name="40% - Accent6 8" xfId="28921" hidden="1"/>
    <cellStyle name="40% - Accent6 8" xfId="28999" hidden="1"/>
    <cellStyle name="40% - Accent6 8" xfId="28774" hidden="1"/>
    <cellStyle name="40% - Accent6 8" xfId="29275" hidden="1"/>
    <cellStyle name="40% - Accent6 8" xfId="28813" hidden="1"/>
    <cellStyle name="40% - Accent6 8" xfId="29444" hidden="1"/>
    <cellStyle name="40% - Accent6 8" xfId="29516" hidden="1"/>
    <cellStyle name="40% - Accent6 8" xfId="29594" hidden="1"/>
    <cellStyle name="40% - Accent6 8" xfId="29329" hidden="1"/>
    <cellStyle name="40% - Accent6 8" xfId="29839" hidden="1"/>
    <cellStyle name="40% - Accent6 8" xfId="28623" hidden="1"/>
    <cellStyle name="40% - Accent6 8" xfId="29985" hidden="1"/>
    <cellStyle name="40% - Accent6 8" xfId="30048" hidden="1"/>
    <cellStyle name="40% - Accent6 8" xfId="30126" hidden="1"/>
    <cellStyle name="40% - Accent6 8" xfId="30323" hidden="1"/>
    <cellStyle name="40% - Accent6 8" xfId="30385" hidden="1"/>
    <cellStyle name="40% - Accent6 8" xfId="30463" hidden="1"/>
    <cellStyle name="40% - Accent6 8" xfId="30660" hidden="1"/>
    <cellStyle name="40% - Accent6 8" xfId="30722" hidden="1"/>
    <cellStyle name="40% - Accent6 8" xfId="30845" hidden="1"/>
    <cellStyle name="40% - Accent6 8" xfId="30815" hidden="1"/>
    <cellStyle name="40% - Accent6 8" xfId="30974" hidden="1"/>
    <cellStyle name="40% - Accent6 8" xfId="31052" hidden="1"/>
    <cellStyle name="40% - Accent6 8" xfId="31630" hidden="1"/>
    <cellStyle name="40% - Accent6 8" xfId="31713" hidden="1"/>
    <cellStyle name="40% - Accent6 8" xfId="31791" hidden="1"/>
    <cellStyle name="40% - Accent6 8" xfId="31566" hidden="1"/>
    <cellStyle name="40% - Accent6 8" xfId="32067" hidden="1"/>
    <cellStyle name="40% - Accent6 8" xfId="31605" hidden="1"/>
    <cellStyle name="40% - Accent6 8" xfId="32236" hidden="1"/>
    <cellStyle name="40% - Accent6 8" xfId="32308" hidden="1"/>
    <cellStyle name="40% - Accent6 8" xfId="32386" hidden="1"/>
    <cellStyle name="40% - Accent6 8" xfId="32121" hidden="1"/>
    <cellStyle name="40% - Accent6 8" xfId="32631" hidden="1"/>
    <cellStyle name="40% - Accent6 8" xfId="31415" hidden="1"/>
    <cellStyle name="40% - Accent6 8" xfId="32777" hidden="1"/>
    <cellStyle name="40% - Accent6 8" xfId="32840" hidden="1"/>
    <cellStyle name="40% - Accent6 8" xfId="32918" hidden="1"/>
    <cellStyle name="40% - Accent6 8" xfId="33115" hidden="1"/>
    <cellStyle name="40% - Accent6 8" xfId="33177" hidden="1"/>
    <cellStyle name="40% - Accent6 8" xfId="33255" hidden="1"/>
    <cellStyle name="40% - Accent6 8" xfId="33452" hidden="1"/>
    <cellStyle name="40% - Accent6 8" xfId="33514" hidden="1"/>
    <cellStyle name="40% - Accent6 9" xfId="164" hidden="1"/>
    <cellStyle name="40% - Accent6 9" xfId="244" hidden="1"/>
    <cellStyle name="40% - Accent6 9" xfId="328" hidden="1"/>
    <cellStyle name="40% - Accent6 9" xfId="662" hidden="1"/>
    <cellStyle name="40% - Accent6 9" xfId="2407" hidden="1"/>
    <cellStyle name="40% - Accent6 9" xfId="2558" hidden="1"/>
    <cellStyle name="40% - Accent6 9" xfId="2738" hidden="1"/>
    <cellStyle name="40% - Accent6 9" xfId="2859" hidden="1"/>
    <cellStyle name="40% - Accent6 9" xfId="1881" hidden="1"/>
    <cellStyle name="40% - Accent6 9" xfId="1698" hidden="1"/>
    <cellStyle name="40% - Accent6 9" xfId="4329" hidden="1"/>
    <cellStyle name="40% - Accent6 9" xfId="4574" hidden="1"/>
    <cellStyle name="40% - Accent6 9" xfId="4734" hidden="1"/>
    <cellStyle name="40% - Accent6 9" xfId="4844" hidden="1"/>
    <cellStyle name="40% - Accent6 9" xfId="2214" hidden="1"/>
    <cellStyle name="40% - Accent6 9" xfId="1696" hidden="1"/>
    <cellStyle name="40% - Accent6 9" xfId="6348" hidden="1"/>
    <cellStyle name="40% - Accent6 9" xfId="6457" hidden="1"/>
    <cellStyle name="40% - Accent6 9" xfId="6653" hidden="1"/>
    <cellStyle name="40% - Accent6 9" xfId="7509" hidden="1"/>
    <cellStyle name="40% - Accent6 9" xfId="7660" hidden="1"/>
    <cellStyle name="40% - Accent6 9" xfId="7841" hidden="1"/>
    <cellStyle name="40% - Accent6 9" xfId="8755" hidden="1"/>
    <cellStyle name="40% - Accent6 9" xfId="8933" hidden="1"/>
    <cellStyle name="40% - Accent6 9" xfId="9855" hidden="1"/>
    <cellStyle name="40% - Accent6 9" xfId="9929" hidden="1"/>
    <cellStyle name="40% - Accent6 9" xfId="10005" hidden="1"/>
    <cellStyle name="40% - Accent6 9" xfId="10083" hidden="1"/>
    <cellStyle name="40% - Accent6 9" xfId="10668" hidden="1"/>
    <cellStyle name="40% - Accent6 9" xfId="10744" hidden="1"/>
    <cellStyle name="40% - Accent6 9" xfId="10823" hidden="1"/>
    <cellStyle name="40% - Accent6 9" xfId="10879" hidden="1"/>
    <cellStyle name="40% - Accent6 9" xfId="10455" hidden="1"/>
    <cellStyle name="40% - Accent6 9" xfId="10379" hidden="1"/>
    <cellStyle name="40% - Accent6 9" xfId="11263" hidden="1"/>
    <cellStyle name="40% - Accent6 9" xfId="11339" hidden="1"/>
    <cellStyle name="40% - Accent6 9" xfId="11417" hidden="1"/>
    <cellStyle name="40% - Accent6 9" xfId="11468" hidden="1"/>
    <cellStyle name="40% - Accent6 9" xfId="10566" hidden="1"/>
    <cellStyle name="40% - Accent6 9" xfId="10377" hidden="1"/>
    <cellStyle name="40% - Accent6 9" xfId="11795" hidden="1"/>
    <cellStyle name="40% - Accent6 9" xfId="11871" hidden="1"/>
    <cellStyle name="40% - Accent6 9" xfId="11949" hidden="1"/>
    <cellStyle name="40% - Accent6 9" xfId="12132" hidden="1"/>
    <cellStyle name="40% - Accent6 9" xfId="12208" hidden="1"/>
    <cellStyle name="40% - Accent6 9" xfId="12286" hidden="1"/>
    <cellStyle name="40% - Accent6 9" xfId="12469" hidden="1"/>
    <cellStyle name="40% - Accent6 9" xfId="12545" hidden="1"/>
    <cellStyle name="40% - Accent6 9" xfId="12647" hidden="1"/>
    <cellStyle name="40% - Accent6 9" xfId="12721" hidden="1"/>
    <cellStyle name="40% - Accent6 9" xfId="12797" hidden="1"/>
    <cellStyle name="40% - Accent6 9" xfId="12875" hidden="1"/>
    <cellStyle name="40% - Accent6 9" xfId="13460" hidden="1"/>
    <cellStyle name="40% - Accent6 9" xfId="13536" hidden="1"/>
    <cellStyle name="40% - Accent6 9" xfId="13615" hidden="1"/>
    <cellStyle name="40% - Accent6 9" xfId="13671" hidden="1"/>
    <cellStyle name="40% - Accent6 9" xfId="13247" hidden="1"/>
    <cellStyle name="40% - Accent6 9" xfId="13171" hidden="1"/>
    <cellStyle name="40% - Accent6 9" xfId="14055" hidden="1"/>
    <cellStyle name="40% - Accent6 9" xfId="14131" hidden="1"/>
    <cellStyle name="40% - Accent6 9" xfId="14209" hidden="1"/>
    <cellStyle name="40% - Accent6 9" xfId="14260" hidden="1"/>
    <cellStyle name="40% - Accent6 9" xfId="13358" hidden="1"/>
    <cellStyle name="40% - Accent6 9" xfId="13169" hidden="1"/>
    <cellStyle name="40% - Accent6 9" xfId="14587" hidden="1"/>
    <cellStyle name="40% - Accent6 9" xfId="14663" hidden="1"/>
    <cellStyle name="40% - Accent6 9" xfId="14741" hidden="1"/>
    <cellStyle name="40% - Accent6 9" xfId="14924" hidden="1"/>
    <cellStyle name="40% - Accent6 9" xfId="15000" hidden="1"/>
    <cellStyle name="40% - Accent6 9" xfId="15078" hidden="1"/>
    <cellStyle name="40% - Accent6 9" xfId="15261" hidden="1"/>
    <cellStyle name="40% - Accent6 9" xfId="15337" hidden="1"/>
    <cellStyle name="40% - Accent6 9" xfId="9602" hidden="1"/>
    <cellStyle name="40% - Accent6 9" xfId="9493" hidden="1"/>
    <cellStyle name="40% - Accent6 9" xfId="9373" hidden="1"/>
    <cellStyle name="40% - Accent6 9" xfId="9267" hidden="1"/>
    <cellStyle name="40% - Accent6 9" xfId="7005" hidden="1"/>
    <cellStyle name="40% - Accent6 9" xfId="6916" hidden="1"/>
    <cellStyle name="40% - Accent6 9" xfId="6823" hidden="1"/>
    <cellStyle name="40% - Accent6 9" xfId="6730" hidden="1"/>
    <cellStyle name="40% - Accent6 9" xfId="7778" hidden="1"/>
    <cellStyle name="40% - Accent6 9" xfId="8050" hidden="1"/>
    <cellStyle name="40% - Accent6 9" xfId="4869" hidden="1"/>
    <cellStyle name="40% - Accent6 9" xfId="4697" hidden="1"/>
    <cellStyle name="40% - Accent6 9" xfId="4491" hidden="1"/>
    <cellStyle name="40% - Accent6 9" xfId="4299" hidden="1"/>
    <cellStyle name="40% - Accent6 9" xfId="7360" hidden="1"/>
    <cellStyle name="40% - Accent6 9" xfId="8057" hidden="1"/>
    <cellStyle name="40% - Accent6 9" xfId="2769" hidden="1"/>
    <cellStyle name="40% - Accent6 9" xfId="2528" hidden="1"/>
    <cellStyle name="40% - Accent6 9" xfId="2354" hidden="1"/>
    <cellStyle name="40% - Accent6 9" xfId="1401" hidden="1"/>
    <cellStyle name="40% - Accent6 9" xfId="1211" hidden="1"/>
    <cellStyle name="40% - Accent6 9" xfId="1056" hidden="1"/>
    <cellStyle name="40% - Accent6 9" xfId="104" hidden="1"/>
    <cellStyle name="40% - Accent6 9" xfId="15508" hidden="1"/>
    <cellStyle name="40% - Accent6 9" xfId="16196" hidden="1"/>
    <cellStyle name="40% - Accent6 9" xfId="16270" hidden="1"/>
    <cellStyle name="40% - Accent6 9" xfId="16346" hidden="1"/>
    <cellStyle name="40% - Accent6 9" xfId="16424" hidden="1"/>
    <cellStyle name="40% - Accent6 9" xfId="17009" hidden="1"/>
    <cellStyle name="40% - Accent6 9" xfId="17085" hidden="1"/>
    <cellStyle name="40% - Accent6 9" xfId="17164" hidden="1"/>
    <cellStyle name="40% - Accent6 9" xfId="17220" hidden="1"/>
    <cellStyle name="40% - Accent6 9" xfId="16796" hidden="1"/>
    <cellStyle name="40% - Accent6 9" xfId="16720" hidden="1"/>
    <cellStyle name="40% - Accent6 9" xfId="17604" hidden="1"/>
    <cellStyle name="40% - Accent6 9" xfId="17680" hidden="1"/>
    <cellStyle name="40% - Accent6 9" xfId="17758" hidden="1"/>
    <cellStyle name="40% - Accent6 9" xfId="17809" hidden="1"/>
    <cellStyle name="40% - Accent6 9" xfId="16907" hidden="1"/>
    <cellStyle name="40% - Accent6 9" xfId="16718" hidden="1"/>
    <cellStyle name="40% - Accent6 9" xfId="18136" hidden="1"/>
    <cellStyle name="40% - Accent6 9" xfId="18212" hidden="1"/>
    <cellStyle name="40% - Accent6 9" xfId="18290" hidden="1"/>
    <cellStyle name="40% - Accent6 9" xfId="18473" hidden="1"/>
    <cellStyle name="40% - Accent6 9" xfId="18549" hidden="1"/>
    <cellStyle name="40% - Accent6 9" xfId="18627" hidden="1"/>
    <cellStyle name="40% - Accent6 9" xfId="18810" hidden="1"/>
    <cellStyle name="40% - Accent6 9" xfId="18886" hidden="1"/>
    <cellStyle name="40% - Accent6 9" xfId="18988" hidden="1"/>
    <cellStyle name="40% - Accent6 9" xfId="19062" hidden="1"/>
    <cellStyle name="40% - Accent6 9" xfId="19138" hidden="1"/>
    <cellStyle name="40% - Accent6 9" xfId="19216" hidden="1"/>
    <cellStyle name="40% - Accent6 9" xfId="19801" hidden="1"/>
    <cellStyle name="40% - Accent6 9" xfId="19877" hidden="1"/>
    <cellStyle name="40% - Accent6 9" xfId="19956" hidden="1"/>
    <cellStyle name="40% - Accent6 9" xfId="20012" hidden="1"/>
    <cellStyle name="40% - Accent6 9" xfId="19588" hidden="1"/>
    <cellStyle name="40% - Accent6 9" xfId="19512" hidden="1"/>
    <cellStyle name="40% - Accent6 9" xfId="20396" hidden="1"/>
    <cellStyle name="40% - Accent6 9" xfId="20472" hidden="1"/>
    <cellStyle name="40% - Accent6 9" xfId="20550" hidden="1"/>
    <cellStyle name="40% - Accent6 9" xfId="20601" hidden="1"/>
    <cellStyle name="40% - Accent6 9" xfId="19699" hidden="1"/>
    <cellStyle name="40% - Accent6 9" xfId="19510" hidden="1"/>
    <cellStyle name="40% - Accent6 9" xfId="20928" hidden="1"/>
    <cellStyle name="40% - Accent6 9" xfId="21004" hidden="1"/>
    <cellStyle name="40% - Accent6 9" xfId="21082" hidden="1"/>
    <cellStyle name="40% - Accent6 9" xfId="21265" hidden="1"/>
    <cellStyle name="40% - Accent6 9" xfId="21341" hidden="1"/>
    <cellStyle name="40% - Accent6 9" xfId="21419" hidden="1"/>
    <cellStyle name="40% - Accent6 9" xfId="21602" hidden="1"/>
    <cellStyle name="40% - Accent6 9" xfId="21678" hidden="1"/>
    <cellStyle name="40% - Accent6 9" xfId="15995" hidden="1"/>
    <cellStyle name="40% - Accent6 9" xfId="15921" hidden="1"/>
    <cellStyle name="40% - Accent6 9" xfId="15841" hidden="1"/>
    <cellStyle name="40% - Accent6 9" xfId="15758" hidden="1"/>
    <cellStyle name="40% - Accent6 9" xfId="7985" hidden="1"/>
    <cellStyle name="40% - Accent6 9" xfId="7787" hidden="1"/>
    <cellStyle name="40% - Accent6 9" xfId="7528" hidden="1"/>
    <cellStyle name="40% - Accent6 9" xfId="7389" hidden="1"/>
    <cellStyle name="40% - Accent6 9" xfId="8670" hidden="1"/>
    <cellStyle name="40% - Accent6 9" xfId="8999" hidden="1"/>
    <cellStyle name="40% - Accent6 9" xfId="5307" hidden="1"/>
    <cellStyle name="40% - Accent6 9" xfId="5107" hidden="1"/>
    <cellStyle name="40% - Accent6 9" xfId="5001" hidden="1"/>
    <cellStyle name="40% - Accent6 9" xfId="4922" hidden="1"/>
    <cellStyle name="40% - Accent6 9" xfId="8213" hidden="1"/>
    <cellStyle name="40% - Accent6 9" xfId="9005" hidden="1"/>
    <cellStyle name="40% - Accent6 9" xfId="3062" hidden="1"/>
    <cellStyle name="40% - Accent6 9" xfId="2915" hidden="1"/>
    <cellStyle name="40% - Accent6 9" xfId="2743" hidden="1"/>
    <cellStyle name="40% - Accent6 9" xfId="1549" hidden="1"/>
    <cellStyle name="40% - Accent6 9" xfId="1393" hidden="1"/>
    <cellStyle name="40% - Accent6 9" xfId="1128" hidden="1"/>
    <cellStyle name="40% - Accent6 9" xfId="9793" hidden="1"/>
    <cellStyle name="40% - Accent6 9" xfId="21816" hidden="1"/>
    <cellStyle name="40% - Accent6 9" xfId="22347" hidden="1"/>
    <cellStyle name="40% - Accent6 9" xfId="22421" hidden="1"/>
    <cellStyle name="40% - Accent6 9" xfId="22497" hidden="1"/>
    <cellStyle name="40% - Accent6 9" xfId="22575" hidden="1"/>
    <cellStyle name="40% - Accent6 9" xfId="23160" hidden="1"/>
    <cellStyle name="40% - Accent6 9" xfId="23236" hidden="1"/>
    <cellStyle name="40% - Accent6 9" xfId="23315" hidden="1"/>
    <cellStyle name="40% - Accent6 9" xfId="23371" hidden="1"/>
    <cellStyle name="40% - Accent6 9" xfId="22947" hidden="1"/>
    <cellStyle name="40% - Accent6 9" xfId="22871" hidden="1"/>
    <cellStyle name="40% - Accent6 9" xfId="23755" hidden="1"/>
    <cellStyle name="40% - Accent6 9" xfId="23831" hidden="1"/>
    <cellStyle name="40% - Accent6 9" xfId="23909" hidden="1"/>
    <cellStyle name="40% - Accent6 9" xfId="23960" hidden="1"/>
    <cellStyle name="40% - Accent6 9" xfId="23058" hidden="1"/>
    <cellStyle name="40% - Accent6 9" xfId="22869" hidden="1"/>
    <cellStyle name="40% - Accent6 9" xfId="24287" hidden="1"/>
    <cellStyle name="40% - Accent6 9" xfId="24363" hidden="1"/>
    <cellStyle name="40% - Accent6 9" xfId="24441" hidden="1"/>
    <cellStyle name="40% - Accent6 9" xfId="24624" hidden="1"/>
    <cellStyle name="40% - Accent6 9" xfId="24700" hidden="1"/>
    <cellStyle name="40% - Accent6 9" xfId="24778" hidden="1"/>
    <cellStyle name="40% - Accent6 9" xfId="24961" hidden="1"/>
    <cellStyle name="40% - Accent6 9" xfId="25037" hidden="1"/>
    <cellStyle name="40% - Accent6 9" xfId="25139" hidden="1"/>
    <cellStyle name="40% - Accent6 9" xfId="25213" hidden="1"/>
    <cellStyle name="40% - Accent6 9" xfId="25289" hidden="1"/>
    <cellStyle name="40% - Accent6 9" xfId="25367" hidden="1"/>
    <cellStyle name="40% - Accent6 9" xfId="25952" hidden="1"/>
    <cellStyle name="40% - Accent6 9" xfId="26028" hidden="1"/>
    <cellStyle name="40% - Accent6 9" xfId="26107" hidden="1"/>
    <cellStyle name="40% - Accent6 9" xfId="26163" hidden="1"/>
    <cellStyle name="40% - Accent6 9" xfId="25739" hidden="1"/>
    <cellStyle name="40% - Accent6 9" xfId="25663" hidden="1"/>
    <cellStyle name="40% - Accent6 9" xfId="26547" hidden="1"/>
    <cellStyle name="40% - Accent6 9" xfId="26623" hidden="1"/>
    <cellStyle name="40% - Accent6 9" xfId="26701" hidden="1"/>
    <cellStyle name="40% - Accent6 9" xfId="26752" hidden="1"/>
    <cellStyle name="40% - Accent6 9" xfId="25850" hidden="1"/>
    <cellStyle name="40% - Accent6 9" xfId="25661" hidden="1"/>
    <cellStyle name="40% - Accent6 9" xfId="27079" hidden="1"/>
    <cellStyle name="40% - Accent6 9" xfId="27155" hidden="1"/>
    <cellStyle name="40% - Accent6 9" xfId="27233" hidden="1"/>
    <cellStyle name="40% - Accent6 9" xfId="27416" hidden="1"/>
    <cellStyle name="40% - Accent6 9" xfId="27492" hidden="1"/>
    <cellStyle name="40% - Accent6 9" xfId="27570" hidden="1"/>
    <cellStyle name="40% - Accent6 9" xfId="27753" hidden="1"/>
    <cellStyle name="40% - Accent6 9" xfId="27829" hidden="1"/>
    <cellStyle name="40% - Accent6 9" xfId="22248" hidden="1"/>
    <cellStyle name="40% - Accent6 9" xfId="22174" hidden="1"/>
    <cellStyle name="40% - Accent6 9" xfId="22094" hidden="1"/>
    <cellStyle name="40% - Accent6 9" xfId="22011" hidden="1"/>
    <cellStyle name="40% - Accent6 9" xfId="8892" hidden="1"/>
    <cellStyle name="40% - Accent6 9" xfId="8682" hidden="1"/>
    <cellStyle name="40% - Accent6 9" xfId="8452" hidden="1"/>
    <cellStyle name="40% - Accent6 9" xfId="8244" hidden="1"/>
    <cellStyle name="40% - Accent6 9" xfId="9761" hidden="1"/>
    <cellStyle name="40% - Accent6 9" xfId="15563" hidden="1"/>
    <cellStyle name="40% - Accent6 9" xfId="5860" hidden="1"/>
    <cellStyle name="40% - Accent6 9" xfId="5614" hidden="1"/>
    <cellStyle name="40% - Accent6 9" xfId="5515" hidden="1"/>
    <cellStyle name="40% - Accent6 9" xfId="5451" hidden="1"/>
    <cellStyle name="40% - Accent6 9" xfId="9282" hidden="1"/>
    <cellStyle name="40% - Accent6 9" xfId="15565" hidden="1"/>
    <cellStyle name="40% - Accent6 9" xfId="3379" hidden="1"/>
    <cellStyle name="40% - Accent6 9" xfId="3284" hidden="1"/>
    <cellStyle name="40% - Accent6 9" xfId="3058" hidden="1"/>
    <cellStyle name="40% - Accent6 9" xfId="1674" hidden="1"/>
    <cellStyle name="40% - Accent6 9" xfId="1547" hidden="1"/>
    <cellStyle name="40% - Accent6 9" xfId="1274" hidden="1"/>
    <cellStyle name="40% - Accent6 9" xfId="22299" hidden="1"/>
    <cellStyle name="40% - Accent6 9" xfId="27964" hidden="1"/>
    <cellStyle name="40% - Accent6 9" xfId="28066" hidden="1"/>
    <cellStyle name="40% - Accent6 9" xfId="28140" hidden="1"/>
    <cellStyle name="40% - Accent6 9" xfId="28216" hidden="1"/>
    <cellStyle name="40% - Accent6 9" xfId="28294" hidden="1"/>
    <cellStyle name="40% - Accent6 9" xfId="28879" hidden="1"/>
    <cellStyle name="40% - Accent6 9" xfId="28955" hidden="1"/>
    <cellStyle name="40% - Accent6 9" xfId="29034" hidden="1"/>
    <cellStyle name="40% - Accent6 9" xfId="29090" hidden="1"/>
    <cellStyle name="40% - Accent6 9" xfId="28666" hidden="1"/>
    <cellStyle name="40% - Accent6 9" xfId="28590" hidden="1"/>
    <cellStyle name="40% - Accent6 9" xfId="29474" hidden="1"/>
    <cellStyle name="40% - Accent6 9" xfId="29550" hidden="1"/>
    <cellStyle name="40% - Accent6 9" xfId="29628" hidden="1"/>
    <cellStyle name="40% - Accent6 9" xfId="29679" hidden="1"/>
    <cellStyle name="40% - Accent6 9" xfId="28777" hidden="1"/>
    <cellStyle name="40% - Accent6 9" xfId="28588" hidden="1"/>
    <cellStyle name="40% - Accent6 9" xfId="30006" hidden="1"/>
    <cellStyle name="40% - Accent6 9" xfId="30082" hidden="1"/>
    <cellStyle name="40% - Accent6 9" xfId="30160" hidden="1"/>
    <cellStyle name="40% - Accent6 9" xfId="30343" hidden="1"/>
    <cellStyle name="40% - Accent6 9" xfId="30419" hidden="1"/>
    <cellStyle name="40% - Accent6 9" xfId="30497" hidden="1"/>
    <cellStyle name="40% - Accent6 9" xfId="30680" hidden="1"/>
    <cellStyle name="40% - Accent6 9" xfId="30756" hidden="1"/>
    <cellStyle name="40% - Accent6 9" xfId="30858" hidden="1"/>
    <cellStyle name="40% - Accent6 9" xfId="30932" hidden="1"/>
    <cellStyle name="40% - Accent6 9" xfId="31008" hidden="1"/>
    <cellStyle name="40% - Accent6 9" xfId="31086" hidden="1"/>
    <cellStyle name="40% - Accent6 9" xfId="31671" hidden="1"/>
    <cellStyle name="40% - Accent6 9" xfId="31747" hidden="1"/>
    <cellStyle name="40% - Accent6 9" xfId="31826" hidden="1"/>
    <cellStyle name="40% - Accent6 9" xfId="31882" hidden="1"/>
    <cellStyle name="40% - Accent6 9" xfId="31458" hidden="1"/>
    <cellStyle name="40% - Accent6 9" xfId="31382" hidden="1"/>
    <cellStyle name="40% - Accent6 9" xfId="32266" hidden="1"/>
    <cellStyle name="40% - Accent6 9" xfId="32342" hidden="1"/>
    <cellStyle name="40% - Accent6 9" xfId="32420" hidden="1"/>
    <cellStyle name="40% - Accent6 9" xfId="32471" hidden="1"/>
    <cellStyle name="40% - Accent6 9" xfId="31569" hidden="1"/>
    <cellStyle name="40% - Accent6 9" xfId="31380" hidden="1"/>
    <cellStyle name="40% - Accent6 9" xfId="32798" hidden="1"/>
    <cellStyle name="40% - Accent6 9" xfId="32874" hidden="1"/>
    <cellStyle name="40% - Accent6 9" xfId="32952" hidden="1"/>
    <cellStyle name="40% - Accent6 9" xfId="33135" hidden="1"/>
    <cellStyle name="40% - Accent6 9" xfId="33211" hidden="1"/>
    <cellStyle name="40% - Accent6 9" xfId="33289" hidden="1"/>
    <cellStyle name="40% - Accent6 9" xfId="33472" hidden="1"/>
    <cellStyle name="40% - Accent6 9" xfId="33548" hidden="1"/>
    <cellStyle name="60% - Accent1" xfId="25" builtinId="32" hidden="1"/>
    <cellStyle name="60% - Accent1" xfId="69" builtinId="32" hidden="1" customBuiltin="1"/>
    <cellStyle name="60% - Accent2" xfId="29" builtinId="36" hidden="1"/>
    <cellStyle name="60% - Accent2" xfId="73" builtinId="36" hidden="1" customBuiltin="1"/>
    <cellStyle name="60% - Accent3" xfId="33" builtinId="40" hidden="1"/>
    <cellStyle name="60% - Accent3" xfId="77" builtinId="40" hidden="1" customBuiltin="1"/>
    <cellStyle name="60% - Accent4" xfId="37" builtinId="44" hidden="1"/>
    <cellStyle name="60% - Accent4" xfId="81" builtinId="44" hidden="1" customBuiltin="1"/>
    <cellStyle name="60% - Accent5" xfId="41" builtinId="48" hidden="1"/>
    <cellStyle name="60% - Accent5" xfId="85" builtinId="48" hidden="1" customBuiltin="1"/>
    <cellStyle name="60% - Accent6" xfId="45" builtinId="52" hidden="1"/>
    <cellStyle name="60% - Accent6" xfId="89" builtinId="52" hidden="1" customBuiltin="1"/>
    <cellStyle name="Accent1" xfId="22" builtinId="29" hidden="1"/>
    <cellStyle name="Accent1" xfId="66" builtinId="29" hidden="1" customBuiltin="1"/>
    <cellStyle name="Accent2" xfId="26" builtinId="33" hidden="1"/>
    <cellStyle name="Accent2" xfId="70" builtinId="33" hidden="1" customBuiltin="1"/>
    <cellStyle name="Accent3" xfId="30" builtinId="37" hidden="1"/>
    <cellStyle name="Accent3" xfId="74" builtinId="37" hidden="1" customBuiltin="1"/>
    <cellStyle name="Accent4" xfId="34" builtinId="41" hidden="1"/>
    <cellStyle name="Accent4" xfId="78" builtinId="41" hidden="1" customBuiltin="1"/>
    <cellStyle name="Accent5" xfId="38" builtinId="45" hidden="1"/>
    <cellStyle name="Accent5" xfId="82" builtinId="45" hidden="1" customBuiltin="1"/>
    <cellStyle name="Accent6" xfId="42" builtinId="49" hidden="1"/>
    <cellStyle name="Accent6" xfId="86" builtinId="49" hidden="1" customBuiltin="1"/>
    <cellStyle name="Bad" xfId="11" builtinId="27" hidden="1"/>
    <cellStyle name="Bad" xfId="58" builtinId="27" hidden="1" customBuiltin="1"/>
    <cellStyle name="Calculation" xfId="15" builtinId="22" hidden="1"/>
    <cellStyle name="Calculation" xfId="60" builtinId="22" hidden="1" customBuiltin="1"/>
    <cellStyle name="Check Cell" xfId="17" builtinId="23" hidden="1"/>
    <cellStyle name="Check Cell" xfId="62" builtinId="23" hidden="1" customBuiltin="1"/>
    <cellStyle name="Comma" xfId="1" builtinId="3" hidden="1"/>
    <cellStyle name="Comma [0]" xfId="2" builtinId="6" hidden="1" customBuiltin="1"/>
    <cellStyle name="Comma [0]" xfId="51"/>
    <cellStyle name="Comma [1]" xfId="52"/>
    <cellStyle name="Comma [2]" xfId="101"/>
    <cellStyle name="Comma [3]" xfId="33611"/>
    <cellStyle name="Comma [4]" xfId="33604"/>
    <cellStyle name="Currency" xfId="3" builtinId="4" hidden="1"/>
    <cellStyle name="Currency [0]" xfId="4" builtinId="7" hidden="1"/>
    <cellStyle name="Currency [0] 10" xfId="880" hidden="1"/>
    <cellStyle name="Currency [0] 10" xfId="3364" hidden="1"/>
    <cellStyle name="Currency [0] 10" xfId="3979" hidden="1"/>
    <cellStyle name="Currency [0] 10" xfId="5150" hidden="1"/>
    <cellStyle name="Currency [0] 10" xfId="5911" hidden="1"/>
    <cellStyle name="Currency [0] 10" xfId="6938" hidden="1"/>
    <cellStyle name="Currency [0] 10" xfId="8152" hidden="1"/>
    <cellStyle name="Currency [0] 10" xfId="9303" hidden="1"/>
    <cellStyle name="Currency [0] 10" xfId="10231" hidden="1"/>
    <cellStyle name="Currency [0] 10" xfId="10950" hidden="1"/>
    <cellStyle name="Currency [0] 10" xfId="11122" hidden="1"/>
    <cellStyle name="Currency [0] 10" xfId="11520" hidden="1"/>
    <cellStyle name="Currency [0] 10" xfId="11665" hidden="1"/>
    <cellStyle name="Currency [0] 10" xfId="12006" hidden="1"/>
    <cellStyle name="Currency [0] 10" xfId="12343" hidden="1"/>
    <cellStyle name="Currency [0] 10" xfId="12594" hidden="1"/>
    <cellStyle name="Currency [0] 10" xfId="13023" hidden="1"/>
    <cellStyle name="Currency [0] 10" xfId="13742" hidden="1"/>
    <cellStyle name="Currency [0] 10" xfId="13914" hidden="1"/>
    <cellStyle name="Currency [0] 10" xfId="14312" hidden="1"/>
    <cellStyle name="Currency [0] 10" xfId="14457" hidden="1"/>
    <cellStyle name="Currency [0] 10" xfId="14798" hidden="1"/>
    <cellStyle name="Currency [0] 10" xfId="15135" hidden="1"/>
    <cellStyle name="Currency [0] 10" xfId="15386" hidden="1"/>
    <cellStyle name="Currency [0] 10" xfId="8935" hidden="1"/>
    <cellStyle name="Currency [0] 10" xfId="6295" hidden="1"/>
    <cellStyle name="Currency [0] 10" xfId="5467" hidden="1"/>
    <cellStyle name="Currency [0] 10" xfId="3993" hidden="1"/>
    <cellStyle name="Currency [0] 10" xfId="3400" hidden="1"/>
    <cellStyle name="Currency [0] 10" xfId="2040" hidden="1"/>
    <cellStyle name="Currency [0] 10" xfId="854" hidden="1"/>
    <cellStyle name="Currency [0] 10" xfId="15781" hidden="1"/>
    <cellStyle name="Currency [0] 10" xfId="16572" hidden="1"/>
    <cellStyle name="Currency [0] 10" xfId="17291" hidden="1"/>
    <cellStyle name="Currency [0] 10" xfId="17463" hidden="1"/>
    <cellStyle name="Currency [0] 10" xfId="17861" hidden="1"/>
    <cellStyle name="Currency [0] 10" xfId="18006" hidden="1"/>
    <cellStyle name="Currency [0] 10" xfId="18347" hidden="1"/>
    <cellStyle name="Currency [0] 10" xfId="18684" hidden="1"/>
    <cellStyle name="Currency [0] 10" xfId="18935" hidden="1"/>
    <cellStyle name="Currency [0] 10" xfId="19364" hidden="1"/>
    <cellStyle name="Currency [0] 10" xfId="20083" hidden="1"/>
    <cellStyle name="Currency [0] 10" xfId="20255" hidden="1"/>
    <cellStyle name="Currency [0] 10" xfId="20653" hidden="1"/>
    <cellStyle name="Currency [0] 10" xfId="20798" hidden="1"/>
    <cellStyle name="Currency [0] 10" xfId="21139" hidden="1"/>
    <cellStyle name="Currency [0] 10" xfId="21476" hidden="1"/>
    <cellStyle name="Currency [0] 10" xfId="21727" hidden="1"/>
    <cellStyle name="Currency [0] 10" xfId="15510" hidden="1"/>
    <cellStyle name="Currency [0] 10" xfId="6843" hidden="1"/>
    <cellStyle name="Currency [0] 10" xfId="5900" hidden="1"/>
    <cellStyle name="Currency [0] 10" xfId="4276" hidden="1"/>
    <cellStyle name="Currency [0] 10" xfId="3657" hidden="1"/>
    <cellStyle name="Currency [0] 10" xfId="2218" hidden="1"/>
    <cellStyle name="Currency [0] 10" xfId="862" hidden="1"/>
    <cellStyle name="Currency [0] 10" xfId="22034" hidden="1"/>
    <cellStyle name="Currency [0] 10" xfId="22723" hidden="1"/>
    <cellStyle name="Currency [0] 10" xfId="23442" hidden="1"/>
    <cellStyle name="Currency [0] 10" xfId="23614" hidden="1"/>
    <cellStyle name="Currency [0] 10" xfId="24012" hidden="1"/>
    <cellStyle name="Currency [0] 10" xfId="24157" hidden="1"/>
    <cellStyle name="Currency [0] 10" xfId="24498" hidden="1"/>
    <cellStyle name="Currency [0] 10" xfId="24835" hidden="1"/>
    <cellStyle name="Currency [0] 10" xfId="25086" hidden="1"/>
    <cellStyle name="Currency [0] 10" xfId="25515" hidden="1"/>
    <cellStyle name="Currency [0] 10" xfId="26234" hidden="1"/>
    <cellStyle name="Currency [0] 10" xfId="26406" hidden="1"/>
    <cellStyle name="Currency [0] 10" xfId="26804" hidden="1"/>
    <cellStyle name="Currency [0] 10" xfId="26949" hidden="1"/>
    <cellStyle name="Currency [0] 10" xfId="27290" hidden="1"/>
    <cellStyle name="Currency [0] 10" xfId="27627" hidden="1"/>
    <cellStyle name="Currency [0] 10" xfId="27878" hidden="1"/>
    <cellStyle name="Currency [0] 10" xfId="21817" hidden="1"/>
    <cellStyle name="Currency [0] 10" xfId="7600" hidden="1"/>
    <cellStyle name="Currency [0] 10" xfId="6318" hidden="1"/>
    <cellStyle name="Currency [0] 10" xfId="4894" hidden="1"/>
    <cellStyle name="Currency [0] 10" xfId="3852" hidden="1"/>
    <cellStyle name="Currency [0] 10" xfId="2353" hidden="1"/>
    <cellStyle name="Currency [0] 10" xfId="869" hidden="1"/>
    <cellStyle name="Currency [0] 10" xfId="28013" hidden="1"/>
    <cellStyle name="Currency [0] 10" xfId="28442" hidden="1"/>
    <cellStyle name="Currency [0] 10" xfId="29161" hidden="1"/>
    <cellStyle name="Currency [0] 10" xfId="29333" hidden="1"/>
    <cellStyle name="Currency [0] 10" xfId="29731" hidden="1"/>
    <cellStyle name="Currency [0] 10" xfId="29876" hidden="1"/>
    <cellStyle name="Currency [0] 10" xfId="30217" hidden="1"/>
    <cellStyle name="Currency [0] 10" xfId="30554" hidden="1"/>
    <cellStyle name="Currency [0] 10" xfId="30805" hidden="1"/>
    <cellStyle name="Currency [0] 10" xfId="31234" hidden="1"/>
    <cellStyle name="Currency [0] 10" xfId="31953" hidden="1"/>
    <cellStyle name="Currency [0] 10" xfId="32125" hidden="1"/>
    <cellStyle name="Currency [0] 10" xfId="32523" hidden="1"/>
    <cellStyle name="Currency [0] 10" xfId="32668" hidden="1"/>
    <cellStyle name="Currency [0] 10" xfId="33009" hidden="1"/>
    <cellStyle name="Currency [0] 10" xfId="33346" hidden="1"/>
    <cellStyle name="Currency [0] 10" xfId="33597" hidden="1"/>
    <cellStyle name="Currency [0] 11" xfId="888" hidden="1"/>
    <cellStyle name="Currency [0] 11" xfId="3395" hidden="1"/>
    <cellStyle name="Currency [0] 11" xfId="3985" hidden="1"/>
    <cellStyle name="Currency [0] 11" xfId="5235" hidden="1"/>
    <cellStyle name="Currency [0] 11" xfId="5916" hidden="1"/>
    <cellStyle name="Currency [0] 11" xfId="6948" hidden="1"/>
    <cellStyle name="Currency [0] 11" xfId="8172" hidden="1"/>
    <cellStyle name="Currency [0] 11" xfId="9316" hidden="1"/>
    <cellStyle name="Currency [0] 11" xfId="10232" hidden="1"/>
    <cellStyle name="Currency [0] 11" xfId="10953" hidden="1"/>
    <cellStyle name="Currency [0] 11" xfId="11124" hidden="1"/>
    <cellStyle name="Currency [0] 11" xfId="11521" hidden="1"/>
    <cellStyle name="Currency [0] 11" xfId="11666" hidden="1"/>
    <cellStyle name="Currency [0] 11" xfId="12007" hidden="1"/>
    <cellStyle name="Currency [0] 11" xfId="12344" hidden="1"/>
    <cellStyle name="Currency [0] 11" xfId="12595" hidden="1"/>
    <cellStyle name="Currency [0] 11" xfId="13024" hidden="1"/>
    <cellStyle name="Currency [0] 11" xfId="13745" hidden="1"/>
    <cellStyle name="Currency [0] 11" xfId="13916" hidden="1"/>
    <cellStyle name="Currency [0] 11" xfId="14313" hidden="1"/>
    <cellStyle name="Currency [0] 11" xfId="14458" hidden="1"/>
    <cellStyle name="Currency [0] 11" xfId="14799" hidden="1"/>
    <cellStyle name="Currency [0] 11" xfId="15136" hidden="1"/>
    <cellStyle name="Currency [0] 11" xfId="15387" hidden="1"/>
    <cellStyle name="Currency [0] 11" xfId="8880" hidden="1"/>
    <cellStyle name="Currency [0] 11" xfId="6290" hidden="1"/>
    <cellStyle name="Currency [0] 11" xfId="5453" hidden="1"/>
    <cellStyle name="Currency [0] 11" xfId="3987" hidden="1"/>
    <cellStyle name="Currency [0] 11" xfId="3396" hidden="1"/>
    <cellStyle name="Currency [0] 11" xfId="2017" hidden="1"/>
    <cellStyle name="Currency [0] 11" xfId="850" hidden="1"/>
    <cellStyle name="Currency [0] 11" xfId="15793" hidden="1"/>
    <cellStyle name="Currency [0] 11" xfId="16573" hidden="1"/>
    <cellStyle name="Currency [0] 11" xfId="17294" hidden="1"/>
    <cellStyle name="Currency [0] 11" xfId="17465" hidden="1"/>
    <cellStyle name="Currency [0] 11" xfId="17862" hidden="1"/>
    <cellStyle name="Currency [0] 11" xfId="18007" hidden="1"/>
    <cellStyle name="Currency [0] 11" xfId="18348" hidden="1"/>
    <cellStyle name="Currency [0] 11" xfId="18685" hidden="1"/>
    <cellStyle name="Currency [0] 11" xfId="18936" hidden="1"/>
    <cellStyle name="Currency [0] 11" xfId="19365" hidden="1"/>
    <cellStyle name="Currency [0] 11" xfId="20086" hidden="1"/>
    <cellStyle name="Currency [0] 11" xfId="20257" hidden="1"/>
    <cellStyle name="Currency [0] 11" xfId="20654" hidden="1"/>
    <cellStyle name="Currency [0] 11" xfId="20799" hidden="1"/>
    <cellStyle name="Currency [0] 11" xfId="21140" hidden="1"/>
    <cellStyle name="Currency [0] 11" xfId="21477" hidden="1"/>
    <cellStyle name="Currency [0] 11" xfId="21728" hidden="1"/>
    <cellStyle name="Currency [0] 11" xfId="15476" hidden="1"/>
    <cellStyle name="Currency [0] 11" xfId="6794" hidden="1"/>
    <cellStyle name="Currency [0] 11" xfId="5893" hidden="1"/>
    <cellStyle name="Currency [0] 11" xfId="4270" hidden="1"/>
    <cellStyle name="Currency [0] 11" xfId="3653" hidden="1"/>
    <cellStyle name="Currency [0] 11" xfId="2191" hidden="1"/>
    <cellStyle name="Currency [0] 11" xfId="856" hidden="1"/>
    <cellStyle name="Currency [0] 11" xfId="22046" hidden="1"/>
    <cellStyle name="Currency [0] 11" xfId="22724" hidden="1"/>
    <cellStyle name="Currency [0] 11" xfId="23445" hidden="1"/>
    <cellStyle name="Currency [0] 11" xfId="23616" hidden="1"/>
    <cellStyle name="Currency [0] 11" xfId="24013" hidden="1"/>
    <cellStyle name="Currency [0] 11" xfId="24158" hidden="1"/>
    <cellStyle name="Currency [0] 11" xfId="24499" hidden="1"/>
    <cellStyle name="Currency [0] 11" xfId="24836" hidden="1"/>
    <cellStyle name="Currency [0] 11" xfId="25087" hidden="1"/>
    <cellStyle name="Currency [0] 11" xfId="25516" hidden="1"/>
    <cellStyle name="Currency [0] 11" xfId="26237" hidden="1"/>
    <cellStyle name="Currency [0] 11" xfId="26408" hidden="1"/>
    <cellStyle name="Currency [0] 11" xfId="26805" hidden="1"/>
    <cellStyle name="Currency [0] 11" xfId="26950" hidden="1"/>
    <cellStyle name="Currency [0] 11" xfId="27291" hidden="1"/>
    <cellStyle name="Currency [0] 11" xfId="27628" hidden="1"/>
    <cellStyle name="Currency [0] 11" xfId="27879" hidden="1"/>
    <cellStyle name="Currency [0] 11" xfId="21795" hidden="1"/>
    <cellStyle name="Currency [0] 11" xfId="7468" hidden="1"/>
    <cellStyle name="Currency [0] 11" xfId="6313" hidden="1"/>
    <cellStyle name="Currency [0] 11" xfId="4861" hidden="1"/>
    <cellStyle name="Currency [0] 11" xfId="3847" hidden="1"/>
    <cellStyle name="Currency [0] 11" xfId="2302" hidden="1"/>
    <cellStyle name="Currency [0] 11" xfId="864" hidden="1"/>
    <cellStyle name="Currency [0] 11" xfId="28014" hidden="1"/>
    <cellStyle name="Currency [0] 11" xfId="28443" hidden="1"/>
    <cellStyle name="Currency [0] 11" xfId="29164" hidden="1"/>
    <cellStyle name="Currency [0] 11" xfId="29335" hidden="1"/>
    <cellStyle name="Currency [0] 11" xfId="29732" hidden="1"/>
    <cellStyle name="Currency [0] 11" xfId="29877" hidden="1"/>
    <cellStyle name="Currency [0] 11" xfId="30218" hidden="1"/>
    <cellStyle name="Currency [0] 11" xfId="30555" hidden="1"/>
    <cellStyle name="Currency [0] 11" xfId="30806" hidden="1"/>
    <cellStyle name="Currency [0] 11" xfId="31235" hidden="1"/>
    <cellStyle name="Currency [0] 11" xfId="31956" hidden="1"/>
    <cellStyle name="Currency [0] 11" xfId="32127" hidden="1"/>
    <cellStyle name="Currency [0] 11" xfId="32524" hidden="1"/>
    <cellStyle name="Currency [0] 11" xfId="32669" hidden="1"/>
    <cellStyle name="Currency [0] 11" xfId="33010" hidden="1"/>
    <cellStyle name="Currency [0] 11" xfId="33347" hidden="1"/>
    <cellStyle name="Currency [0] 11" xfId="33598" hidden="1"/>
    <cellStyle name="Currency [0] 12" xfId="879" hidden="1"/>
    <cellStyle name="Currency [0] 12" xfId="3359" hidden="1"/>
    <cellStyle name="Currency [0] 12" xfId="3975" hidden="1"/>
    <cellStyle name="Currency [0] 12" xfId="5141" hidden="1"/>
    <cellStyle name="Currency [0] 12" xfId="5910" hidden="1"/>
    <cellStyle name="Currency [0] 12" xfId="6934" hidden="1"/>
    <cellStyle name="Currency [0] 12" xfId="8145" hidden="1"/>
    <cellStyle name="Currency [0] 12" xfId="9299" hidden="1"/>
    <cellStyle name="Currency [0] 12" xfId="10230" hidden="1"/>
    <cellStyle name="Currency [0] 12" xfId="10948" hidden="1"/>
    <cellStyle name="Currency [0] 12" xfId="11120" hidden="1"/>
    <cellStyle name="Currency [0] 12" xfId="11519" hidden="1"/>
    <cellStyle name="Currency [0] 12" xfId="11664" hidden="1"/>
    <cellStyle name="Currency [0] 12" xfId="12005" hidden="1"/>
    <cellStyle name="Currency [0] 12" xfId="12342" hidden="1"/>
    <cellStyle name="Currency [0] 12" xfId="12593" hidden="1"/>
    <cellStyle name="Currency [0] 12" xfId="13022" hidden="1"/>
    <cellStyle name="Currency [0] 12" xfId="13740" hidden="1"/>
    <cellStyle name="Currency [0] 12" xfId="13912" hidden="1"/>
    <cellStyle name="Currency [0] 12" xfId="14311" hidden="1"/>
    <cellStyle name="Currency [0] 12" xfId="14456" hidden="1"/>
    <cellStyle name="Currency [0] 12" xfId="14797" hidden="1"/>
    <cellStyle name="Currency [0] 12" xfId="15134" hidden="1"/>
    <cellStyle name="Currency [0] 12" xfId="15385" hidden="1"/>
    <cellStyle name="Currency [0] 12" xfId="8951" hidden="1"/>
    <cellStyle name="Currency [0] 12" xfId="6298" hidden="1"/>
    <cellStyle name="Currency [0] 12" xfId="5470" hidden="1"/>
    <cellStyle name="Currency [0] 12" xfId="3999" hidden="1"/>
    <cellStyle name="Currency [0] 12" xfId="3402" hidden="1"/>
    <cellStyle name="Currency [0] 12" xfId="2051" hidden="1"/>
    <cellStyle name="Currency [0] 12" xfId="858" hidden="1"/>
    <cellStyle name="Currency [0] 12" xfId="15779" hidden="1"/>
    <cellStyle name="Currency [0] 12" xfId="16571" hidden="1"/>
    <cellStyle name="Currency [0] 12" xfId="17289" hidden="1"/>
    <cellStyle name="Currency [0] 12" xfId="17461" hidden="1"/>
    <cellStyle name="Currency [0] 12" xfId="17860" hidden="1"/>
    <cellStyle name="Currency [0] 12" xfId="18005" hidden="1"/>
    <cellStyle name="Currency [0] 12" xfId="18346" hidden="1"/>
    <cellStyle name="Currency [0] 12" xfId="18683" hidden="1"/>
    <cellStyle name="Currency [0] 12" xfId="18934" hidden="1"/>
    <cellStyle name="Currency [0] 12" xfId="19363" hidden="1"/>
    <cellStyle name="Currency [0] 12" xfId="20081" hidden="1"/>
    <cellStyle name="Currency [0] 12" xfId="20253" hidden="1"/>
    <cellStyle name="Currency [0] 12" xfId="20652" hidden="1"/>
    <cellStyle name="Currency [0] 12" xfId="20797" hidden="1"/>
    <cellStyle name="Currency [0] 12" xfId="21138" hidden="1"/>
    <cellStyle name="Currency [0] 12" xfId="21475" hidden="1"/>
    <cellStyle name="Currency [0] 12" xfId="21726" hidden="1"/>
    <cellStyle name="Currency [0] 12" xfId="15524" hidden="1"/>
    <cellStyle name="Currency [0] 12" xfId="6846" hidden="1"/>
    <cellStyle name="Currency [0] 12" xfId="5903" hidden="1"/>
    <cellStyle name="Currency [0] 12" xfId="4279" hidden="1"/>
    <cellStyle name="Currency [0] 12" xfId="3659" hidden="1"/>
    <cellStyle name="Currency [0] 12" xfId="2226" hidden="1"/>
    <cellStyle name="Currency [0] 12" xfId="863" hidden="1"/>
    <cellStyle name="Currency [0] 12" xfId="22032" hidden="1"/>
    <cellStyle name="Currency [0] 12" xfId="22722" hidden="1"/>
    <cellStyle name="Currency [0] 12" xfId="23440" hidden="1"/>
    <cellStyle name="Currency [0] 12" xfId="23612" hidden="1"/>
    <cellStyle name="Currency [0] 12" xfId="24011" hidden="1"/>
    <cellStyle name="Currency [0] 12" xfId="24156" hidden="1"/>
    <cellStyle name="Currency [0] 12" xfId="24497" hidden="1"/>
    <cellStyle name="Currency [0] 12" xfId="24834" hidden="1"/>
    <cellStyle name="Currency [0] 12" xfId="25085" hidden="1"/>
    <cellStyle name="Currency [0] 12" xfId="25514" hidden="1"/>
    <cellStyle name="Currency [0] 12" xfId="26232" hidden="1"/>
    <cellStyle name="Currency [0] 12" xfId="26404" hidden="1"/>
    <cellStyle name="Currency [0] 12" xfId="26803" hidden="1"/>
    <cellStyle name="Currency [0] 12" xfId="26948" hidden="1"/>
    <cellStyle name="Currency [0] 12" xfId="27289" hidden="1"/>
    <cellStyle name="Currency [0] 12" xfId="27626" hidden="1"/>
    <cellStyle name="Currency [0] 12" xfId="27877" hidden="1"/>
    <cellStyle name="Currency [0] 12" xfId="21831" hidden="1"/>
    <cellStyle name="Currency [0] 12" xfId="7608" hidden="1"/>
    <cellStyle name="Currency [0] 12" xfId="6321" hidden="1"/>
    <cellStyle name="Currency [0] 12" xfId="4897" hidden="1"/>
    <cellStyle name="Currency [0] 12" xfId="3854" hidden="1"/>
    <cellStyle name="Currency [0] 12" xfId="2370" hidden="1"/>
    <cellStyle name="Currency [0] 12" xfId="871" hidden="1"/>
    <cellStyle name="Currency [0] 12" xfId="28012" hidden="1"/>
    <cellStyle name="Currency [0] 12" xfId="28441" hidden="1"/>
    <cellStyle name="Currency [0] 12" xfId="29159" hidden="1"/>
    <cellStyle name="Currency [0] 12" xfId="29331" hidden="1"/>
    <cellStyle name="Currency [0] 12" xfId="29730" hidden="1"/>
    <cellStyle name="Currency [0] 12" xfId="29875" hidden="1"/>
    <cellStyle name="Currency [0] 12" xfId="30216" hidden="1"/>
    <cellStyle name="Currency [0] 12" xfId="30553" hidden="1"/>
    <cellStyle name="Currency [0] 12" xfId="30804" hidden="1"/>
    <cellStyle name="Currency [0] 12" xfId="31233" hidden="1"/>
    <cellStyle name="Currency [0] 12" xfId="31951" hidden="1"/>
    <cellStyle name="Currency [0] 12" xfId="32123" hidden="1"/>
    <cellStyle name="Currency [0] 12" xfId="32522" hidden="1"/>
    <cellStyle name="Currency [0] 12" xfId="32667" hidden="1"/>
    <cellStyle name="Currency [0] 12" xfId="33008" hidden="1"/>
    <cellStyle name="Currency [0] 12" xfId="33345" hidden="1"/>
    <cellStyle name="Currency [0] 12" xfId="33596" hidden="1"/>
    <cellStyle name="Currency [0] 13" xfId="895" hidden="1"/>
    <cellStyle name="Currency [0] 13" xfId="3398" hidden="1"/>
    <cellStyle name="Currency [0] 13" xfId="3990" hidden="1"/>
    <cellStyle name="Currency [0] 13" xfId="5273" hidden="1"/>
    <cellStyle name="Currency [0] 13" xfId="5925" hidden="1"/>
    <cellStyle name="Currency [0] 13" xfId="6981" hidden="1"/>
    <cellStyle name="Currency [0] 13" xfId="8187" hidden="1"/>
    <cellStyle name="Currency [0] 13" xfId="9353" hidden="1"/>
    <cellStyle name="Currency [0] 13" xfId="10233" hidden="1"/>
    <cellStyle name="Currency [0] 13" xfId="10954" hidden="1"/>
    <cellStyle name="Currency [0] 13" xfId="11126" hidden="1"/>
    <cellStyle name="Currency [0] 13" xfId="11522" hidden="1"/>
    <cellStyle name="Currency [0] 13" xfId="11668" hidden="1"/>
    <cellStyle name="Currency [0] 13" xfId="12008" hidden="1"/>
    <cellStyle name="Currency [0] 13" xfId="12345" hidden="1"/>
    <cellStyle name="Currency [0] 13" xfId="12596" hidden="1"/>
    <cellStyle name="Currency [0] 13" xfId="13025" hidden="1"/>
    <cellStyle name="Currency [0] 13" xfId="13746" hidden="1"/>
    <cellStyle name="Currency [0] 13" xfId="13918" hidden="1"/>
    <cellStyle name="Currency [0] 13" xfId="14314" hidden="1"/>
    <cellStyle name="Currency [0] 13" xfId="14460" hidden="1"/>
    <cellStyle name="Currency [0] 13" xfId="14800" hidden="1"/>
    <cellStyle name="Currency [0] 13" xfId="15137" hidden="1"/>
    <cellStyle name="Currency [0] 13" xfId="15388" hidden="1"/>
    <cellStyle name="Currency [0] 13" xfId="8825" hidden="1"/>
    <cellStyle name="Currency [0] 13" xfId="6269" hidden="1"/>
    <cellStyle name="Currency [0] 13" xfId="5338" hidden="1"/>
    <cellStyle name="Currency [0] 13" xfId="3983" hidden="1"/>
    <cellStyle name="Currency [0] 13" xfId="3377" hidden="1"/>
    <cellStyle name="Currency [0] 13" xfId="1914" hidden="1"/>
    <cellStyle name="Currency [0] 13" xfId="846" hidden="1"/>
    <cellStyle name="Currency [0] 13" xfId="15822" hidden="1"/>
    <cellStyle name="Currency [0] 13" xfId="16574" hidden="1"/>
    <cellStyle name="Currency [0] 13" xfId="17295" hidden="1"/>
    <cellStyle name="Currency [0] 13" xfId="17467" hidden="1"/>
    <cellStyle name="Currency [0] 13" xfId="17863" hidden="1"/>
    <cellStyle name="Currency [0] 13" xfId="18009" hidden="1"/>
    <cellStyle name="Currency [0] 13" xfId="18349" hidden="1"/>
    <cellStyle name="Currency [0] 13" xfId="18686" hidden="1"/>
    <cellStyle name="Currency [0] 13" xfId="18937" hidden="1"/>
    <cellStyle name="Currency [0] 13" xfId="19366" hidden="1"/>
    <cellStyle name="Currency [0] 13" xfId="20087" hidden="1"/>
    <cellStyle name="Currency [0] 13" xfId="20259" hidden="1"/>
    <cellStyle name="Currency [0] 13" xfId="20655" hidden="1"/>
    <cellStyle name="Currency [0] 13" xfId="20801" hidden="1"/>
    <cellStyle name="Currency [0] 13" xfId="21141" hidden="1"/>
    <cellStyle name="Currency [0] 13" xfId="21478" hidden="1"/>
    <cellStyle name="Currency [0] 13" xfId="21729" hidden="1"/>
    <cellStyle name="Currency [0] 13" xfId="15452" hidden="1"/>
    <cellStyle name="Currency [0] 13" xfId="6766" hidden="1"/>
    <cellStyle name="Currency [0] 13" xfId="5886" hidden="1"/>
    <cellStyle name="Currency [0] 13" xfId="4264" hidden="1"/>
    <cellStyle name="Currency [0] 13" xfId="3630" hidden="1"/>
    <cellStyle name="Currency [0] 13" xfId="2091" hidden="1"/>
    <cellStyle name="Currency [0] 13" xfId="851" hidden="1"/>
    <cellStyle name="Currency [0] 13" xfId="22075" hidden="1"/>
    <cellStyle name="Currency [0] 13" xfId="22725" hidden="1"/>
    <cellStyle name="Currency [0] 13" xfId="23446" hidden="1"/>
    <cellStyle name="Currency [0] 13" xfId="23618" hidden="1"/>
    <cellStyle name="Currency [0] 13" xfId="24014" hidden="1"/>
    <cellStyle name="Currency [0] 13" xfId="24160" hidden="1"/>
    <cellStyle name="Currency [0] 13" xfId="24500" hidden="1"/>
    <cellStyle name="Currency [0] 13" xfId="24837" hidden="1"/>
    <cellStyle name="Currency [0] 13" xfId="25088" hidden="1"/>
    <cellStyle name="Currency [0] 13" xfId="25517" hidden="1"/>
    <cellStyle name="Currency [0] 13" xfId="26238" hidden="1"/>
    <cellStyle name="Currency [0] 13" xfId="26410" hidden="1"/>
    <cellStyle name="Currency [0] 13" xfId="26806" hidden="1"/>
    <cellStyle name="Currency [0] 13" xfId="26952" hidden="1"/>
    <cellStyle name="Currency [0] 13" xfId="27292" hidden="1"/>
    <cellStyle name="Currency [0] 13" xfId="27629" hidden="1"/>
    <cellStyle name="Currency [0] 13" xfId="27880" hidden="1"/>
    <cellStyle name="Currency [0] 13" xfId="21781" hidden="1"/>
    <cellStyle name="Currency [0] 13" xfId="7422" hidden="1"/>
    <cellStyle name="Currency [0] 13" xfId="6309" hidden="1"/>
    <cellStyle name="Currency [0] 13" xfId="4795" hidden="1"/>
    <cellStyle name="Currency [0] 13" xfId="3809" hidden="1"/>
    <cellStyle name="Currency [0] 13" xfId="2279" hidden="1"/>
    <cellStyle name="Currency [0] 13" xfId="859" hidden="1"/>
    <cellStyle name="Currency [0] 13" xfId="28015" hidden="1"/>
    <cellStyle name="Currency [0] 13" xfId="28444" hidden="1"/>
    <cellStyle name="Currency [0] 13" xfId="29165" hidden="1"/>
    <cellStyle name="Currency [0] 13" xfId="29337" hidden="1"/>
    <cellStyle name="Currency [0] 13" xfId="29733" hidden="1"/>
    <cellStyle name="Currency [0] 13" xfId="29879" hidden="1"/>
    <cellStyle name="Currency [0] 13" xfId="30219" hidden="1"/>
    <cellStyle name="Currency [0] 13" xfId="30556" hidden="1"/>
    <cellStyle name="Currency [0] 13" xfId="30807" hidden="1"/>
    <cellStyle name="Currency [0] 13" xfId="31236" hidden="1"/>
    <cellStyle name="Currency [0] 13" xfId="31957" hidden="1"/>
    <cellStyle name="Currency [0] 13" xfId="32129" hidden="1"/>
    <cellStyle name="Currency [0] 13" xfId="32525" hidden="1"/>
    <cellStyle name="Currency [0] 13" xfId="32671" hidden="1"/>
    <cellStyle name="Currency [0] 13" xfId="33011" hidden="1"/>
    <cellStyle name="Currency [0] 13" xfId="33348" hidden="1"/>
    <cellStyle name="Currency [0] 13" xfId="33599" hidden="1"/>
    <cellStyle name="Currency [0] 14" xfId="900" hidden="1"/>
    <cellStyle name="Currency [0] 14" xfId="3404" hidden="1"/>
    <cellStyle name="Currency [0] 14" xfId="4003" hidden="1"/>
    <cellStyle name="Currency [0] 14" xfId="5306" hidden="1"/>
    <cellStyle name="Currency [0] 14" xfId="5931" hidden="1"/>
    <cellStyle name="Currency [0] 14" xfId="7018" hidden="1"/>
    <cellStyle name="Currency [0] 14" xfId="8215" hidden="1"/>
    <cellStyle name="Currency [0] 14" xfId="9388" hidden="1"/>
    <cellStyle name="Currency [0] 14" xfId="10235" hidden="1"/>
    <cellStyle name="Currency [0] 14" xfId="10956" hidden="1"/>
    <cellStyle name="Currency [0] 14" xfId="11130" hidden="1"/>
    <cellStyle name="Currency [0] 14" xfId="11524" hidden="1"/>
    <cellStyle name="Currency [0] 14" xfId="11671" hidden="1"/>
    <cellStyle name="Currency [0] 14" xfId="12010" hidden="1"/>
    <cellStyle name="Currency [0] 14" xfId="12347" hidden="1"/>
    <cellStyle name="Currency [0] 14" xfId="12598" hidden="1"/>
    <cellStyle name="Currency [0] 14" xfId="13027" hidden="1"/>
    <cellStyle name="Currency [0] 14" xfId="13748" hidden="1"/>
    <cellStyle name="Currency [0] 14" xfId="13922" hidden="1"/>
    <cellStyle name="Currency [0] 14" xfId="14316" hidden="1"/>
    <cellStyle name="Currency [0] 14" xfId="14463" hidden="1"/>
    <cellStyle name="Currency [0] 14" xfId="14802" hidden="1"/>
    <cellStyle name="Currency [0] 14" xfId="15139" hidden="1"/>
    <cellStyle name="Currency [0] 14" xfId="15390" hidden="1"/>
    <cellStyle name="Currency [0] 14" xfId="8748" hidden="1"/>
    <cellStyle name="Currency [0] 14" xfId="6177" hidden="1"/>
    <cellStyle name="Currency [0] 14" xfId="5325" hidden="1"/>
    <cellStyle name="Currency [0] 14" xfId="3977" hidden="1"/>
    <cellStyle name="Currency [0] 14" xfId="3341" hidden="1"/>
    <cellStyle name="Currency [0] 14" xfId="1895" hidden="1"/>
    <cellStyle name="Currency [0] 14" xfId="754" hidden="1"/>
    <cellStyle name="Currency [0] 14" xfId="15854" hidden="1"/>
    <cellStyle name="Currency [0] 14" xfId="16576" hidden="1"/>
    <cellStyle name="Currency [0] 14" xfId="17297" hidden="1"/>
    <cellStyle name="Currency [0] 14" xfId="17471" hidden="1"/>
    <cellStyle name="Currency [0] 14" xfId="17865" hidden="1"/>
    <cellStyle name="Currency [0] 14" xfId="18012" hidden="1"/>
    <cellStyle name="Currency [0] 14" xfId="18351" hidden="1"/>
    <cellStyle name="Currency [0] 14" xfId="18688" hidden="1"/>
    <cellStyle name="Currency [0] 14" xfId="18939" hidden="1"/>
    <cellStyle name="Currency [0] 14" xfId="19368" hidden="1"/>
    <cellStyle name="Currency [0] 14" xfId="20089" hidden="1"/>
    <cellStyle name="Currency [0] 14" xfId="20263" hidden="1"/>
    <cellStyle name="Currency [0] 14" xfId="20657" hidden="1"/>
    <cellStyle name="Currency [0] 14" xfId="20804" hidden="1"/>
    <cellStyle name="Currency [0] 14" xfId="21143" hidden="1"/>
    <cellStyle name="Currency [0] 14" xfId="21480" hidden="1"/>
    <cellStyle name="Currency [0] 14" xfId="21731" hidden="1"/>
    <cellStyle name="Currency [0] 14" xfId="15393" hidden="1"/>
    <cellStyle name="Currency [0] 14" xfId="6737" hidden="1"/>
    <cellStyle name="Currency [0] 14" xfId="5877" hidden="1"/>
    <cellStyle name="Currency [0] 14" xfId="4252" hidden="1"/>
    <cellStyle name="Currency [0] 14" xfId="3623" hidden="1"/>
    <cellStyle name="Currency [0] 14" xfId="2076" hidden="1"/>
    <cellStyle name="Currency [0] 14" xfId="847" hidden="1"/>
    <cellStyle name="Currency [0] 14" xfId="22106" hidden="1"/>
    <cellStyle name="Currency [0] 14" xfId="22727" hidden="1"/>
    <cellStyle name="Currency [0] 14" xfId="23448" hidden="1"/>
    <cellStyle name="Currency [0] 14" xfId="23622" hidden="1"/>
    <cellStyle name="Currency [0] 14" xfId="24016" hidden="1"/>
    <cellStyle name="Currency [0] 14" xfId="24163" hidden="1"/>
    <cellStyle name="Currency [0] 14" xfId="24502" hidden="1"/>
    <cellStyle name="Currency [0] 14" xfId="24839" hidden="1"/>
    <cellStyle name="Currency [0] 14" xfId="25090" hidden="1"/>
    <cellStyle name="Currency [0] 14" xfId="25519" hidden="1"/>
    <cellStyle name="Currency [0] 14" xfId="26240" hidden="1"/>
    <cellStyle name="Currency [0] 14" xfId="26414" hidden="1"/>
    <cellStyle name="Currency [0] 14" xfId="26808" hidden="1"/>
    <cellStyle name="Currency [0] 14" xfId="26955" hidden="1"/>
    <cellStyle name="Currency [0] 14" xfId="27294" hidden="1"/>
    <cellStyle name="Currency [0] 14" xfId="27631" hidden="1"/>
    <cellStyle name="Currency [0] 14" xfId="27882" hidden="1"/>
    <cellStyle name="Currency [0] 14" xfId="16149" hidden="1"/>
    <cellStyle name="Currency [0] 14" xfId="7399" hidden="1"/>
    <cellStyle name="Currency [0] 14" xfId="6301" hidden="1"/>
    <cellStyle name="Currency [0] 14" xfId="4725" hidden="1"/>
    <cellStyle name="Currency [0] 14" xfId="3779" hidden="1"/>
    <cellStyle name="Currency [0] 14" xfId="2257" hidden="1"/>
    <cellStyle name="Currency [0] 14" xfId="852" hidden="1"/>
    <cellStyle name="Currency [0] 14" xfId="28017" hidden="1"/>
    <cellStyle name="Currency [0] 14" xfId="28446" hidden="1"/>
    <cellStyle name="Currency [0] 14" xfId="29167" hidden="1"/>
    <cellStyle name="Currency [0] 14" xfId="29341" hidden="1"/>
    <cellStyle name="Currency [0] 14" xfId="29735" hidden="1"/>
    <cellStyle name="Currency [0] 14" xfId="29882" hidden="1"/>
    <cellStyle name="Currency [0] 14" xfId="30221" hidden="1"/>
    <cellStyle name="Currency [0] 14" xfId="30558" hidden="1"/>
    <cellStyle name="Currency [0] 14" xfId="30809" hidden="1"/>
    <cellStyle name="Currency [0] 14" xfId="31238" hidden="1"/>
    <cellStyle name="Currency [0] 14" xfId="31959" hidden="1"/>
    <cellStyle name="Currency [0] 14" xfId="32133" hidden="1"/>
    <cellStyle name="Currency [0] 14" xfId="32527" hidden="1"/>
    <cellStyle name="Currency [0] 14" xfId="32674" hidden="1"/>
    <cellStyle name="Currency [0] 14" xfId="33013" hidden="1"/>
    <cellStyle name="Currency [0] 14" xfId="33350" hidden="1"/>
    <cellStyle name="Currency [0] 14" xfId="33601" hidden="1"/>
    <cellStyle name="Currency [0] 15" xfId="906" hidden="1"/>
    <cellStyle name="Currency [0] 15" xfId="3416" hidden="1"/>
    <cellStyle name="Currency [0] 15" xfId="4019" hidden="1"/>
    <cellStyle name="Currency [0] 15" xfId="5324" hidden="1"/>
    <cellStyle name="Currency [0] 15" xfId="6011" hidden="1"/>
    <cellStyle name="Currency [0] 15" xfId="7034" hidden="1"/>
    <cellStyle name="Currency [0] 15" xfId="8232" hidden="1"/>
    <cellStyle name="Currency [0] 15" xfId="9411" hidden="1"/>
    <cellStyle name="Currency [0] 15" xfId="10236" hidden="1"/>
    <cellStyle name="Currency [0] 15" xfId="10957" hidden="1"/>
    <cellStyle name="Currency [0] 15" xfId="11131" hidden="1"/>
    <cellStyle name="Currency [0] 15" xfId="11525" hidden="1"/>
    <cellStyle name="Currency [0] 15" xfId="11672" hidden="1"/>
    <cellStyle name="Currency [0] 15" xfId="12011" hidden="1"/>
    <cellStyle name="Currency [0] 15" xfId="12348" hidden="1"/>
    <cellStyle name="Currency [0] 15" xfId="12599" hidden="1"/>
    <cellStyle name="Currency [0] 15" xfId="13028" hidden="1"/>
    <cellStyle name="Currency [0] 15" xfId="13749" hidden="1"/>
    <cellStyle name="Currency [0] 15" xfId="13923" hidden="1"/>
    <cellStyle name="Currency [0] 15" xfId="14317" hidden="1"/>
    <cellStyle name="Currency [0] 15" xfId="14464" hidden="1"/>
    <cellStyle name="Currency [0] 15" xfId="14803" hidden="1"/>
    <cellStyle name="Currency [0] 15" xfId="15140" hidden="1"/>
    <cellStyle name="Currency [0] 15" xfId="15391" hidden="1"/>
    <cellStyle name="Currency [0] 15" xfId="8720" hidden="1"/>
    <cellStyle name="Currency [0] 15" xfId="6144" hidden="1"/>
    <cellStyle name="Currency [0] 15" xfId="5305" hidden="1"/>
    <cellStyle name="Currency [0] 15" xfId="3970" hidden="1"/>
    <cellStyle name="Currency [0] 15" xfId="3314" hidden="1"/>
    <cellStyle name="Currency [0] 15" xfId="1878" hidden="1"/>
    <cellStyle name="Currency [0] 15" xfId="655" hidden="1"/>
    <cellStyle name="Currency [0] 15" xfId="15864" hidden="1"/>
    <cellStyle name="Currency [0] 15" xfId="16577" hidden="1"/>
    <cellStyle name="Currency [0] 15" xfId="17298" hidden="1"/>
    <cellStyle name="Currency [0] 15" xfId="17472" hidden="1"/>
    <cellStyle name="Currency [0] 15" xfId="17866" hidden="1"/>
    <cellStyle name="Currency [0] 15" xfId="18013" hidden="1"/>
    <cellStyle name="Currency [0] 15" xfId="18352" hidden="1"/>
    <cellStyle name="Currency [0] 15" xfId="18689" hidden="1"/>
    <cellStyle name="Currency [0] 15" xfId="18940" hidden="1"/>
    <cellStyle name="Currency [0] 15" xfId="19369" hidden="1"/>
    <cellStyle name="Currency [0] 15" xfId="20090" hidden="1"/>
    <cellStyle name="Currency [0] 15" xfId="20264" hidden="1"/>
    <cellStyle name="Currency [0] 15" xfId="20658" hidden="1"/>
    <cellStyle name="Currency [0] 15" xfId="20805" hidden="1"/>
    <cellStyle name="Currency [0] 15" xfId="21144" hidden="1"/>
    <cellStyle name="Currency [0] 15" xfId="21481" hidden="1"/>
    <cellStyle name="Currency [0] 15" xfId="21732" hidden="1"/>
    <cellStyle name="Currency [0] 15" xfId="9784" hidden="1"/>
    <cellStyle name="Currency [0] 15" xfId="6701" hidden="1"/>
    <cellStyle name="Currency [0] 15" xfId="5857" hidden="1"/>
    <cellStyle name="Currency [0] 15" xfId="4243" hidden="1"/>
    <cellStyle name="Currency [0] 15" xfId="3619" hidden="1"/>
    <cellStyle name="Currency [0] 15" xfId="2059" hidden="1"/>
    <cellStyle name="Currency [0] 15" xfId="842" hidden="1"/>
    <cellStyle name="Currency [0] 15" xfId="22117" hidden="1"/>
    <cellStyle name="Currency [0] 15" xfId="22728" hidden="1"/>
    <cellStyle name="Currency [0] 15" xfId="23449" hidden="1"/>
    <cellStyle name="Currency [0] 15" xfId="23623" hidden="1"/>
    <cellStyle name="Currency [0] 15" xfId="24017" hidden="1"/>
    <cellStyle name="Currency [0] 15" xfId="24164" hidden="1"/>
    <cellStyle name="Currency [0] 15" xfId="24503" hidden="1"/>
    <cellStyle name="Currency [0] 15" xfId="24840" hidden="1"/>
    <cellStyle name="Currency [0] 15" xfId="25091" hidden="1"/>
    <cellStyle name="Currency [0] 15" xfId="25520" hidden="1"/>
    <cellStyle name="Currency [0] 15" xfId="26241" hidden="1"/>
    <cellStyle name="Currency [0] 15" xfId="26415" hidden="1"/>
    <cellStyle name="Currency [0] 15" xfId="26809" hidden="1"/>
    <cellStyle name="Currency [0] 15" xfId="26956" hidden="1"/>
    <cellStyle name="Currency [0] 15" xfId="27295" hidden="1"/>
    <cellStyle name="Currency [0] 15" xfId="27632" hidden="1"/>
    <cellStyle name="Currency [0] 15" xfId="27883" hidden="1"/>
    <cellStyle name="Currency [0] 15" xfId="16142" hidden="1"/>
    <cellStyle name="Currency [0] 15" xfId="7375" hidden="1"/>
    <cellStyle name="Currency [0] 15" xfId="6297" hidden="1"/>
    <cellStyle name="Currency [0] 15" xfId="4651" hidden="1"/>
    <cellStyle name="Currency [0] 15" xfId="3773" hidden="1"/>
    <cellStyle name="Currency [0] 15" xfId="2244" hidden="1"/>
    <cellStyle name="Currency [0] 15" xfId="849" hidden="1"/>
    <cellStyle name="Currency [0] 15" xfId="28018" hidden="1"/>
    <cellStyle name="Currency [0] 15" xfId="28447" hidden="1"/>
    <cellStyle name="Currency [0] 15" xfId="29168" hidden="1"/>
    <cellStyle name="Currency [0] 15" xfId="29342" hidden="1"/>
    <cellStyle name="Currency [0] 15" xfId="29736" hidden="1"/>
    <cellStyle name="Currency [0] 15" xfId="29883" hidden="1"/>
    <cellStyle name="Currency [0] 15" xfId="30222" hidden="1"/>
    <cellStyle name="Currency [0] 15" xfId="30559" hidden="1"/>
    <cellStyle name="Currency [0] 15" xfId="30810" hidden="1"/>
    <cellStyle name="Currency [0] 15" xfId="31239" hidden="1"/>
    <cellStyle name="Currency [0] 15" xfId="31960" hidden="1"/>
    <cellStyle name="Currency [0] 15" xfId="32134" hidden="1"/>
    <cellStyle name="Currency [0] 15" xfId="32528" hidden="1"/>
    <cellStyle name="Currency [0] 15" xfId="32675" hidden="1"/>
    <cellStyle name="Currency [0] 15" xfId="33014" hidden="1"/>
    <cellStyle name="Currency [0] 15" xfId="33351" hidden="1"/>
    <cellStyle name="Currency [0] 15" xfId="33602" hidden="1"/>
    <cellStyle name="Currency [0] 16" xfId="899" hidden="1"/>
    <cellStyle name="Currency [0] 16" xfId="3403" hidden="1"/>
    <cellStyle name="Currency [0] 16" xfId="3995" hidden="1"/>
    <cellStyle name="Currency [0] 16" xfId="5302" hidden="1"/>
    <cellStyle name="Currency [0] 16" xfId="5930" hidden="1"/>
    <cellStyle name="Currency [0] 16" xfId="7008" hidden="1"/>
    <cellStyle name="Currency [0] 16" xfId="8210" hidden="1"/>
    <cellStyle name="Currency [0] 16" xfId="9377" hidden="1"/>
    <cellStyle name="Currency [0] 16" xfId="10234" hidden="1"/>
    <cellStyle name="Currency [0] 16" xfId="10955" hidden="1"/>
    <cellStyle name="Currency [0] 16" xfId="11127" hidden="1"/>
    <cellStyle name="Currency [0] 16" xfId="11523" hidden="1"/>
    <cellStyle name="Currency [0] 16" xfId="11670" hidden="1"/>
    <cellStyle name="Currency [0] 16" xfId="12009" hidden="1"/>
    <cellStyle name="Currency [0] 16" xfId="12346" hidden="1"/>
    <cellStyle name="Currency [0] 16" xfId="12597" hidden="1"/>
    <cellStyle name="Currency [0] 16" xfId="13026" hidden="1"/>
    <cellStyle name="Currency [0] 16" xfId="13747" hidden="1"/>
    <cellStyle name="Currency [0] 16" xfId="13919" hidden="1"/>
    <cellStyle name="Currency [0] 16" xfId="14315" hidden="1"/>
    <cellStyle name="Currency [0] 16" xfId="14462" hidden="1"/>
    <cellStyle name="Currency [0] 16" xfId="14801" hidden="1"/>
    <cellStyle name="Currency [0] 16" xfId="15138" hidden="1"/>
    <cellStyle name="Currency [0] 16" xfId="15389" hidden="1"/>
    <cellStyle name="Currency [0] 16" xfId="8758" hidden="1"/>
    <cellStyle name="Currency [0] 16" xfId="6195" hidden="1"/>
    <cellStyle name="Currency [0] 16" xfId="5329" hidden="1"/>
    <cellStyle name="Currency [0] 16" xfId="3980" hidden="1"/>
    <cellStyle name="Currency [0] 16" xfId="3346" hidden="1"/>
    <cellStyle name="Currency [0] 16" xfId="1896" hidden="1"/>
    <cellStyle name="Currency [0] 16" xfId="843" hidden="1"/>
    <cellStyle name="Currency [0] 16" xfId="15845" hidden="1"/>
    <cellStyle name="Currency [0] 16" xfId="16575" hidden="1"/>
    <cellStyle name="Currency [0] 16" xfId="17296" hidden="1"/>
    <cellStyle name="Currency [0] 16" xfId="17468" hidden="1"/>
    <cellStyle name="Currency [0] 16" xfId="17864" hidden="1"/>
    <cellStyle name="Currency [0] 16" xfId="18011" hidden="1"/>
    <cellStyle name="Currency [0] 16" xfId="18350" hidden="1"/>
    <cellStyle name="Currency [0] 16" xfId="18687" hidden="1"/>
    <cellStyle name="Currency [0] 16" xfId="18938" hidden="1"/>
    <cellStyle name="Currency [0] 16" xfId="19367" hidden="1"/>
    <cellStyle name="Currency [0] 16" xfId="20088" hidden="1"/>
    <cellStyle name="Currency [0] 16" xfId="20260" hidden="1"/>
    <cellStyle name="Currency [0] 16" xfId="20656" hidden="1"/>
    <cellStyle name="Currency [0] 16" xfId="20803" hidden="1"/>
    <cellStyle name="Currency [0] 16" xfId="21142" hidden="1"/>
    <cellStyle name="Currency [0] 16" xfId="21479" hidden="1"/>
    <cellStyle name="Currency [0] 16" xfId="21730" hidden="1"/>
    <cellStyle name="Currency [0] 16" xfId="15398" hidden="1"/>
    <cellStyle name="Currency [0] 16" xfId="6744" hidden="1"/>
    <cellStyle name="Currency [0] 16" xfId="5880" hidden="1"/>
    <cellStyle name="Currency [0] 16" xfId="4254" hidden="1"/>
    <cellStyle name="Currency [0] 16" xfId="3625" hidden="1"/>
    <cellStyle name="Currency [0] 16" xfId="2083" hidden="1"/>
    <cellStyle name="Currency [0] 16" xfId="848" hidden="1"/>
    <cellStyle name="Currency [0] 16" xfId="22098" hidden="1"/>
    <cellStyle name="Currency [0] 16" xfId="22726" hidden="1"/>
    <cellStyle name="Currency [0] 16" xfId="23447" hidden="1"/>
    <cellStyle name="Currency [0] 16" xfId="23619" hidden="1"/>
    <cellStyle name="Currency [0] 16" xfId="24015" hidden="1"/>
    <cellStyle name="Currency [0] 16" xfId="24162" hidden="1"/>
    <cellStyle name="Currency [0] 16" xfId="24501" hidden="1"/>
    <cellStyle name="Currency [0] 16" xfId="24838" hidden="1"/>
    <cellStyle name="Currency [0] 16" xfId="25089" hidden="1"/>
    <cellStyle name="Currency [0] 16" xfId="25518" hidden="1"/>
    <cellStyle name="Currency [0] 16" xfId="26239" hidden="1"/>
    <cellStyle name="Currency [0] 16" xfId="26411" hidden="1"/>
    <cellStyle name="Currency [0] 16" xfId="26807" hidden="1"/>
    <cellStyle name="Currency [0] 16" xfId="26954" hidden="1"/>
    <cellStyle name="Currency [0] 16" xfId="27293" hidden="1"/>
    <cellStyle name="Currency [0] 16" xfId="27630" hidden="1"/>
    <cellStyle name="Currency [0] 16" xfId="27881" hidden="1"/>
    <cellStyle name="Currency [0] 16" xfId="21739" hidden="1"/>
    <cellStyle name="Currency [0] 16" xfId="7405" hidden="1"/>
    <cellStyle name="Currency [0] 16" xfId="6304" hidden="1"/>
    <cellStyle name="Currency [0] 16" xfId="4740" hidden="1"/>
    <cellStyle name="Currency [0] 16" xfId="3785" hidden="1"/>
    <cellStyle name="Currency [0] 16" xfId="2264" hidden="1"/>
    <cellStyle name="Currency [0] 16" xfId="853" hidden="1"/>
    <cellStyle name="Currency [0] 16" xfId="28016" hidden="1"/>
    <cellStyle name="Currency [0] 16" xfId="28445" hidden="1"/>
    <cellStyle name="Currency [0] 16" xfId="29166" hidden="1"/>
    <cellStyle name="Currency [0] 16" xfId="29338" hidden="1"/>
    <cellStyle name="Currency [0] 16" xfId="29734" hidden="1"/>
    <cellStyle name="Currency [0] 16" xfId="29881" hidden="1"/>
    <cellStyle name="Currency [0] 16" xfId="30220" hidden="1"/>
    <cellStyle name="Currency [0] 16" xfId="30557" hidden="1"/>
    <cellStyle name="Currency [0] 16" xfId="30808" hidden="1"/>
    <cellStyle name="Currency [0] 16" xfId="31237" hidden="1"/>
    <cellStyle name="Currency [0] 16" xfId="31958" hidden="1"/>
    <cellStyle name="Currency [0] 16" xfId="32130" hidden="1"/>
    <cellStyle name="Currency [0] 16" xfId="32526" hidden="1"/>
    <cellStyle name="Currency [0] 16" xfId="32673" hidden="1"/>
    <cellStyle name="Currency [0] 16" xfId="33012" hidden="1"/>
    <cellStyle name="Currency [0] 16" xfId="33349" hidden="1"/>
    <cellStyle name="Currency [0] 16" xfId="33600" hidden="1"/>
    <cellStyle name="Currency [0] 17" xfId="926" hidden="1"/>
    <cellStyle name="Currency [0] 17" xfId="3505" hidden="1"/>
    <cellStyle name="Currency [0] 17" xfId="4026" hidden="1"/>
    <cellStyle name="Currency [0] 17" xfId="5336" hidden="1"/>
    <cellStyle name="Currency [0] 17" xfId="6038" hidden="1"/>
    <cellStyle name="Currency [0] 17" xfId="7052" hidden="1"/>
    <cellStyle name="Currency [0] 17" xfId="8253" hidden="1"/>
    <cellStyle name="Currency [0] 17" xfId="9435" hidden="1"/>
    <cellStyle name="Currency [0] 17" xfId="10237" hidden="1"/>
    <cellStyle name="Currency [0] 17" xfId="10959" hidden="1"/>
    <cellStyle name="Currency [0] 17" xfId="11132" hidden="1"/>
    <cellStyle name="Currency [0] 17" xfId="11526" hidden="1"/>
    <cellStyle name="Currency [0] 17" xfId="11673" hidden="1"/>
    <cellStyle name="Currency [0] 17" xfId="12012" hidden="1"/>
    <cellStyle name="Currency [0] 17" xfId="12349" hidden="1"/>
    <cellStyle name="Currency [0] 17" xfId="12600" hidden="1"/>
    <cellStyle name="Currency [0] 17" xfId="13029" hidden="1"/>
    <cellStyle name="Currency [0] 17" xfId="13751" hidden="1"/>
    <cellStyle name="Currency [0] 17" xfId="13924" hidden="1"/>
    <cellStyle name="Currency [0] 17" xfId="14318" hidden="1"/>
    <cellStyle name="Currency [0] 17" xfId="14465" hidden="1"/>
    <cellStyle name="Currency [0] 17" xfId="14804" hidden="1"/>
    <cellStyle name="Currency [0] 17" xfId="15141" hidden="1"/>
    <cellStyle name="Currency [0] 17" xfId="15392" hidden="1"/>
    <cellStyle name="Currency [0] 17" xfId="8686" hidden="1"/>
    <cellStyle name="Currency [0] 17" xfId="6036" hidden="1"/>
    <cellStyle name="Currency [0] 17" xfId="5263" hidden="1"/>
    <cellStyle name="Currency [0] 17" xfId="3962" hidden="1"/>
    <cellStyle name="Currency [0] 17" xfId="3303" hidden="1"/>
    <cellStyle name="Currency [0] 17" xfId="1856" hidden="1"/>
    <cellStyle name="Currency [0] 17" xfId="550" hidden="1"/>
    <cellStyle name="Currency [0] 17" xfId="15877" hidden="1"/>
    <cellStyle name="Currency [0] 17" xfId="16578" hidden="1"/>
    <cellStyle name="Currency [0] 17" xfId="17300" hidden="1"/>
    <cellStyle name="Currency [0] 17" xfId="17473" hidden="1"/>
    <cellStyle name="Currency [0] 17" xfId="17867" hidden="1"/>
    <cellStyle name="Currency [0] 17" xfId="18014" hidden="1"/>
    <cellStyle name="Currency [0] 17" xfId="18353" hidden="1"/>
    <cellStyle name="Currency [0] 17" xfId="18690" hidden="1"/>
    <cellStyle name="Currency [0] 17" xfId="18941" hidden="1"/>
    <cellStyle name="Currency [0] 17" xfId="19370" hidden="1"/>
    <cellStyle name="Currency [0] 17" xfId="20092" hidden="1"/>
    <cellStyle name="Currency [0] 17" xfId="20265" hidden="1"/>
    <cellStyle name="Currency [0] 17" xfId="20659" hidden="1"/>
    <cellStyle name="Currency [0] 17" xfId="20806" hidden="1"/>
    <cellStyle name="Currency [0] 17" xfId="21145" hidden="1"/>
    <cellStyle name="Currency [0] 17" xfId="21482" hidden="1"/>
    <cellStyle name="Currency [0] 17" xfId="21733" hidden="1"/>
    <cellStyle name="Currency [0] 17" xfId="9764" hidden="1"/>
    <cellStyle name="Currency [0] 17" xfId="6634" hidden="1"/>
    <cellStyle name="Currency [0] 17" xfId="5796" hidden="1"/>
    <cellStyle name="Currency [0] 17" xfId="4236" hidden="1"/>
    <cellStyle name="Currency [0] 17" xfId="3613" hidden="1"/>
    <cellStyle name="Currency [0] 17" xfId="2035" hidden="1"/>
    <cellStyle name="Currency [0] 17" xfId="659" hidden="1"/>
    <cellStyle name="Currency [0] 17" xfId="22129" hidden="1"/>
    <cellStyle name="Currency [0] 17" xfId="22729" hidden="1"/>
    <cellStyle name="Currency [0] 17" xfId="23451" hidden="1"/>
    <cellStyle name="Currency [0] 17" xfId="23624" hidden="1"/>
    <cellStyle name="Currency [0] 17" xfId="24018" hidden="1"/>
    <cellStyle name="Currency [0] 17" xfId="24165" hidden="1"/>
    <cellStyle name="Currency [0] 17" xfId="24504" hidden="1"/>
    <cellStyle name="Currency [0] 17" xfId="24841" hidden="1"/>
    <cellStyle name="Currency [0] 17" xfId="25092" hidden="1"/>
    <cellStyle name="Currency [0] 17" xfId="25521" hidden="1"/>
    <cellStyle name="Currency [0] 17" xfId="26243" hidden="1"/>
    <cellStyle name="Currency [0] 17" xfId="26416" hidden="1"/>
    <cellStyle name="Currency [0] 17" xfId="26810" hidden="1"/>
    <cellStyle name="Currency [0] 17" xfId="26957" hidden="1"/>
    <cellStyle name="Currency [0] 17" xfId="27296" hidden="1"/>
    <cellStyle name="Currency [0] 17" xfId="27633" hidden="1"/>
    <cellStyle name="Currency [0] 17" xfId="27884" hidden="1"/>
    <cellStyle name="Currency [0] 17" xfId="16139" hidden="1"/>
    <cellStyle name="Currency [0] 17" xfId="7342" hidden="1"/>
    <cellStyle name="Currency [0] 17" xfId="6289" hidden="1"/>
    <cellStyle name="Currency [0] 17" xfId="4560" hidden="1"/>
    <cellStyle name="Currency [0] 17" xfId="3769" hidden="1"/>
    <cellStyle name="Currency [0] 17" xfId="2213" hidden="1"/>
    <cellStyle name="Currency [0] 17" xfId="844" hidden="1"/>
    <cellStyle name="Currency [0] 17" xfId="28019" hidden="1"/>
    <cellStyle name="Currency [0] 17" xfId="28448" hidden="1"/>
    <cellStyle name="Currency [0] 17" xfId="29170" hidden="1"/>
    <cellStyle name="Currency [0] 17" xfId="29343" hidden="1"/>
    <cellStyle name="Currency [0] 17" xfId="29737" hidden="1"/>
    <cellStyle name="Currency [0] 17" xfId="29884" hidden="1"/>
    <cellStyle name="Currency [0] 17" xfId="30223" hidden="1"/>
    <cellStyle name="Currency [0] 17" xfId="30560" hidden="1"/>
    <cellStyle name="Currency [0] 17" xfId="30811" hidden="1"/>
    <cellStyle name="Currency [0] 17" xfId="31240" hidden="1"/>
    <cellStyle name="Currency [0] 17" xfId="31962" hidden="1"/>
    <cellStyle name="Currency [0] 17" xfId="32135" hidden="1"/>
    <cellStyle name="Currency [0] 17" xfId="32529" hidden="1"/>
    <cellStyle name="Currency [0] 17" xfId="32676" hidden="1"/>
    <cellStyle name="Currency [0] 17" xfId="33015" hidden="1"/>
    <cellStyle name="Currency [0] 17" xfId="33352" hidden="1"/>
    <cellStyle name="Currency [0] 17" xfId="33603" hidden="1"/>
    <cellStyle name="Currency [0] 2" xfId="841" hidden="1"/>
    <cellStyle name="Currency [0] 2" xfId="2953" hidden="1"/>
    <cellStyle name="Currency [0] 2" xfId="2204" hidden="1"/>
    <cellStyle name="Currency [0] 2" xfId="4903" hidden="1"/>
    <cellStyle name="Currency [0] 2" xfId="3824" hidden="1"/>
    <cellStyle name="Currency [0] 2" xfId="6732" hidden="1"/>
    <cellStyle name="Currency [0] 2" xfId="7914" hidden="1"/>
    <cellStyle name="Currency [0] 2" xfId="9033" hidden="1"/>
    <cellStyle name="Currency [0] 2" xfId="10222" hidden="1"/>
    <cellStyle name="Currency [0] 2" xfId="10904" hidden="1"/>
    <cellStyle name="Currency [0] 2" xfId="10558" hidden="1"/>
    <cellStyle name="Currency [0] 2" xfId="11487" hidden="1"/>
    <cellStyle name="Currency [0] 2" xfId="11096" hidden="1"/>
    <cellStyle name="Currency [0] 2" xfId="11992" hidden="1"/>
    <cellStyle name="Currency [0] 2" xfId="12329" hidden="1"/>
    <cellStyle name="Currency [0] 2" xfId="12585" hidden="1"/>
    <cellStyle name="Currency [0] 2" xfId="13014" hidden="1"/>
    <cellStyle name="Currency [0] 2" xfId="13696" hidden="1"/>
    <cellStyle name="Currency [0] 2" xfId="13350" hidden="1"/>
    <cellStyle name="Currency [0] 2" xfId="14279" hidden="1"/>
    <cellStyle name="Currency [0] 2" xfId="13888" hidden="1"/>
    <cellStyle name="Currency [0] 2" xfId="14784" hidden="1"/>
    <cellStyle name="Currency [0] 2" xfId="15121" hidden="1"/>
    <cellStyle name="Currency [0] 2" xfId="15377" hidden="1"/>
    <cellStyle name="Currency [0] 2" xfId="9105" hidden="1"/>
    <cellStyle name="Currency [0] 2" xfId="6620" hidden="1"/>
    <cellStyle name="Currency [0] 2" xfId="7372" hidden="1"/>
    <cellStyle name="Currency [0] 2" xfId="4273" hidden="1"/>
    <cellStyle name="Currency [0] 2" xfId="5644" hidden="1"/>
    <cellStyle name="Currency [0] 2" xfId="2287" hidden="1"/>
    <cellStyle name="Currency [0] 2" xfId="905" hidden="1"/>
    <cellStyle name="Currency [0] 2" xfId="15584" hidden="1"/>
    <cellStyle name="Currency [0] 2" xfId="16563" hidden="1"/>
    <cellStyle name="Currency [0] 2" xfId="17245" hidden="1"/>
    <cellStyle name="Currency [0] 2" xfId="16899" hidden="1"/>
    <cellStyle name="Currency [0] 2" xfId="17828" hidden="1"/>
    <cellStyle name="Currency [0] 2" xfId="17437" hidden="1"/>
    <cellStyle name="Currency [0] 2" xfId="18333" hidden="1"/>
    <cellStyle name="Currency [0] 2" xfId="18670" hidden="1"/>
    <cellStyle name="Currency [0] 2" xfId="18926" hidden="1"/>
    <cellStyle name="Currency [0] 2" xfId="19355" hidden="1"/>
    <cellStyle name="Currency [0] 2" xfId="20037" hidden="1"/>
    <cellStyle name="Currency [0] 2" xfId="19691" hidden="1"/>
    <cellStyle name="Currency [0] 2" xfId="20620" hidden="1"/>
    <cellStyle name="Currency [0] 2" xfId="20229" hidden="1"/>
    <cellStyle name="Currency [0] 2" xfId="21125" hidden="1"/>
    <cellStyle name="Currency [0] 2" xfId="21462" hidden="1"/>
    <cellStyle name="Currency [0] 2" xfId="21718" hidden="1"/>
    <cellStyle name="Currency [0] 2" xfId="15613" hidden="1"/>
    <cellStyle name="Currency [0] 2" xfId="7314" hidden="1"/>
    <cellStyle name="Currency [0] 2" xfId="8225" hidden="1"/>
    <cellStyle name="Currency [0] 2" xfId="4889" hidden="1"/>
    <cellStyle name="Currency [0] 2" xfId="6152" hidden="1"/>
    <cellStyle name="Currency [0] 2" xfId="2548" hidden="1"/>
    <cellStyle name="Currency [0] 2" xfId="956" hidden="1"/>
    <cellStyle name="Currency [0] 2" xfId="21862" hidden="1"/>
    <cellStyle name="Currency [0] 2" xfId="22714" hidden="1"/>
    <cellStyle name="Currency [0] 2" xfId="23396" hidden="1"/>
    <cellStyle name="Currency [0] 2" xfId="23050" hidden="1"/>
    <cellStyle name="Currency [0] 2" xfId="23979" hidden="1"/>
    <cellStyle name="Currency [0] 2" xfId="23588" hidden="1"/>
    <cellStyle name="Currency [0] 2" xfId="24484" hidden="1"/>
    <cellStyle name="Currency [0] 2" xfId="24821" hidden="1"/>
    <cellStyle name="Currency [0] 2" xfId="25077" hidden="1"/>
    <cellStyle name="Currency [0] 2" xfId="25506" hidden="1"/>
    <cellStyle name="Currency [0] 2" xfId="26188" hidden="1"/>
    <cellStyle name="Currency [0] 2" xfId="25842" hidden="1"/>
    <cellStyle name="Currency [0] 2" xfId="26771" hidden="1"/>
    <cellStyle name="Currency [0] 2" xfId="26380" hidden="1"/>
    <cellStyle name="Currency [0] 2" xfId="27276" hidden="1"/>
    <cellStyle name="Currency [0] 2" xfId="27613" hidden="1"/>
    <cellStyle name="Currency [0] 2" xfId="27869" hidden="1"/>
    <cellStyle name="Currency [0] 2" xfId="21869" hidden="1"/>
    <cellStyle name="Currency [0] 2" xfId="8174" hidden="1"/>
    <cellStyle name="Currency [0] 2" xfId="9296" hidden="1"/>
    <cellStyle name="Currency [0] 2" xfId="5322" hidden="1"/>
    <cellStyle name="Currency [0] 2" xfId="6718" hidden="1"/>
    <cellStyle name="Currency [0] 2" xfId="2931" hidden="1"/>
    <cellStyle name="Currency [0] 2" xfId="1127" hidden="1"/>
    <cellStyle name="Currency [0] 2" xfId="28004" hidden="1"/>
    <cellStyle name="Currency [0] 2" xfId="28433" hidden="1"/>
    <cellStyle name="Currency [0] 2" xfId="29115" hidden="1"/>
    <cellStyle name="Currency [0] 2" xfId="28769" hidden="1"/>
    <cellStyle name="Currency [0] 2" xfId="29698" hidden="1"/>
    <cellStyle name="Currency [0] 2" xfId="29307" hidden="1"/>
    <cellStyle name="Currency [0] 2" xfId="30203" hidden="1"/>
    <cellStyle name="Currency [0] 2" xfId="30540" hidden="1"/>
    <cellStyle name="Currency [0] 2" xfId="30796" hidden="1"/>
    <cellStyle name="Currency [0] 2" xfId="31225" hidden="1"/>
    <cellStyle name="Currency [0] 2" xfId="31907" hidden="1"/>
    <cellStyle name="Currency [0] 2" xfId="31561" hidden="1"/>
    <cellStyle name="Currency [0] 2" xfId="32490" hidden="1"/>
    <cellStyle name="Currency [0] 2" xfId="32099" hidden="1"/>
    <cellStyle name="Currency [0] 2" xfId="32995" hidden="1"/>
    <cellStyle name="Currency [0] 2" xfId="33332" hidden="1"/>
    <cellStyle name="Currency [0] 2" xfId="33588" hidden="1"/>
    <cellStyle name="Currency [0] 3" xfId="845" hidden="1"/>
    <cellStyle name="Currency [0] 3" xfId="2973" hidden="1"/>
    <cellStyle name="Currency [0] 3" xfId="2293" hidden="1"/>
    <cellStyle name="Currency [0] 3" xfId="4911" hidden="1"/>
    <cellStyle name="Currency [0] 3" xfId="2072" hidden="1"/>
    <cellStyle name="Currency [0] 3" xfId="6753" hidden="1"/>
    <cellStyle name="Currency [0] 3" xfId="7944" hidden="1"/>
    <cellStyle name="Currency [0] 3" xfId="9051" hidden="1"/>
    <cellStyle name="Currency [0] 3" xfId="10223" hidden="1"/>
    <cellStyle name="Currency [0] 3" xfId="10905" hidden="1"/>
    <cellStyle name="Currency [0] 3" xfId="10629" hidden="1"/>
    <cellStyle name="Currency [0] 3" xfId="11488" hidden="1"/>
    <cellStyle name="Currency [0] 3" xfId="10534" hidden="1"/>
    <cellStyle name="Currency [0] 3" xfId="11993" hidden="1"/>
    <cellStyle name="Currency [0] 3" xfId="12330" hidden="1"/>
    <cellStyle name="Currency [0] 3" xfId="12586" hidden="1"/>
    <cellStyle name="Currency [0] 3" xfId="13015" hidden="1"/>
    <cellStyle name="Currency [0] 3" xfId="13697" hidden="1"/>
    <cellStyle name="Currency [0] 3" xfId="13421" hidden="1"/>
    <cellStyle name="Currency [0] 3" xfId="14280" hidden="1"/>
    <cellStyle name="Currency [0] 3" xfId="13326" hidden="1"/>
    <cellStyle name="Currency [0] 3" xfId="14785" hidden="1"/>
    <cellStyle name="Currency [0] 3" xfId="15122" hidden="1"/>
    <cellStyle name="Currency [0] 3" xfId="15378" hidden="1"/>
    <cellStyle name="Currency [0] 3" xfId="9096" hidden="1"/>
    <cellStyle name="Currency [0] 3" xfId="6556" hidden="1"/>
    <cellStyle name="Currency [0] 3" xfId="7172" hidden="1"/>
    <cellStyle name="Currency [0] 3" xfId="4269" hidden="1"/>
    <cellStyle name="Currency [0] 3" xfId="7427" hidden="1"/>
    <cellStyle name="Currency [0] 3" xfId="2270" hidden="1"/>
    <cellStyle name="Currency [0] 3" xfId="903" hidden="1"/>
    <cellStyle name="Currency [0] 3" xfId="15591" hidden="1"/>
    <cellStyle name="Currency [0] 3" xfId="16564" hidden="1"/>
    <cellStyle name="Currency [0] 3" xfId="17246" hidden="1"/>
    <cellStyle name="Currency [0] 3" xfId="16970" hidden="1"/>
    <cellStyle name="Currency [0] 3" xfId="17829" hidden="1"/>
    <cellStyle name="Currency [0] 3" xfId="16875" hidden="1"/>
    <cellStyle name="Currency [0] 3" xfId="18334" hidden="1"/>
    <cellStyle name="Currency [0] 3" xfId="18671" hidden="1"/>
    <cellStyle name="Currency [0] 3" xfId="18927" hidden="1"/>
    <cellStyle name="Currency [0] 3" xfId="19356" hidden="1"/>
    <cellStyle name="Currency [0] 3" xfId="20038" hidden="1"/>
    <cellStyle name="Currency [0] 3" xfId="19762" hidden="1"/>
    <cellStyle name="Currency [0] 3" xfId="20621" hidden="1"/>
    <cellStyle name="Currency [0] 3" xfId="19667" hidden="1"/>
    <cellStyle name="Currency [0] 3" xfId="21126" hidden="1"/>
    <cellStyle name="Currency [0] 3" xfId="21463" hidden="1"/>
    <cellStyle name="Currency [0] 3" xfId="21719" hidden="1"/>
    <cellStyle name="Currency [0] 3" xfId="15610" hidden="1"/>
    <cellStyle name="Currency [0] 3" xfId="7250" hidden="1"/>
    <cellStyle name="Currency [0] 3" xfId="8100" hidden="1"/>
    <cellStyle name="Currency [0] 3" xfId="4848" hidden="1"/>
    <cellStyle name="Currency [0] 3" xfId="8376" hidden="1"/>
    <cellStyle name="Currency [0] 3" xfId="2491" hidden="1"/>
    <cellStyle name="Currency [0] 3" xfId="913" hidden="1"/>
    <cellStyle name="Currency [0] 3" xfId="21865" hidden="1"/>
    <cellStyle name="Currency [0] 3" xfId="22715" hidden="1"/>
    <cellStyle name="Currency [0] 3" xfId="23397" hidden="1"/>
    <cellStyle name="Currency [0] 3" xfId="23121" hidden="1"/>
    <cellStyle name="Currency [0] 3" xfId="23980" hidden="1"/>
    <cellStyle name="Currency [0] 3" xfId="23026" hidden="1"/>
    <cellStyle name="Currency [0] 3" xfId="24485" hidden="1"/>
    <cellStyle name="Currency [0] 3" xfId="24822" hidden="1"/>
    <cellStyle name="Currency [0] 3" xfId="25078" hidden="1"/>
    <cellStyle name="Currency [0] 3" xfId="25507" hidden="1"/>
    <cellStyle name="Currency [0] 3" xfId="26189" hidden="1"/>
    <cellStyle name="Currency [0] 3" xfId="25913" hidden="1"/>
    <cellStyle name="Currency [0] 3" xfId="26772" hidden="1"/>
    <cellStyle name="Currency [0] 3" xfId="25818" hidden="1"/>
    <cellStyle name="Currency [0] 3" xfId="27277" hidden="1"/>
    <cellStyle name="Currency [0] 3" xfId="27614" hidden="1"/>
    <cellStyle name="Currency [0] 3" xfId="27870" hidden="1"/>
    <cellStyle name="Currency [0] 3" xfId="21866" hidden="1"/>
    <cellStyle name="Currency [0] 3" xfId="8168" hidden="1"/>
    <cellStyle name="Currency [0] 3" xfId="9032" hidden="1"/>
    <cellStyle name="Currency [0] 3" xfId="5298" hidden="1"/>
    <cellStyle name="Currency [0] 3" xfId="9404" hidden="1"/>
    <cellStyle name="Currency [0] 3" xfId="2881" hidden="1"/>
    <cellStyle name="Currency [0] 3" xfId="1075" hidden="1"/>
    <cellStyle name="Currency [0] 3" xfId="28005" hidden="1"/>
    <cellStyle name="Currency [0] 3" xfId="28434" hidden="1"/>
    <cellStyle name="Currency [0] 3" xfId="29116" hidden="1"/>
    <cellStyle name="Currency [0] 3" xfId="28840" hidden="1"/>
    <cellStyle name="Currency [0] 3" xfId="29699" hidden="1"/>
    <cellStyle name="Currency [0] 3" xfId="28745" hidden="1"/>
    <cellStyle name="Currency [0] 3" xfId="30204" hidden="1"/>
    <cellStyle name="Currency [0] 3" xfId="30541" hidden="1"/>
    <cellStyle name="Currency [0] 3" xfId="30797" hidden="1"/>
    <cellStyle name="Currency [0] 3" xfId="31226" hidden="1"/>
    <cellStyle name="Currency [0] 3" xfId="31908" hidden="1"/>
    <cellStyle name="Currency [0] 3" xfId="31632" hidden="1"/>
    <cellStyle name="Currency [0] 3" xfId="32491" hidden="1"/>
    <cellStyle name="Currency [0] 3" xfId="31537" hidden="1"/>
    <cellStyle name="Currency [0] 3" xfId="32996" hidden="1"/>
    <cellStyle name="Currency [0] 3" xfId="33333" hidden="1"/>
    <cellStyle name="Currency [0] 3" xfId="33589" hidden="1"/>
    <cellStyle name="Currency [0] 4" xfId="857" hidden="1"/>
    <cellStyle name="Currency [0] 4" xfId="3197" hidden="1"/>
    <cellStyle name="Currency [0] 4" xfId="3853" hidden="1"/>
    <cellStyle name="Currency [0] 4" xfId="5031" hidden="1"/>
    <cellStyle name="Currency [0] 4" xfId="5883" hidden="1"/>
    <cellStyle name="Currency [0] 4" xfId="6825" hidden="1"/>
    <cellStyle name="Currency [0] 4" xfId="8037" hidden="1"/>
    <cellStyle name="Currency [0] 4" xfId="9099" hidden="1"/>
    <cellStyle name="Currency [0] 4" xfId="10225" hidden="1"/>
    <cellStyle name="Currency [0] 4" xfId="10943" hidden="1"/>
    <cellStyle name="Currency [0] 4" xfId="11107" hidden="1"/>
    <cellStyle name="Currency [0] 4" xfId="11514" hidden="1"/>
    <cellStyle name="Currency [0] 4" xfId="11656" hidden="1"/>
    <cellStyle name="Currency [0] 4" xfId="11998" hidden="1"/>
    <cellStyle name="Currency [0] 4" xfId="12335" hidden="1"/>
    <cellStyle name="Currency [0] 4" xfId="12588" hidden="1"/>
    <cellStyle name="Currency [0] 4" xfId="13017" hidden="1"/>
    <cellStyle name="Currency [0] 4" xfId="13735" hidden="1"/>
    <cellStyle name="Currency [0] 4" xfId="13899" hidden="1"/>
    <cellStyle name="Currency [0] 4" xfId="14306" hidden="1"/>
    <cellStyle name="Currency [0] 4" xfId="14448" hidden="1"/>
    <cellStyle name="Currency [0] 4" xfId="14790" hidden="1"/>
    <cellStyle name="Currency [0] 4" xfId="15127" hidden="1"/>
    <cellStyle name="Currency [0] 4" xfId="15380" hidden="1"/>
    <cellStyle name="Currency [0] 4" xfId="9041" hidden="1"/>
    <cellStyle name="Currency [0] 4" xfId="6317" hidden="1"/>
    <cellStyle name="Currency [0] 4" xfId="5580" hidden="1"/>
    <cellStyle name="Currency [0] 4" xfId="4223" hidden="1"/>
    <cellStyle name="Currency [0] 4" xfId="3620" hidden="1"/>
    <cellStyle name="Currency [0] 4" xfId="2211" hidden="1"/>
    <cellStyle name="Currency [0] 4" xfId="884" hidden="1"/>
    <cellStyle name="Currency [0] 4" xfId="15612" hidden="1"/>
    <cellStyle name="Currency [0] 4" xfId="16566" hidden="1"/>
    <cellStyle name="Currency [0] 4" xfId="17284" hidden="1"/>
    <cellStyle name="Currency [0] 4" xfId="17448" hidden="1"/>
    <cellStyle name="Currency [0] 4" xfId="17855" hidden="1"/>
    <cellStyle name="Currency [0] 4" xfId="17997" hidden="1"/>
    <cellStyle name="Currency [0] 4" xfId="18339" hidden="1"/>
    <cellStyle name="Currency [0] 4" xfId="18676" hidden="1"/>
    <cellStyle name="Currency [0] 4" xfId="18929" hidden="1"/>
    <cellStyle name="Currency [0] 4" xfId="19358" hidden="1"/>
    <cellStyle name="Currency [0] 4" xfId="20076" hidden="1"/>
    <cellStyle name="Currency [0] 4" xfId="20240" hidden="1"/>
    <cellStyle name="Currency [0] 4" xfId="20647" hidden="1"/>
    <cellStyle name="Currency [0] 4" xfId="20789" hidden="1"/>
    <cellStyle name="Currency [0] 4" xfId="21131" hidden="1"/>
    <cellStyle name="Currency [0] 4" xfId="21468" hidden="1"/>
    <cellStyle name="Currency [0] 4" xfId="21721" hidden="1"/>
    <cellStyle name="Currency [0] 4" xfId="15587" hidden="1"/>
    <cellStyle name="Currency [0] 4" xfId="6965" hidden="1"/>
    <cellStyle name="Currency [0] 4" xfId="5933" hidden="1"/>
    <cellStyle name="Currency [0] 4" xfId="4527" hidden="1"/>
    <cellStyle name="Currency [0] 4" xfId="3774" hidden="1"/>
    <cellStyle name="Currency [0] 4" xfId="2320" hidden="1"/>
    <cellStyle name="Currency [0] 4" xfId="892" hidden="1"/>
    <cellStyle name="Currency [0] 4" xfId="21868" hidden="1"/>
    <cellStyle name="Currency [0] 4" xfId="22717" hidden="1"/>
    <cellStyle name="Currency [0] 4" xfId="23435" hidden="1"/>
    <cellStyle name="Currency [0] 4" xfId="23599" hidden="1"/>
    <cellStyle name="Currency [0] 4" xfId="24006" hidden="1"/>
    <cellStyle name="Currency [0] 4" xfId="24148" hidden="1"/>
    <cellStyle name="Currency [0] 4" xfId="24490" hidden="1"/>
    <cellStyle name="Currency [0] 4" xfId="24827" hidden="1"/>
    <cellStyle name="Currency [0] 4" xfId="25080" hidden="1"/>
    <cellStyle name="Currency [0] 4" xfId="25509" hidden="1"/>
    <cellStyle name="Currency [0] 4" xfId="26227" hidden="1"/>
    <cellStyle name="Currency [0] 4" xfId="26391" hidden="1"/>
    <cellStyle name="Currency [0] 4" xfId="26798" hidden="1"/>
    <cellStyle name="Currency [0] 4" xfId="26940" hidden="1"/>
    <cellStyle name="Currency [0] 4" xfId="27282" hidden="1"/>
    <cellStyle name="Currency [0] 4" xfId="27619" hidden="1"/>
    <cellStyle name="Currency [0] 4" xfId="27872" hidden="1"/>
    <cellStyle name="Currency [0] 4" xfId="21863" hidden="1"/>
    <cellStyle name="Currency [0] 4" xfId="7942" hidden="1"/>
    <cellStyle name="Currency [0] 4" xfId="6615" hidden="1"/>
    <cellStyle name="Currency [0] 4" xfId="5017" hidden="1"/>
    <cellStyle name="Currency [0] 4" xfId="3984" hidden="1"/>
    <cellStyle name="Currency [0] 4" xfId="2683" hidden="1"/>
    <cellStyle name="Currency [0] 4" xfId="902" hidden="1"/>
    <cellStyle name="Currency [0] 4" xfId="28007" hidden="1"/>
    <cellStyle name="Currency [0] 4" xfId="28436" hidden="1"/>
    <cellStyle name="Currency [0] 4" xfId="29154" hidden="1"/>
    <cellStyle name="Currency [0] 4" xfId="29318" hidden="1"/>
    <cellStyle name="Currency [0] 4" xfId="29725" hidden="1"/>
    <cellStyle name="Currency [0] 4" xfId="29867" hidden="1"/>
    <cellStyle name="Currency [0] 4" xfId="30209" hidden="1"/>
    <cellStyle name="Currency [0] 4" xfId="30546" hidden="1"/>
    <cellStyle name="Currency [0] 4" xfId="30799" hidden="1"/>
    <cellStyle name="Currency [0] 4" xfId="31228" hidden="1"/>
    <cellStyle name="Currency [0] 4" xfId="31946" hidden="1"/>
    <cellStyle name="Currency [0] 4" xfId="32110" hidden="1"/>
    <cellStyle name="Currency [0] 4" xfId="32517" hidden="1"/>
    <cellStyle name="Currency [0] 4" xfId="32659" hidden="1"/>
    <cellStyle name="Currency [0] 4" xfId="33001" hidden="1"/>
    <cellStyle name="Currency [0] 4" xfId="33338" hidden="1"/>
    <cellStyle name="Currency [0] 4" xfId="33591" hidden="1"/>
    <cellStyle name="Currency [0] 5" xfId="861" hidden="1"/>
    <cellStyle name="Currency [0] 5" xfId="3271" hidden="1"/>
    <cellStyle name="Currency [0] 5" xfId="3869" hidden="1"/>
    <cellStyle name="Currency [0] 5" xfId="5045" hidden="1"/>
    <cellStyle name="Currency [0] 5" xfId="5889" hidden="1"/>
    <cellStyle name="Currency [0] 5" xfId="6847" hidden="1"/>
    <cellStyle name="Currency [0] 5" xfId="8059" hidden="1"/>
    <cellStyle name="Currency [0] 5" xfId="9140" hidden="1"/>
    <cellStyle name="Currency [0] 5" xfId="10226" hidden="1"/>
    <cellStyle name="Currency [0] 5" xfId="10944" hidden="1"/>
    <cellStyle name="Currency [0] 5" xfId="11109" hidden="1"/>
    <cellStyle name="Currency [0] 5" xfId="11515" hidden="1"/>
    <cellStyle name="Currency [0] 5" xfId="11657" hidden="1"/>
    <cellStyle name="Currency [0] 5" xfId="11999" hidden="1"/>
    <cellStyle name="Currency [0] 5" xfId="12336" hidden="1"/>
    <cellStyle name="Currency [0] 5" xfId="12589" hidden="1"/>
    <cellStyle name="Currency [0] 5" xfId="13018" hidden="1"/>
    <cellStyle name="Currency [0] 5" xfId="13736" hidden="1"/>
    <cellStyle name="Currency [0] 5" xfId="13901" hidden="1"/>
    <cellStyle name="Currency [0] 5" xfId="14307" hidden="1"/>
    <cellStyle name="Currency [0] 5" xfId="14449" hidden="1"/>
    <cellStyle name="Currency [0] 5" xfId="14791" hidden="1"/>
    <cellStyle name="Currency [0] 5" xfId="15128" hidden="1"/>
    <cellStyle name="Currency [0] 5" xfId="15381" hidden="1"/>
    <cellStyle name="Currency [0] 5" xfId="9027" hidden="1"/>
    <cellStyle name="Currency [0] 5" xfId="6314" hidden="1"/>
    <cellStyle name="Currency [0] 5" xfId="5556" hidden="1"/>
    <cellStyle name="Currency [0] 5" xfId="4155" hidden="1"/>
    <cellStyle name="Currency [0] 5" xfId="3618" hidden="1"/>
    <cellStyle name="Currency [0] 5" xfId="2184" hidden="1"/>
    <cellStyle name="Currency [0] 5" xfId="878" hidden="1"/>
    <cellStyle name="Currency [0] 5" xfId="15648" hidden="1"/>
    <cellStyle name="Currency [0] 5" xfId="16567" hidden="1"/>
    <cellStyle name="Currency [0] 5" xfId="17285" hidden="1"/>
    <cellStyle name="Currency [0] 5" xfId="17450" hidden="1"/>
    <cellStyle name="Currency [0] 5" xfId="17856" hidden="1"/>
    <cellStyle name="Currency [0] 5" xfId="17998" hidden="1"/>
    <cellStyle name="Currency [0] 5" xfId="18340" hidden="1"/>
    <cellStyle name="Currency [0] 5" xfId="18677" hidden="1"/>
    <cellStyle name="Currency [0] 5" xfId="18930" hidden="1"/>
    <cellStyle name="Currency [0] 5" xfId="19359" hidden="1"/>
    <cellStyle name="Currency [0] 5" xfId="20077" hidden="1"/>
    <cellStyle name="Currency [0] 5" xfId="20242" hidden="1"/>
    <cellStyle name="Currency [0] 5" xfId="20648" hidden="1"/>
    <cellStyle name="Currency [0] 5" xfId="20790" hidden="1"/>
    <cellStyle name="Currency [0] 5" xfId="21132" hidden="1"/>
    <cellStyle name="Currency [0] 5" xfId="21469" hidden="1"/>
    <cellStyle name="Currency [0] 5" xfId="21722" hidden="1"/>
    <cellStyle name="Currency [0] 5" xfId="15582" hidden="1"/>
    <cellStyle name="Currency [0] 5" xfId="6945" hidden="1"/>
    <cellStyle name="Currency [0] 5" xfId="5927" hidden="1"/>
    <cellStyle name="Currency [0] 5" xfId="4371" hidden="1"/>
    <cellStyle name="Currency [0] 5" xfId="3771" hidden="1"/>
    <cellStyle name="Currency [0] 5" xfId="2300" hidden="1"/>
    <cellStyle name="Currency [0] 5" xfId="887" hidden="1"/>
    <cellStyle name="Currency [0] 5" xfId="21902" hidden="1"/>
    <cellStyle name="Currency [0] 5" xfId="22718" hidden="1"/>
    <cellStyle name="Currency [0] 5" xfId="23436" hidden="1"/>
    <cellStyle name="Currency [0] 5" xfId="23601" hidden="1"/>
    <cellStyle name="Currency [0] 5" xfId="24007" hidden="1"/>
    <cellStyle name="Currency [0] 5" xfId="24149" hidden="1"/>
    <cellStyle name="Currency [0] 5" xfId="24491" hidden="1"/>
    <cellStyle name="Currency [0] 5" xfId="24828" hidden="1"/>
    <cellStyle name="Currency [0] 5" xfId="25081" hidden="1"/>
    <cellStyle name="Currency [0] 5" xfId="25510" hidden="1"/>
    <cellStyle name="Currency [0] 5" xfId="26228" hidden="1"/>
    <cellStyle name="Currency [0] 5" xfId="26393" hidden="1"/>
    <cellStyle name="Currency [0] 5" xfId="26799" hidden="1"/>
    <cellStyle name="Currency [0] 5" xfId="26941" hidden="1"/>
    <cellStyle name="Currency [0] 5" xfId="27283" hidden="1"/>
    <cellStyle name="Currency [0] 5" xfId="27620" hidden="1"/>
    <cellStyle name="Currency [0] 5" xfId="27873" hidden="1"/>
    <cellStyle name="Currency [0] 5" xfId="21861" hidden="1"/>
    <cellStyle name="Currency [0] 5" xfId="7897" hidden="1"/>
    <cellStyle name="Currency [0] 5" xfId="6440" hidden="1"/>
    <cellStyle name="Currency [0] 5" xfId="4970" hidden="1"/>
    <cellStyle name="Currency [0] 5" xfId="3981" hidden="1"/>
    <cellStyle name="Currency [0] 5" xfId="2611" hidden="1"/>
    <cellStyle name="Currency [0] 5" xfId="896" hidden="1"/>
    <cellStyle name="Currency [0] 5" xfId="28008" hidden="1"/>
    <cellStyle name="Currency [0] 5" xfId="28437" hidden="1"/>
    <cellStyle name="Currency [0] 5" xfId="29155" hidden="1"/>
    <cellStyle name="Currency [0] 5" xfId="29320" hidden="1"/>
    <cellStyle name="Currency [0] 5" xfId="29726" hidden="1"/>
    <cellStyle name="Currency [0] 5" xfId="29868" hidden="1"/>
    <cellStyle name="Currency [0] 5" xfId="30210" hidden="1"/>
    <cellStyle name="Currency [0] 5" xfId="30547" hidden="1"/>
    <cellStyle name="Currency [0] 5" xfId="30800" hidden="1"/>
    <cellStyle name="Currency [0] 5" xfId="31229" hidden="1"/>
    <cellStyle name="Currency [0] 5" xfId="31947" hidden="1"/>
    <cellStyle name="Currency [0] 5" xfId="32112" hidden="1"/>
    <cellStyle name="Currency [0] 5" xfId="32518" hidden="1"/>
    <cellStyle name="Currency [0] 5" xfId="32660" hidden="1"/>
    <cellStyle name="Currency [0] 5" xfId="33002" hidden="1"/>
    <cellStyle name="Currency [0] 5" xfId="33339" hidden="1"/>
    <cellStyle name="Currency [0] 5" xfId="33592" hidden="1"/>
    <cellStyle name="Currency [0] 6" xfId="865" hidden="1"/>
    <cellStyle name="Currency [0] 6" xfId="3299" hidden="1"/>
    <cellStyle name="Currency [0] 6" xfId="3938" hidden="1"/>
    <cellStyle name="Currency [0] 6" xfId="5058" hidden="1"/>
    <cellStyle name="Currency [0] 6" xfId="5892" hidden="1"/>
    <cellStyle name="Currency [0] 6" xfId="6856" hidden="1"/>
    <cellStyle name="Currency [0] 6" xfId="8072" hidden="1"/>
    <cellStyle name="Currency [0] 6" xfId="9192" hidden="1"/>
    <cellStyle name="Currency [0] 6" xfId="10227" hidden="1"/>
    <cellStyle name="Currency [0] 6" xfId="10945" hidden="1"/>
    <cellStyle name="Currency [0] 6" xfId="11113" hidden="1"/>
    <cellStyle name="Currency [0] 6" xfId="11516" hidden="1"/>
    <cellStyle name="Currency [0] 6" xfId="11659" hidden="1"/>
    <cellStyle name="Currency [0] 6" xfId="12001" hidden="1"/>
    <cellStyle name="Currency [0] 6" xfId="12338" hidden="1"/>
    <cellStyle name="Currency [0] 6" xfId="12590" hidden="1"/>
    <cellStyle name="Currency [0] 6" xfId="13019" hidden="1"/>
    <cellStyle name="Currency [0] 6" xfId="13737" hidden="1"/>
    <cellStyle name="Currency [0] 6" xfId="13905" hidden="1"/>
    <cellStyle name="Currency [0] 6" xfId="14308" hidden="1"/>
    <cellStyle name="Currency [0] 6" xfId="14451" hidden="1"/>
    <cellStyle name="Currency [0] 6" xfId="14793" hidden="1"/>
    <cellStyle name="Currency [0] 6" xfId="15130" hidden="1"/>
    <cellStyle name="Currency [0] 6" xfId="15382" hidden="1"/>
    <cellStyle name="Currency [0] 6" xfId="9023" hidden="1"/>
    <cellStyle name="Currency [0] 6" xfId="6312" hidden="1"/>
    <cellStyle name="Currency [0] 6" xfId="5542" hidden="1"/>
    <cellStyle name="Currency [0] 6" xfId="4028" hidden="1"/>
    <cellStyle name="Currency [0] 6" xfId="3513" hidden="1"/>
    <cellStyle name="Currency [0] 6" xfId="2118" hidden="1"/>
    <cellStyle name="Currency [0] 6" xfId="872" hidden="1"/>
    <cellStyle name="Currency [0] 6" xfId="15700" hidden="1"/>
    <cellStyle name="Currency [0] 6" xfId="16568" hidden="1"/>
    <cellStyle name="Currency [0] 6" xfId="17286" hidden="1"/>
    <cellStyle name="Currency [0] 6" xfId="17454" hidden="1"/>
    <cellStyle name="Currency [0] 6" xfId="17857" hidden="1"/>
    <cellStyle name="Currency [0] 6" xfId="18000" hidden="1"/>
    <cellStyle name="Currency [0] 6" xfId="18342" hidden="1"/>
    <cellStyle name="Currency [0] 6" xfId="18679" hidden="1"/>
    <cellStyle name="Currency [0] 6" xfId="18931" hidden="1"/>
    <cellStyle name="Currency [0] 6" xfId="19360" hidden="1"/>
    <cellStyle name="Currency [0] 6" xfId="20078" hidden="1"/>
    <cellStyle name="Currency [0] 6" xfId="20246" hidden="1"/>
    <cellStyle name="Currency [0] 6" xfId="20649" hidden="1"/>
    <cellStyle name="Currency [0] 6" xfId="20792" hidden="1"/>
    <cellStyle name="Currency [0] 6" xfId="21134" hidden="1"/>
    <cellStyle name="Currency [0] 6" xfId="21471" hidden="1"/>
    <cellStyle name="Currency [0] 6" xfId="21723" hidden="1"/>
    <cellStyle name="Currency [0] 6" xfId="15578" hidden="1"/>
    <cellStyle name="Currency [0] 6" xfId="6937" hidden="1"/>
    <cellStyle name="Currency [0] 6" xfId="5919" hidden="1"/>
    <cellStyle name="Currency [0] 6" xfId="4314" hidden="1"/>
    <cellStyle name="Currency [0] 6" xfId="3768" hidden="1"/>
    <cellStyle name="Currency [0] 6" xfId="2284" hidden="1"/>
    <cellStyle name="Currency [0] 6" xfId="881" hidden="1"/>
    <cellStyle name="Currency [0] 6" xfId="21954" hidden="1"/>
    <cellStyle name="Currency [0] 6" xfId="22719" hidden="1"/>
    <cellStyle name="Currency [0] 6" xfId="23437" hidden="1"/>
    <cellStyle name="Currency [0] 6" xfId="23605" hidden="1"/>
    <cellStyle name="Currency [0] 6" xfId="24008" hidden="1"/>
    <cellStyle name="Currency [0] 6" xfId="24151" hidden="1"/>
    <cellStyle name="Currency [0] 6" xfId="24493" hidden="1"/>
    <cellStyle name="Currency [0] 6" xfId="24830" hidden="1"/>
    <cellStyle name="Currency [0] 6" xfId="25082" hidden="1"/>
    <cellStyle name="Currency [0] 6" xfId="25511" hidden="1"/>
    <cellStyle name="Currency [0] 6" xfId="26229" hidden="1"/>
    <cellStyle name="Currency [0] 6" xfId="26397" hidden="1"/>
    <cellStyle name="Currency [0] 6" xfId="26800" hidden="1"/>
    <cellStyle name="Currency [0] 6" xfId="26943" hidden="1"/>
    <cellStyle name="Currency [0] 6" xfId="27285" hidden="1"/>
    <cellStyle name="Currency [0] 6" xfId="27622" hidden="1"/>
    <cellStyle name="Currency [0] 6" xfId="27874" hidden="1"/>
    <cellStyle name="Currency [0] 6" xfId="21860" hidden="1"/>
    <cellStyle name="Currency [0] 6" xfId="7842" hidden="1"/>
    <cellStyle name="Currency [0] 6" xfId="6420" hidden="1"/>
    <cellStyle name="Currency [0] 6" xfId="4950" hidden="1"/>
    <cellStyle name="Currency [0] 6" xfId="3974" hidden="1"/>
    <cellStyle name="Currency [0] 6" xfId="2556" hidden="1"/>
    <cellStyle name="Currency [0] 6" xfId="890" hidden="1"/>
    <cellStyle name="Currency [0] 6" xfId="28009" hidden="1"/>
    <cellStyle name="Currency [0] 6" xfId="28438" hidden="1"/>
    <cellStyle name="Currency [0] 6" xfId="29156" hidden="1"/>
    <cellStyle name="Currency [0] 6" xfId="29324" hidden="1"/>
    <cellStyle name="Currency [0] 6" xfId="29727" hidden="1"/>
    <cellStyle name="Currency [0] 6" xfId="29870" hidden="1"/>
    <cellStyle name="Currency [0] 6" xfId="30212" hidden="1"/>
    <cellStyle name="Currency [0] 6" xfId="30549" hidden="1"/>
    <cellStyle name="Currency [0] 6" xfId="30801" hidden="1"/>
    <cellStyle name="Currency [0] 6" xfId="31230" hidden="1"/>
    <cellStyle name="Currency [0] 6" xfId="31948" hidden="1"/>
    <cellStyle name="Currency [0] 6" xfId="32116" hidden="1"/>
    <cellStyle name="Currency [0] 6" xfId="32519" hidden="1"/>
    <cellStyle name="Currency [0] 6" xfId="32662" hidden="1"/>
    <cellStyle name="Currency [0] 6" xfId="33004" hidden="1"/>
    <cellStyle name="Currency [0] 6" xfId="33341" hidden="1"/>
    <cellStyle name="Currency [0] 6" xfId="33593" hidden="1"/>
    <cellStyle name="Currency [0] 7" xfId="870" hidden="1"/>
    <cellStyle name="Currency [0] 7" xfId="3312" hidden="1"/>
    <cellStyle name="Currency [0] 7" xfId="3964" hidden="1"/>
    <cellStyle name="Currency [0] 7" xfId="5099" hidden="1"/>
    <cellStyle name="Currency [0] 7" xfId="5898" hidden="1"/>
    <cellStyle name="Currency [0] 7" xfId="6875" hidden="1"/>
    <cellStyle name="Currency [0] 7" xfId="8096" hidden="1"/>
    <cellStyle name="Currency [0] 7" xfId="9244" hidden="1"/>
    <cellStyle name="Currency [0] 7" xfId="10228" hidden="1"/>
    <cellStyle name="Currency [0] 7" xfId="10946" hidden="1"/>
    <cellStyle name="Currency [0] 7" xfId="11116" hidden="1"/>
    <cellStyle name="Currency [0] 7" xfId="11517" hidden="1"/>
    <cellStyle name="Currency [0] 7" xfId="11662" hidden="1"/>
    <cellStyle name="Currency [0] 7" xfId="12003" hidden="1"/>
    <cellStyle name="Currency [0] 7" xfId="12340" hidden="1"/>
    <cellStyle name="Currency [0] 7" xfId="12591" hidden="1"/>
    <cellStyle name="Currency [0] 7" xfId="13020" hidden="1"/>
    <cellStyle name="Currency [0] 7" xfId="13738" hidden="1"/>
    <cellStyle name="Currency [0] 7" xfId="13908" hidden="1"/>
    <cellStyle name="Currency [0] 7" xfId="14309" hidden="1"/>
    <cellStyle name="Currency [0] 7" xfId="14454" hidden="1"/>
    <cellStyle name="Currency [0] 7" xfId="14795" hidden="1"/>
    <cellStyle name="Currency [0] 7" xfId="15132" hidden="1"/>
    <cellStyle name="Currency [0] 7" xfId="15383" hidden="1"/>
    <cellStyle name="Currency [0] 7" xfId="9009" hidden="1"/>
    <cellStyle name="Currency [0] 7" xfId="6305" hidden="1"/>
    <cellStyle name="Currency [0] 7" xfId="5524" hidden="1"/>
    <cellStyle name="Currency [0] 7" xfId="4025" hidden="1"/>
    <cellStyle name="Currency [0] 7" xfId="3451" hidden="1"/>
    <cellStyle name="Currency [0] 7" xfId="2080" hidden="1"/>
    <cellStyle name="Currency [0] 7" xfId="867" hidden="1"/>
    <cellStyle name="Currency [0] 7" xfId="15743" hidden="1"/>
    <cellStyle name="Currency [0] 7" xfId="16569" hidden="1"/>
    <cellStyle name="Currency [0] 7" xfId="17287" hidden="1"/>
    <cellStyle name="Currency [0] 7" xfId="17457" hidden="1"/>
    <cellStyle name="Currency [0] 7" xfId="17858" hidden="1"/>
    <cellStyle name="Currency [0] 7" xfId="18003" hidden="1"/>
    <cellStyle name="Currency [0] 7" xfId="18344" hidden="1"/>
    <cellStyle name="Currency [0] 7" xfId="18681" hidden="1"/>
    <cellStyle name="Currency [0] 7" xfId="18932" hidden="1"/>
    <cellStyle name="Currency [0] 7" xfId="19361" hidden="1"/>
    <cellStyle name="Currency [0] 7" xfId="20079" hidden="1"/>
    <cellStyle name="Currency [0] 7" xfId="20249" hidden="1"/>
    <cellStyle name="Currency [0] 7" xfId="20650" hidden="1"/>
    <cellStyle name="Currency [0] 7" xfId="20795" hidden="1"/>
    <cellStyle name="Currency [0] 7" xfId="21136" hidden="1"/>
    <cellStyle name="Currency [0] 7" xfId="21473" hidden="1"/>
    <cellStyle name="Currency [0] 7" xfId="21724" hidden="1"/>
    <cellStyle name="Currency [0] 7" xfId="15568" hidden="1"/>
    <cellStyle name="Currency [0] 7" xfId="6888" hidden="1"/>
    <cellStyle name="Currency [0] 7" xfId="5912" hidden="1"/>
    <cellStyle name="Currency [0] 7" xfId="4301" hidden="1"/>
    <cellStyle name="Currency [0] 7" xfId="3696" hidden="1"/>
    <cellStyle name="Currency [0] 7" xfId="2259" hidden="1"/>
    <cellStyle name="Currency [0] 7" xfId="873" hidden="1"/>
    <cellStyle name="Currency [0] 7" xfId="21995" hidden="1"/>
    <cellStyle name="Currency [0] 7" xfId="22720" hidden="1"/>
    <cellStyle name="Currency [0] 7" xfId="23438" hidden="1"/>
    <cellStyle name="Currency [0] 7" xfId="23608" hidden="1"/>
    <cellStyle name="Currency [0] 7" xfId="24009" hidden="1"/>
    <cellStyle name="Currency [0] 7" xfId="24154" hidden="1"/>
    <cellStyle name="Currency [0] 7" xfId="24495" hidden="1"/>
    <cellStyle name="Currency [0] 7" xfId="24832" hidden="1"/>
    <cellStyle name="Currency [0] 7" xfId="25083" hidden="1"/>
    <cellStyle name="Currency [0] 7" xfId="25512" hidden="1"/>
    <cellStyle name="Currency [0] 7" xfId="26230" hidden="1"/>
    <cellStyle name="Currency [0] 7" xfId="26400" hidden="1"/>
    <cellStyle name="Currency [0] 7" xfId="26801" hidden="1"/>
    <cellStyle name="Currency [0] 7" xfId="26946" hidden="1"/>
    <cellStyle name="Currency [0] 7" xfId="27287" hidden="1"/>
    <cellStyle name="Currency [0] 7" xfId="27624" hidden="1"/>
    <cellStyle name="Currency [0] 7" xfId="27875" hidden="1"/>
    <cellStyle name="Currency [0] 7" xfId="21859" hidden="1"/>
    <cellStyle name="Currency [0] 7" xfId="7753" hidden="1"/>
    <cellStyle name="Currency [0] 7" xfId="6367" hidden="1"/>
    <cellStyle name="Currency [0] 7" xfId="4926" hidden="1"/>
    <cellStyle name="Currency [0] 7" xfId="3965" hidden="1"/>
    <cellStyle name="Currency [0] 7" xfId="2468" hidden="1"/>
    <cellStyle name="Currency [0] 7" xfId="882" hidden="1"/>
    <cellStyle name="Currency [0] 7" xfId="28010" hidden="1"/>
    <cellStyle name="Currency [0] 7" xfId="28439" hidden="1"/>
    <cellStyle name="Currency [0] 7" xfId="29157" hidden="1"/>
    <cellStyle name="Currency [0] 7" xfId="29327" hidden="1"/>
    <cellStyle name="Currency [0] 7" xfId="29728" hidden="1"/>
    <cellStyle name="Currency [0] 7" xfId="29873" hidden="1"/>
    <cellStyle name="Currency [0] 7" xfId="30214" hidden="1"/>
    <cellStyle name="Currency [0] 7" xfId="30551" hidden="1"/>
    <cellStyle name="Currency [0] 7" xfId="30802" hidden="1"/>
    <cellStyle name="Currency [0] 7" xfId="31231" hidden="1"/>
    <cellStyle name="Currency [0] 7" xfId="31949" hidden="1"/>
    <cellStyle name="Currency [0] 7" xfId="32119" hidden="1"/>
    <cellStyle name="Currency [0] 7" xfId="32520" hidden="1"/>
    <cellStyle name="Currency [0] 7" xfId="32665" hidden="1"/>
    <cellStyle name="Currency [0] 7" xfId="33006" hidden="1"/>
    <cellStyle name="Currency [0] 7" xfId="33343" hidden="1"/>
    <cellStyle name="Currency [0] 7" xfId="33594" hidden="1"/>
    <cellStyle name="Currency [0] 8" xfId="855" hidden="1"/>
    <cellStyle name="Currency [0] 8" xfId="3187" hidden="1"/>
    <cellStyle name="Currency [0] 8" xfId="3851" hidden="1"/>
    <cellStyle name="Currency [0] 8" xfId="5028" hidden="1"/>
    <cellStyle name="Currency [0] 8" xfId="5881" hidden="1"/>
    <cellStyle name="Currency [0] 8" xfId="6822" hidden="1"/>
    <cellStyle name="Currency [0] 8" xfId="8034" hidden="1"/>
    <cellStyle name="Currency [0] 8" xfId="9098" hidden="1"/>
    <cellStyle name="Currency [0] 8" xfId="10224" hidden="1"/>
    <cellStyle name="Currency [0] 8" xfId="10942" hidden="1"/>
    <cellStyle name="Currency [0] 8" xfId="11106" hidden="1"/>
    <cellStyle name="Currency [0] 8" xfId="11513" hidden="1"/>
    <cellStyle name="Currency [0] 8" xfId="11655" hidden="1"/>
    <cellStyle name="Currency [0] 8" xfId="11997" hidden="1"/>
    <cellStyle name="Currency [0] 8" xfId="12334" hidden="1"/>
    <cellStyle name="Currency [0] 8" xfId="12587" hidden="1"/>
    <cellStyle name="Currency [0] 8" xfId="13016" hidden="1"/>
    <cellStyle name="Currency [0] 8" xfId="13734" hidden="1"/>
    <cellStyle name="Currency [0] 8" xfId="13898" hidden="1"/>
    <cellStyle name="Currency [0] 8" xfId="14305" hidden="1"/>
    <cellStyle name="Currency [0] 8" xfId="14447" hidden="1"/>
    <cellStyle name="Currency [0] 8" xfId="14789" hidden="1"/>
    <cellStyle name="Currency [0] 8" xfId="15126" hidden="1"/>
    <cellStyle name="Currency [0] 8" xfId="15379" hidden="1"/>
    <cellStyle name="Currency [0] 8" xfId="9044" hidden="1"/>
    <cellStyle name="Currency [0] 8" xfId="6319" hidden="1"/>
    <cellStyle name="Currency [0] 8" xfId="5582" hidden="1"/>
    <cellStyle name="Currency [0] 8" xfId="4228" hidden="1"/>
    <cellStyle name="Currency [0] 8" xfId="3621" hidden="1"/>
    <cellStyle name="Currency [0] 8" xfId="2217" hidden="1"/>
    <cellStyle name="Currency [0] 8" xfId="885" hidden="1"/>
    <cellStyle name="Currency [0] 8" xfId="15611" hidden="1"/>
    <cellStyle name="Currency [0] 8" xfId="16565" hidden="1"/>
    <cellStyle name="Currency [0] 8" xfId="17283" hidden="1"/>
    <cellStyle name="Currency [0] 8" xfId="17447" hidden="1"/>
    <cellStyle name="Currency [0] 8" xfId="17854" hidden="1"/>
    <cellStyle name="Currency [0] 8" xfId="17996" hidden="1"/>
    <cellStyle name="Currency [0] 8" xfId="18338" hidden="1"/>
    <cellStyle name="Currency [0] 8" xfId="18675" hidden="1"/>
    <cellStyle name="Currency [0] 8" xfId="18928" hidden="1"/>
    <cellStyle name="Currency [0] 8" xfId="19357" hidden="1"/>
    <cellStyle name="Currency [0] 8" xfId="20075" hidden="1"/>
    <cellStyle name="Currency [0] 8" xfId="20239" hidden="1"/>
    <cellStyle name="Currency [0] 8" xfId="20646" hidden="1"/>
    <cellStyle name="Currency [0] 8" xfId="20788" hidden="1"/>
    <cellStyle name="Currency [0] 8" xfId="21130" hidden="1"/>
    <cellStyle name="Currency [0] 8" xfId="21467" hidden="1"/>
    <cellStyle name="Currency [0] 8" xfId="21720" hidden="1"/>
    <cellStyle name="Currency [0] 8" xfId="15588" hidden="1"/>
    <cellStyle name="Currency [0] 8" xfId="6973" hidden="1"/>
    <cellStyle name="Currency [0] 8" xfId="6029" hidden="1"/>
    <cellStyle name="Currency [0] 8" xfId="4534" hidden="1"/>
    <cellStyle name="Currency [0] 8" xfId="3775" hidden="1"/>
    <cellStyle name="Currency [0] 8" xfId="2334" hidden="1"/>
    <cellStyle name="Currency [0] 8" xfId="893" hidden="1"/>
    <cellStyle name="Currency [0] 8" xfId="21867" hidden="1"/>
    <cellStyle name="Currency [0] 8" xfId="22716" hidden="1"/>
    <cellStyle name="Currency [0] 8" xfId="23434" hidden="1"/>
    <cellStyle name="Currency [0] 8" xfId="23598" hidden="1"/>
    <cellStyle name="Currency [0] 8" xfId="24005" hidden="1"/>
    <cellStyle name="Currency [0] 8" xfId="24147" hidden="1"/>
    <cellStyle name="Currency [0] 8" xfId="24489" hidden="1"/>
    <cellStyle name="Currency [0] 8" xfId="24826" hidden="1"/>
    <cellStyle name="Currency [0] 8" xfId="25079" hidden="1"/>
    <cellStyle name="Currency [0] 8" xfId="25508" hidden="1"/>
    <cellStyle name="Currency [0] 8" xfId="26226" hidden="1"/>
    <cellStyle name="Currency [0] 8" xfId="26390" hidden="1"/>
    <cellStyle name="Currency [0] 8" xfId="26797" hidden="1"/>
    <cellStyle name="Currency [0] 8" xfId="26939" hidden="1"/>
    <cellStyle name="Currency [0] 8" xfId="27281" hidden="1"/>
    <cellStyle name="Currency [0] 8" xfId="27618" hidden="1"/>
    <cellStyle name="Currency [0] 8" xfId="27871" hidden="1"/>
    <cellStyle name="Currency [0] 8" xfId="21864" hidden="1"/>
    <cellStyle name="Currency [0] 8" xfId="7953" hidden="1"/>
    <cellStyle name="Currency [0] 8" xfId="6623" hidden="1"/>
    <cellStyle name="Currency [0] 8" xfId="5021" hidden="1"/>
    <cellStyle name="Currency [0] 8" xfId="3986" hidden="1"/>
    <cellStyle name="Currency [0] 8" xfId="2698" hidden="1"/>
    <cellStyle name="Currency [0] 8" xfId="904" hidden="1"/>
    <cellStyle name="Currency [0] 8" xfId="28006" hidden="1"/>
    <cellStyle name="Currency [0] 8" xfId="28435" hidden="1"/>
    <cellStyle name="Currency [0] 8" xfId="29153" hidden="1"/>
    <cellStyle name="Currency [0] 8" xfId="29317" hidden="1"/>
    <cellStyle name="Currency [0] 8" xfId="29724" hidden="1"/>
    <cellStyle name="Currency [0] 8" xfId="29866" hidden="1"/>
    <cellStyle name="Currency [0] 8" xfId="30208" hidden="1"/>
    <cellStyle name="Currency [0] 8" xfId="30545" hidden="1"/>
    <cellStyle name="Currency [0] 8" xfId="30798" hidden="1"/>
    <cellStyle name="Currency [0] 8" xfId="31227" hidden="1"/>
    <cellStyle name="Currency [0] 8" xfId="31945" hidden="1"/>
    <cellStyle name="Currency [0] 8" xfId="32109" hidden="1"/>
    <cellStyle name="Currency [0] 8" xfId="32516" hidden="1"/>
    <cellStyle name="Currency [0] 8" xfId="32658" hidden="1"/>
    <cellStyle name="Currency [0] 8" xfId="33000" hidden="1"/>
    <cellStyle name="Currency [0] 8" xfId="33337" hidden="1"/>
    <cellStyle name="Currency [0] 8" xfId="33590" hidden="1"/>
    <cellStyle name="Currency [0] 9" xfId="877" hidden="1"/>
    <cellStyle name="Currency [0] 9" xfId="3336" hidden="1"/>
    <cellStyle name="Currency [0] 9" xfId="3972" hidden="1"/>
    <cellStyle name="Currency [0] 9" xfId="5129" hidden="1"/>
    <cellStyle name="Currency [0] 9" xfId="5907" hidden="1"/>
    <cellStyle name="Currency [0] 9" xfId="6920" hidden="1"/>
    <cellStyle name="Currency [0] 9" xfId="8127" hidden="1"/>
    <cellStyle name="Currency [0] 9" xfId="9287" hidden="1"/>
    <cellStyle name="Currency [0] 9" xfId="10229" hidden="1"/>
    <cellStyle name="Currency [0] 9" xfId="10947" hidden="1"/>
    <cellStyle name="Currency [0] 9" xfId="11119" hidden="1"/>
    <cellStyle name="Currency [0] 9" xfId="11518" hidden="1"/>
    <cellStyle name="Currency [0] 9" xfId="11663" hidden="1"/>
    <cellStyle name="Currency [0] 9" xfId="12004" hidden="1"/>
    <cellStyle name="Currency [0] 9" xfId="12341" hidden="1"/>
    <cellStyle name="Currency [0] 9" xfId="12592" hidden="1"/>
    <cellStyle name="Currency [0] 9" xfId="13021" hidden="1"/>
    <cellStyle name="Currency [0] 9" xfId="13739" hidden="1"/>
    <cellStyle name="Currency [0] 9" xfId="13911" hidden="1"/>
    <cellStyle name="Currency [0] 9" xfId="14310" hidden="1"/>
    <cellStyle name="Currency [0] 9" xfId="14455" hidden="1"/>
    <cellStyle name="Currency [0] 9" xfId="14796" hidden="1"/>
    <cellStyle name="Currency [0] 9" xfId="15133" hidden="1"/>
    <cellStyle name="Currency [0] 9" xfId="15384" hidden="1"/>
    <cellStyle name="Currency [0] 9" xfId="8987" hidden="1"/>
    <cellStyle name="Currency [0] 9" xfId="6300" hidden="1"/>
    <cellStyle name="Currency [0] 9" xfId="5479" hidden="1"/>
    <cellStyle name="Currency [0] 9" xfId="4011" hidden="1"/>
    <cellStyle name="Currency [0] 9" xfId="3405" hidden="1"/>
    <cellStyle name="Currency [0] 9" xfId="2060" hidden="1"/>
    <cellStyle name="Currency [0] 9" xfId="860" hidden="1"/>
    <cellStyle name="Currency [0] 9" xfId="15773" hidden="1"/>
    <cellStyle name="Currency [0] 9" xfId="16570" hidden="1"/>
    <cellStyle name="Currency [0] 9" xfId="17288" hidden="1"/>
    <cellStyle name="Currency [0] 9" xfId="17460" hidden="1"/>
    <cellStyle name="Currency [0] 9" xfId="17859" hidden="1"/>
    <cellStyle name="Currency [0] 9" xfId="18004" hidden="1"/>
    <cellStyle name="Currency [0] 9" xfId="18345" hidden="1"/>
    <cellStyle name="Currency [0] 9" xfId="18682" hidden="1"/>
    <cellStyle name="Currency [0] 9" xfId="18933" hidden="1"/>
    <cellStyle name="Currency [0] 9" xfId="19362" hidden="1"/>
    <cellStyle name="Currency [0] 9" xfId="20080" hidden="1"/>
    <cellStyle name="Currency [0] 9" xfId="20252" hidden="1"/>
    <cellStyle name="Currency [0] 9" xfId="20651" hidden="1"/>
    <cellStyle name="Currency [0] 9" xfId="20796" hidden="1"/>
    <cellStyle name="Currency [0] 9" xfId="21137" hidden="1"/>
    <cellStyle name="Currency [0] 9" xfId="21474" hidden="1"/>
    <cellStyle name="Currency [0] 9" xfId="21725" hidden="1"/>
    <cellStyle name="Currency [0] 9" xfId="15556" hidden="1"/>
    <cellStyle name="Currency [0] 9" xfId="6855" hidden="1"/>
    <cellStyle name="Currency [0] 9" xfId="5906" hidden="1"/>
    <cellStyle name="Currency [0] 9" xfId="4284" hidden="1"/>
    <cellStyle name="Currency [0] 9" xfId="3660" hidden="1"/>
    <cellStyle name="Currency [0] 9" xfId="2242" hidden="1"/>
    <cellStyle name="Currency [0] 9" xfId="866" hidden="1"/>
    <cellStyle name="Currency [0] 9" xfId="22026" hidden="1"/>
    <cellStyle name="Currency [0] 9" xfId="22721" hidden="1"/>
    <cellStyle name="Currency [0] 9" xfId="23439" hidden="1"/>
    <cellStyle name="Currency [0] 9" xfId="23611" hidden="1"/>
    <cellStyle name="Currency [0] 9" xfId="24010" hidden="1"/>
    <cellStyle name="Currency [0] 9" xfId="24155" hidden="1"/>
    <cellStyle name="Currency [0] 9" xfId="24496" hidden="1"/>
    <cellStyle name="Currency [0] 9" xfId="24833" hidden="1"/>
    <cellStyle name="Currency [0] 9" xfId="25084" hidden="1"/>
    <cellStyle name="Currency [0] 9" xfId="25513" hidden="1"/>
    <cellStyle name="Currency [0] 9" xfId="26231" hidden="1"/>
    <cellStyle name="Currency [0] 9" xfId="26403" hidden="1"/>
    <cellStyle name="Currency [0] 9" xfId="26802" hidden="1"/>
    <cellStyle name="Currency [0] 9" xfId="26947" hidden="1"/>
    <cellStyle name="Currency [0] 9" xfId="27288" hidden="1"/>
    <cellStyle name="Currency [0] 9" xfId="27625" hidden="1"/>
    <cellStyle name="Currency [0] 9" xfId="27876" hidden="1"/>
    <cellStyle name="Currency [0] 9" xfId="21858" hidden="1"/>
    <cellStyle name="Currency [0] 9" xfId="7629" hidden="1"/>
    <cellStyle name="Currency [0] 9" xfId="6326" hidden="1"/>
    <cellStyle name="Currency [0] 9" xfId="4906" hidden="1"/>
    <cellStyle name="Currency [0] 9" xfId="3856" hidden="1"/>
    <cellStyle name="Currency [0] 9" xfId="2385" hidden="1"/>
    <cellStyle name="Currency [0] 9" xfId="875" hidden="1"/>
    <cellStyle name="Currency [0] 9" xfId="28011" hidden="1"/>
    <cellStyle name="Currency [0] 9" xfId="28440" hidden="1"/>
    <cellStyle name="Currency [0] 9" xfId="29158" hidden="1"/>
    <cellStyle name="Currency [0] 9" xfId="29330" hidden="1"/>
    <cellStyle name="Currency [0] 9" xfId="29729" hidden="1"/>
    <cellStyle name="Currency [0] 9" xfId="29874" hidden="1"/>
    <cellStyle name="Currency [0] 9" xfId="30215" hidden="1"/>
    <cellStyle name="Currency [0] 9" xfId="30552" hidden="1"/>
    <cellStyle name="Currency [0] 9" xfId="30803" hidden="1"/>
    <cellStyle name="Currency [0] 9" xfId="31232" hidden="1"/>
    <cellStyle name="Currency [0] 9" xfId="31950" hidden="1"/>
    <cellStyle name="Currency [0] 9" xfId="32122" hidden="1"/>
    <cellStyle name="Currency [0] 9" xfId="32521" hidden="1"/>
    <cellStyle name="Currency [0] 9" xfId="32666" hidden="1"/>
    <cellStyle name="Currency [0] 9" xfId="33007" hidden="1"/>
    <cellStyle name="Currency [0] 9" xfId="33344" hidden="1"/>
    <cellStyle name="Currency [0] 9" xfId="33595" hidden="1"/>
    <cellStyle name="Currency 4 13 2" xfId="818" hidden="1"/>
    <cellStyle name="Currency 4 13 2" xfId="1026" hidden="1"/>
    <cellStyle name="Currency 4 13 2" xfId="3590" hidden="1"/>
    <cellStyle name="Currency 4 13 2" xfId="4105" hidden="1"/>
    <cellStyle name="Currency 4 13 2" xfId="5424" hidden="1"/>
    <cellStyle name="Currency 4 13 2" xfId="6121" hidden="1"/>
    <cellStyle name="Currency 4 13 2" xfId="7138" hidden="1"/>
    <cellStyle name="Currency 4 13 2" xfId="8342" hidden="1"/>
    <cellStyle name="Currency 4 13 2" xfId="10199" hidden="1"/>
    <cellStyle name="Currency 4 13 2" xfId="10314" hidden="1"/>
    <cellStyle name="Currency 4 13 2" xfId="11037" hidden="1"/>
    <cellStyle name="Currency 4 13 2" xfId="11210" hidden="1"/>
    <cellStyle name="Currency 4 13 2" xfId="11603" hidden="1"/>
    <cellStyle name="Currency 4 13 2" xfId="11751" hidden="1"/>
    <cellStyle name="Currency 4 13 2" xfId="12089" hidden="1"/>
    <cellStyle name="Currency 4 13 2" xfId="12426" hidden="1"/>
    <cellStyle name="Currency 4 13 2" xfId="12991" hidden="1"/>
    <cellStyle name="Currency 4 13 2" xfId="13106" hidden="1"/>
    <cellStyle name="Currency 4 13 2" xfId="13829" hidden="1"/>
    <cellStyle name="Currency 4 13 2" xfId="14002" hidden="1"/>
    <cellStyle name="Currency 4 13 2" xfId="14395" hidden="1"/>
    <cellStyle name="Currency 4 13 2" xfId="14543" hidden="1"/>
    <cellStyle name="Currency 4 13 2" xfId="14881" hidden="1"/>
    <cellStyle name="Currency 4 13 2" xfId="15218" hidden="1"/>
    <cellStyle name="Currency 4 13 2" xfId="9128" hidden="1"/>
    <cellStyle name="Currency 4 13 2" xfId="8584" hidden="1"/>
    <cellStyle name="Currency 4 13 2" xfId="5956" hidden="1"/>
    <cellStyle name="Currency 4 13 2" xfId="5165" hidden="1"/>
    <cellStyle name="Currency 4 13 2" xfId="3880" hidden="1"/>
    <cellStyle name="Currency 4 13 2" xfId="3202" hidden="1"/>
    <cellStyle name="Currency 4 13 2" xfId="1759" hidden="1"/>
    <cellStyle name="Currency 4 13 2" xfId="360" hidden="1"/>
    <cellStyle name="Currency 4 13 2" xfId="16540" hidden="1"/>
    <cellStyle name="Currency 4 13 2" xfId="16655" hidden="1"/>
    <cellStyle name="Currency 4 13 2" xfId="17378" hidden="1"/>
    <cellStyle name="Currency 4 13 2" xfId="17551" hidden="1"/>
    <cellStyle name="Currency 4 13 2" xfId="17944" hidden="1"/>
    <cellStyle name="Currency 4 13 2" xfId="18092" hidden="1"/>
    <cellStyle name="Currency 4 13 2" xfId="18430" hidden="1"/>
    <cellStyle name="Currency 4 13 2" xfId="18767" hidden="1"/>
    <cellStyle name="Currency 4 13 2" xfId="19332" hidden="1"/>
    <cellStyle name="Currency 4 13 2" xfId="19447" hidden="1"/>
    <cellStyle name="Currency 4 13 2" xfId="20170" hidden="1"/>
    <cellStyle name="Currency 4 13 2" xfId="20343" hidden="1"/>
    <cellStyle name="Currency 4 13 2" xfId="20736" hidden="1"/>
    <cellStyle name="Currency 4 13 2" xfId="20884" hidden="1"/>
    <cellStyle name="Currency 4 13 2" xfId="21222" hidden="1"/>
    <cellStyle name="Currency 4 13 2" xfId="21559" hidden="1"/>
    <cellStyle name="Currency 4 13 2" xfId="15636" hidden="1"/>
    <cellStyle name="Currency 4 13 2" xfId="9681" hidden="1"/>
    <cellStyle name="Currency 4 13 2" xfId="6528" hidden="1"/>
    <cellStyle name="Currency 4 13 2" xfId="5680" hidden="1"/>
    <cellStyle name="Currency 4 13 2" xfId="4150" hidden="1"/>
    <cellStyle name="Currency 4 13 2" xfId="3429" hidden="1"/>
    <cellStyle name="Currency 4 13 2" xfId="1932" hidden="1"/>
    <cellStyle name="Currency 4 13 2" xfId="495" hidden="1"/>
    <cellStyle name="Currency 4 13 2" xfId="22691" hidden="1"/>
    <cellStyle name="Currency 4 13 2" xfId="22806" hidden="1"/>
    <cellStyle name="Currency 4 13 2" xfId="23529" hidden="1"/>
    <cellStyle name="Currency 4 13 2" xfId="23702" hidden="1"/>
    <cellStyle name="Currency 4 13 2" xfId="24095" hidden="1"/>
    <cellStyle name="Currency 4 13 2" xfId="24243" hidden="1"/>
    <cellStyle name="Currency 4 13 2" xfId="24581" hidden="1"/>
    <cellStyle name="Currency 4 13 2" xfId="24918" hidden="1"/>
    <cellStyle name="Currency 4 13 2" xfId="25483" hidden="1"/>
    <cellStyle name="Currency 4 13 2" xfId="25598" hidden="1"/>
    <cellStyle name="Currency 4 13 2" xfId="26321" hidden="1"/>
    <cellStyle name="Currency 4 13 2" xfId="26494" hidden="1"/>
    <cellStyle name="Currency 4 13 2" xfId="26887" hidden="1"/>
    <cellStyle name="Currency 4 13 2" xfId="27035" hidden="1"/>
    <cellStyle name="Currency 4 13 2" xfId="27373" hidden="1"/>
    <cellStyle name="Currency 4 13 2" xfId="27710" hidden="1"/>
    <cellStyle name="Currency 4 13 2" xfId="21892" hidden="1"/>
    <cellStyle name="Currency 4 13 2" xfId="16062" hidden="1"/>
    <cellStyle name="Currency 4 13 2" xfId="7233" hidden="1"/>
    <cellStyle name="Currency 4 13 2" xfId="6188" hidden="1"/>
    <cellStyle name="Currency 4 13 2" xfId="4382" hidden="1"/>
    <cellStyle name="Currency 4 13 2" xfId="3685" hidden="1"/>
    <cellStyle name="Currency 4 13 2" xfId="2119" hidden="1"/>
    <cellStyle name="Currency 4 13 2" xfId="608" hidden="1"/>
    <cellStyle name="Currency 4 13 2" xfId="28410" hidden="1"/>
    <cellStyle name="Currency 4 13 2" xfId="28525" hidden="1"/>
    <cellStyle name="Currency 4 13 2" xfId="29248" hidden="1"/>
    <cellStyle name="Currency 4 13 2" xfId="29421" hidden="1"/>
    <cellStyle name="Currency 4 13 2" xfId="29814" hidden="1"/>
    <cellStyle name="Currency 4 13 2" xfId="29962" hidden="1"/>
    <cellStyle name="Currency 4 13 2" xfId="30300" hidden="1"/>
    <cellStyle name="Currency 4 13 2" xfId="30637" hidden="1"/>
    <cellStyle name="Currency 4 13 2" xfId="31202" hidden="1"/>
    <cellStyle name="Currency 4 13 2" xfId="31317" hidden="1"/>
    <cellStyle name="Currency 4 13 2" xfId="32040" hidden="1"/>
    <cellStyle name="Currency 4 13 2" xfId="32213" hidden="1"/>
    <cellStyle name="Currency 4 13 2" xfId="32606" hidden="1"/>
    <cellStyle name="Currency 4 13 2" xfId="32754" hidden="1"/>
    <cellStyle name="Currency 4 13 2" xfId="33092" hidden="1"/>
    <cellStyle name="Currency 4 13 2" xfId="33429" hidden="1"/>
    <cellStyle name="Currency 6 2" xfId="755" hidden="1"/>
    <cellStyle name="Currency 6 2" xfId="963" hidden="1"/>
    <cellStyle name="Currency 6 2" xfId="3527" hidden="1"/>
    <cellStyle name="Currency 6 2" xfId="4042" hidden="1"/>
    <cellStyle name="Currency 6 2" xfId="5361" hidden="1"/>
    <cellStyle name="Currency 6 2" xfId="6058" hidden="1"/>
    <cellStyle name="Currency 6 2" xfId="7075" hidden="1"/>
    <cellStyle name="Currency 6 2" xfId="8279" hidden="1"/>
    <cellStyle name="Currency 6 2" xfId="10136" hidden="1"/>
    <cellStyle name="Currency 6 2" xfId="10251" hidden="1"/>
    <cellStyle name="Currency 6 2" xfId="10974" hidden="1"/>
    <cellStyle name="Currency 6 2" xfId="11147" hidden="1"/>
    <cellStyle name="Currency 6 2" xfId="11540" hidden="1"/>
    <cellStyle name="Currency 6 2" xfId="11688" hidden="1"/>
    <cellStyle name="Currency 6 2" xfId="12026" hidden="1"/>
    <cellStyle name="Currency 6 2" xfId="12363" hidden="1"/>
    <cellStyle name="Currency 6 2" xfId="12928" hidden="1"/>
    <cellStyle name="Currency 6 2" xfId="13043" hidden="1"/>
    <cellStyle name="Currency 6 2" xfId="13766" hidden="1"/>
    <cellStyle name="Currency 6 2" xfId="13939" hidden="1"/>
    <cellStyle name="Currency 6 2" xfId="14332" hidden="1"/>
    <cellStyle name="Currency 6 2" xfId="14480" hidden="1"/>
    <cellStyle name="Currency 6 2" xfId="14818" hidden="1"/>
    <cellStyle name="Currency 6 2" xfId="15155" hidden="1"/>
    <cellStyle name="Currency 6 2" xfId="9193" hidden="1"/>
    <cellStyle name="Currency 6 2" xfId="8647" hidden="1"/>
    <cellStyle name="Currency 6 2" xfId="6020" hidden="1"/>
    <cellStyle name="Currency 6 2" xfId="5228" hidden="1"/>
    <cellStyle name="Currency 6 2" xfId="3947" hidden="1"/>
    <cellStyle name="Currency 6 2" xfId="3265" hidden="1"/>
    <cellStyle name="Currency 6 2" xfId="1833" hidden="1"/>
    <cellStyle name="Currency 6 2" xfId="455" hidden="1"/>
    <cellStyle name="Currency 6 2" xfId="16477" hidden="1"/>
    <cellStyle name="Currency 6 2" xfId="16592" hidden="1"/>
    <cellStyle name="Currency 6 2" xfId="17315" hidden="1"/>
    <cellStyle name="Currency 6 2" xfId="17488" hidden="1"/>
    <cellStyle name="Currency 6 2" xfId="17881" hidden="1"/>
    <cellStyle name="Currency 6 2" xfId="18029" hidden="1"/>
    <cellStyle name="Currency 6 2" xfId="18367" hidden="1"/>
    <cellStyle name="Currency 6 2" xfId="18704" hidden="1"/>
    <cellStyle name="Currency 6 2" xfId="19269" hidden="1"/>
    <cellStyle name="Currency 6 2" xfId="19384" hidden="1"/>
    <cellStyle name="Currency 6 2" xfId="20107" hidden="1"/>
    <cellStyle name="Currency 6 2" xfId="20280" hidden="1"/>
    <cellStyle name="Currency 6 2" xfId="20673" hidden="1"/>
    <cellStyle name="Currency 6 2" xfId="20821" hidden="1"/>
    <cellStyle name="Currency 6 2" xfId="21159" hidden="1"/>
    <cellStyle name="Currency 6 2" xfId="21496" hidden="1"/>
    <cellStyle name="Currency 6 2" xfId="15701" hidden="1"/>
    <cellStyle name="Currency 6 2" xfId="9744" hidden="1"/>
    <cellStyle name="Currency 6 2" xfId="6603" hidden="1"/>
    <cellStyle name="Currency 6 2" xfId="5758" hidden="1"/>
    <cellStyle name="Currency 6 2" xfId="4214" hidden="1"/>
    <cellStyle name="Currency 6 2" xfId="3495" hidden="1"/>
    <cellStyle name="Currency 6 2" xfId="2006" hidden="1"/>
    <cellStyle name="Currency 6 2" xfId="566" hidden="1"/>
    <cellStyle name="Currency 6 2" xfId="22628" hidden="1"/>
    <cellStyle name="Currency 6 2" xfId="22743" hidden="1"/>
    <cellStyle name="Currency 6 2" xfId="23466" hidden="1"/>
    <cellStyle name="Currency 6 2" xfId="23639" hidden="1"/>
    <cellStyle name="Currency 6 2" xfId="24032" hidden="1"/>
    <cellStyle name="Currency 6 2" xfId="24180" hidden="1"/>
    <cellStyle name="Currency 6 2" xfId="24518" hidden="1"/>
    <cellStyle name="Currency 6 2" xfId="24855" hidden="1"/>
    <cellStyle name="Currency 6 2" xfId="25420" hidden="1"/>
    <cellStyle name="Currency 6 2" xfId="25535" hidden="1"/>
    <cellStyle name="Currency 6 2" xfId="26258" hidden="1"/>
    <cellStyle name="Currency 6 2" xfId="26431" hidden="1"/>
    <cellStyle name="Currency 6 2" xfId="26824" hidden="1"/>
    <cellStyle name="Currency 6 2" xfId="26972" hidden="1"/>
    <cellStyle name="Currency 6 2" xfId="27310" hidden="1"/>
    <cellStyle name="Currency 6 2" xfId="27647" hidden="1"/>
    <cellStyle name="Currency 6 2" xfId="21957" hidden="1"/>
    <cellStyle name="Currency 6 2" xfId="16125" hidden="1"/>
    <cellStyle name="Currency 6 2" xfId="7306" hidden="1"/>
    <cellStyle name="Currency 6 2" xfId="6271" hidden="1"/>
    <cellStyle name="Currency 6 2" xfId="4520" hidden="1"/>
    <cellStyle name="Currency 6 2" xfId="3751" hidden="1"/>
    <cellStyle name="Currency 6 2" xfId="2187" hidden="1"/>
    <cellStyle name="Currency 6 2" xfId="701" hidden="1"/>
    <cellStyle name="Currency 6 2" xfId="28347" hidden="1"/>
    <cellStyle name="Currency 6 2" xfId="28462" hidden="1"/>
    <cellStyle name="Currency 6 2" xfId="29185" hidden="1"/>
    <cellStyle name="Currency 6 2" xfId="29358" hidden="1"/>
    <cellStyle name="Currency 6 2" xfId="29751" hidden="1"/>
    <cellStyle name="Currency 6 2" xfId="29899" hidden="1"/>
    <cellStyle name="Currency 6 2" xfId="30237" hidden="1"/>
    <cellStyle name="Currency 6 2" xfId="30574" hidden="1"/>
    <cellStyle name="Currency 6 2" xfId="31139" hidden="1"/>
    <cellStyle name="Currency 6 2" xfId="31254" hidden="1"/>
    <cellStyle name="Currency 6 2" xfId="31977" hidden="1"/>
    <cellStyle name="Currency 6 2" xfId="32150" hidden="1"/>
    <cellStyle name="Currency 6 2" xfId="32543" hidden="1"/>
    <cellStyle name="Currency 6 2" xfId="32691" hidden="1"/>
    <cellStyle name="Currency 6 2" xfId="33029" hidden="1"/>
    <cellStyle name="Currency 6 2" xfId="33366" hidden="1"/>
    <cellStyle name="Date (short)" xfId="33606"/>
    <cellStyle name="Explanatory Text" xfId="20" builtinId="53" hidden="1" customBuiltin="1"/>
    <cellStyle name="Explanatory Text" xfId="95" builtinId="53" customBuiltin="1"/>
    <cellStyle name="Explanatory Text 2" xfId="48"/>
    <cellStyle name="Followed Hyperlink" xfId="91" builtinId="9" hidden="1" customBuiltin="1"/>
    <cellStyle name="Followed Hyperlink" xfId="90" builtinId="9" hidden="1"/>
    <cellStyle name="Good" xfId="10" builtinId="26" hidden="1"/>
    <cellStyle name="Good" xfId="57" builtinId="26" hidden="1" customBuiltin="1"/>
    <cellStyle name="Heading 1" xfId="6" builtinId="16" customBuiltin="1"/>
    <cellStyle name="Heading 1 2 2" xfId="33605"/>
    <cellStyle name="Heading 2" xfId="7" builtinId="17" hidden="1" customBuiltin="1"/>
    <cellStyle name="Heading 2" xfId="49"/>
    <cellStyle name="Heading 2 2" xfId="99"/>
    <cellStyle name="Heading 2_Waterfall" xfId="33612"/>
    <cellStyle name="Heading 3" xfId="8" builtinId="18" customBuiltin="1"/>
    <cellStyle name="Heading 4" xfId="9" builtinId="19" hidden="1"/>
    <cellStyle name="Heading 4" xfId="56" builtinId="19" hidden="1" customBuiltin="1"/>
    <cellStyle name="Hyperlink" xfId="47" builtinId="8" customBuiltin="1"/>
    <cellStyle name="Input" xfId="13" builtinId="20" hidden="1" customBuiltin="1"/>
    <cellStyle name="Input" xfId="53"/>
    <cellStyle name="Label" xfId="50"/>
    <cellStyle name="Link" xfId="55"/>
    <cellStyle name="Linked Cell" xfId="16" builtinId="24" hidden="1"/>
    <cellStyle name="Linked Cell" xfId="61" builtinId="24" hidden="1" customBuiltin="1"/>
    <cellStyle name="Neutral" xfId="12" builtinId="28" hidden="1"/>
    <cellStyle name="Neutral" xfId="59" builtinId="28" hidden="1" customBuiltin="1"/>
    <cellStyle name="Normal" xfId="0" builtinId="0" customBuiltin="1"/>
    <cellStyle name="Note" xfId="19" builtinId="10" hidden="1"/>
    <cellStyle name="Note" xfId="64" builtinId="10" hidden="1" customBuiltin="1"/>
    <cellStyle name="Note 10" xfId="152" hidden="1"/>
    <cellStyle name="Note 10" xfId="212" hidden="1"/>
    <cellStyle name="Note 10" xfId="294" hidden="1"/>
    <cellStyle name="Note 10" xfId="497" hidden="1"/>
    <cellStyle name="Note 10" xfId="2338" hidden="1"/>
    <cellStyle name="Note 10" xfId="2472" hidden="1"/>
    <cellStyle name="Note 10" xfId="2625" hidden="1"/>
    <cellStyle name="Note 10" xfId="2243" hidden="1"/>
    <cellStyle name="Note 10" xfId="2934" hidden="1"/>
    <cellStyle name="Note 10" xfId="1596" hidden="1"/>
    <cellStyle name="Note 10" xfId="4271" hidden="1"/>
    <cellStyle name="Note 10" xfId="4478" hidden="1"/>
    <cellStyle name="Note 10" xfId="4655" hidden="1"/>
    <cellStyle name="Note 10" xfId="1714" hidden="1"/>
    <cellStyle name="Note 10" xfId="4892" hidden="1"/>
    <cellStyle name="Note 10" xfId="3056" hidden="1"/>
    <cellStyle name="Note 10" xfId="6308" hidden="1"/>
    <cellStyle name="Note 10" xfId="6407" hidden="1"/>
    <cellStyle name="Note 10" xfId="6567" hidden="1"/>
    <cellStyle name="Note 10" xfId="7383" hidden="1"/>
    <cellStyle name="Note 10" xfId="7597" hidden="1"/>
    <cellStyle name="Note 10" xfId="7760" hidden="1"/>
    <cellStyle name="Note 10" xfId="8549" hidden="1"/>
    <cellStyle name="Note 10" xfId="8843" hidden="1"/>
    <cellStyle name="Note 10" xfId="9843" hidden="1"/>
    <cellStyle name="Note 10" xfId="9900" hidden="1"/>
    <cellStyle name="Note 10" xfId="9978" hidden="1"/>
    <cellStyle name="Note 10" xfId="10056" hidden="1"/>
    <cellStyle name="Note 10" xfId="10638" hidden="1"/>
    <cellStyle name="Note 10" xfId="10717" hidden="1"/>
    <cellStyle name="Note 10" xfId="10796" hidden="1"/>
    <cellStyle name="Note 10" xfId="10590" hidden="1"/>
    <cellStyle name="Note 10" xfId="10897" hidden="1"/>
    <cellStyle name="Note 10" xfId="10351" hidden="1"/>
    <cellStyle name="Note 10" xfId="11241" hidden="1"/>
    <cellStyle name="Note 10" xfId="11312" hidden="1"/>
    <cellStyle name="Note 10" xfId="11390" hidden="1"/>
    <cellStyle name="Note 10" xfId="10392" hidden="1"/>
    <cellStyle name="Note 10" xfId="11483" hidden="1"/>
    <cellStyle name="Note 10" xfId="10912" hidden="1"/>
    <cellStyle name="Note 10" xfId="11778" hidden="1"/>
    <cellStyle name="Note 10" xfId="11844" hidden="1"/>
    <cellStyle name="Note 10" xfId="11922" hidden="1"/>
    <cellStyle name="Note 10" xfId="12115" hidden="1"/>
    <cellStyle name="Note 10" xfId="12181" hidden="1"/>
    <cellStyle name="Note 10" xfId="12259" hidden="1"/>
    <cellStyle name="Note 10" xfId="12452" hidden="1"/>
    <cellStyle name="Note 10" xfId="12518" hidden="1"/>
    <cellStyle name="Note 10" xfId="12635" hidden="1"/>
    <cellStyle name="Note 10" xfId="12692" hidden="1"/>
    <cellStyle name="Note 10" xfId="12770" hidden="1"/>
    <cellStyle name="Note 10" xfId="12848" hidden="1"/>
    <cellStyle name="Note 10" xfId="13430" hidden="1"/>
    <cellStyle name="Note 10" xfId="13509" hidden="1"/>
    <cellStyle name="Note 10" xfId="13588" hidden="1"/>
    <cellStyle name="Note 10" xfId="13382" hidden="1"/>
    <cellStyle name="Note 10" xfId="13689" hidden="1"/>
    <cellStyle name="Note 10" xfId="13143" hidden="1"/>
    <cellStyle name="Note 10" xfId="14033" hidden="1"/>
    <cellStyle name="Note 10" xfId="14104" hidden="1"/>
    <cellStyle name="Note 10" xfId="14182" hidden="1"/>
    <cellStyle name="Note 10" xfId="13184" hidden="1"/>
    <cellStyle name="Note 10" xfId="14275" hidden="1"/>
    <cellStyle name="Note 10" xfId="13704" hidden="1"/>
    <cellStyle name="Note 10" xfId="14570" hidden="1"/>
    <cellStyle name="Note 10" xfId="14636" hidden="1"/>
    <cellStyle name="Note 10" xfId="14714" hidden="1"/>
    <cellStyle name="Note 10" xfId="14907" hidden="1"/>
    <cellStyle name="Note 10" xfId="14973" hidden="1"/>
    <cellStyle name="Note 10" xfId="15051" hidden="1"/>
    <cellStyle name="Note 10" xfId="15244" hidden="1"/>
    <cellStyle name="Note 10" xfId="15310" hidden="1"/>
    <cellStyle name="Note 10" xfId="9615" hidden="1"/>
    <cellStyle name="Note 10" xfId="9541" hidden="1"/>
    <cellStyle name="Note 10" xfId="9422" hidden="1"/>
    <cellStyle name="Note 10" xfId="9310" hidden="1"/>
    <cellStyle name="Note 10" xfId="7048" hidden="1"/>
    <cellStyle name="Note 10" xfId="6950" hidden="1"/>
    <cellStyle name="Note 10" xfId="6860" hidden="1"/>
    <cellStyle name="Note 10" xfId="7324" hidden="1"/>
    <cellStyle name="Note 10" xfId="6643" hidden="1"/>
    <cellStyle name="Note 10" xfId="8137" hidden="1"/>
    <cellStyle name="Note 10" xfId="4953" hidden="1"/>
    <cellStyle name="Note 10" xfId="4798" hidden="1"/>
    <cellStyle name="Note 10" xfId="4598" hidden="1"/>
    <cellStyle name="Note 10" xfId="8013" hidden="1"/>
    <cellStyle name="Note 10" xfId="4281" hidden="1"/>
    <cellStyle name="Note 10" xfId="6438" hidden="1"/>
    <cellStyle name="Note 10" xfId="2935" hidden="1"/>
    <cellStyle name="Note 10" xfId="2642" hidden="1"/>
    <cellStyle name="Note 10" xfId="2436" hidden="1"/>
    <cellStyle name="Note 10" xfId="1577" hidden="1"/>
    <cellStyle name="Note 10" xfId="1307" hidden="1"/>
    <cellStyle name="Note 10" xfId="1124" hidden="1"/>
    <cellStyle name="Note 10" xfId="119" hidden="1"/>
    <cellStyle name="Note 10" xfId="15461" hidden="1"/>
    <cellStyle name="Note 10" xfId="16184" hidden="1"/>
    <cellStyle name="Note 10" xfId="16241" hidden="1"/>
    <cellStyle name="Note 10" xfId="16319" hidden="1"/>
    <cellStyle name="Note 10" xfId="16397" hidden="1"/>
    <cellStyle name="Note 10" xfId="16979" hidden="1"/>
    <cellStyle name="Note 10" xfId="17058" hidden="1"/>
    <cellStyle name="Note 10" xfId="17137" hidden="1"/>
    <cellStyle name="Note 10" xfId="16931" hidden="1"/>
    <cellStyle name="Note 10" xfId="17238" hidden="1"/>
    <cellStyle name="Note 10" xfId="16692" hidden="1"/>
    <cellStyle name="Note 10" xfId="17582" hidden="1"/>
    <cellStyle name="Note 10" xfId="17653" hidden="1"/>
    <cellStyle name="Note 10" xfId="17731" hidden="1"/>
    <cellStyle name="Note 10" xfId="16733" hidden="1"/>
    <cellStyle name="Note 10" xfId="17824" hidden="1"/>
    <cellStyle name="Note 10" xfId="17253" hidden="1"/>
    <cellStyle name="Note 10" xfId="18119" hidden="1"/>
    <cellStyle name="Note 10" xfId="18185" hidden="1"/>
    <cellStyle name="Note 10" xfId="18263" hidden="1"/>
    <cellStyle name="Note 10" xfId="18456" hidden="1"/>
    <cellStyle name="Note 10" xfId="18522" hidden="1"/>
    <cellStyle name="Note 10" xfId="18600" hidden="1"/>
    <cellStyle name="Note 10" xfId="18793" hidden="1"/>
    <cellStyle name="Note 10" xfId="18859" hidden="1"/>
    <cellStyle name="Note 10" xfId="18976" hidden="1"/>
    <cellStyle name="Note 10" xfId="19033" hidden="1"/>
    <cellStyle name="Note 10" xfId="19111" hidden="1"/>
    <cellStyle name="Note 10" xfId="19189" hidden="1"/>
    <cellStyle name="Note 10" xfId="19771" hidden="1"/>
    <cellStyle name="Note 10" xfId="19850" hidden="1"/>
    <cellStyle name="Note 10" xfId="19929" hidden="1"/>
    <cellStyle name="Note 10" xfId="19723" hidden="1"/>
    <cellStyle name="Note 10" xfId="20030" hidden="1"/>
    <cellStyle name="Note 10" xfId="19484" hidden="1"/>
    <cellStyle name="Note 10" xfId="20374" hidden="1"/>
    <cellStyle name="Note 10" xfId="20445" hidden="1"/>
    <cellStyle name="Note 10" xfId="20523" hidden="1"/>
    <cellStyle name="Note 10" xfId="19525" hidden="1"/>
    <cellStyle name="Note 10" xfId="20616" hidden="1"/>
    <cellStyle name="Note 10" xfId="20045" hidden="1"/>
    <cellStyle name="Note 10" xfId="20911" hidden="1"/>
    <cellStyle name="Note 10" xfId="20977" hidden="1"/>
    <cellStyle name="Note 10" xfId="21055" hidden="1"/>
    <cellStyle name="Note 10" xfId="21248" hidden="1"/>
    <cellStyle name="Note 10" xfId="21314" hidden="1"/>
    <cellStyle name="Note 10" xfId="21392" hidden="1"/>
    <cellStyle name="Note 10" xfId="21585" hidden="1"/>
    <cellStyle name="Note 10" xfId="21651" hidden="1"/>
    <cellStyle name="Note 10" xfId="16007" hidden="1"/>
    <cellStyle name="Note 10" xfId="15950" hidden="1"/>
    <cellStyle name="Note 10" xfId="15871" hidden="1"/>
    <cellStyle name="Note 10" xfId="15788" hidden="1"/>
    <cellStyle name="Note 10" xfId="8054" hidden="1"/>
    <cellStyle name="Note 10" xfId="7906" hidden="1"/>
    <cellStyle name="Note 10" xfId="7639" hidden="1"/>
    <cellStyle name="Note 10" xfId="8176" hidden="1"/>
    <cellStyle name="Note 10" xfId="7343" hidden="1"/>
    <cellStyle name="Note 10" xfId="9063" hidden="1"/>
    <cellStyle name="Note 10" xfId="5472" hidden="1"/>
    <cellStyle name="Note 10" xfId="5251" hidden="1"/>
    <cellStyle name="Note 10" xfId="5044" hidden="1"/>
    <cellStyle name="Note 10" xfId="8931" hidden="1"/>
    <cellStyle name="Note 10" xfId="4900" hidden="1"/>
    <cellStyle name="Note 10" xfId="7174" hidden="1"/>
    <cellStyle name="Note 10" xfId="3301" hidden="1"/>
    <cellStyle name="Note 10" xfId="2963" hidden="1"/>
    <cellStyle name="Note 10" xfId="2839" hidden="1"/>
    <cellStyle name="Note 10" xfId="1693" hidden="1"/>
    <cellStyle name="Note 10" xfId="1457" hidden="1"/>
    <cellStyle name="Note 10" xfId="1257" hidden="1"/>
    <cellStyle name="Note 10" xfId="117" hidden="1"/>
    <cellStyle name="Note 10" xfId="21788" hidden="1"/>
    <cellStyle name="Note 10" xfId="22335" hidden="1"/>
    <cellStyle name="Note 10" xfId="22392" hidden="1"/>
    <cellStyle name="Note 10" xfId="22470" hidden="1"/>
    <cellStyle name="Note 10" xfId="22548" hidden="1"/>
    <cellStyle name="Note 10" xfId="23130" hidden="1"/>
    <cellStyle name="Note 10" xfId="23209" hidden="1"/>
    <cellStyle name="Note 10" xfId="23288" hidden="1"/>
    <cellStyle name="Note 10" xfId="23082" hidden="1"/>
    <cellStyle name="Note 10" xfId="23389" hidden="1"/>
    <cellStyle name="Note 10" xfId="22843" hidden="1"/>
    <cellStyle name="Note 10" xfId="23733" hidden="1"/>
    <cellStyle name="Note 10" xfId="23804" hidden="1"/>
    <cellStyle name="Note 10" xfId="23882" hidden="1"/>
    <cellStyle name="Note 10" xfId="22884" hidden="1"/>
    <cellStyle name="Note 10" xfId="23975" hidden="1"/>
    <cellStyle name="Note 10" xfId="23404" hidden="1"/>
    <cellStyle name="Note 10" xfId="24270" hidden="1"/>
    <cellStyle name="Note 10" xfId="24336" hidden="1"/>
    <cellStyle name="Note 10" xfId="24414" hidden="1"/>
    <cellStyle name="Note 10" xfId="24607" hidden="1"/>
    <cellStyle name="Note 10" xfId="24673" hidden="1"/>
    <cellStyle name="Note 10" xfId="24751" hidden="1"/>
    <cellStyle name="Note 10" xfId="24944" hidden="1"/>
    <cellStyle name="Note 10" xfId="25010" hidden="1"/>
    <cellStyle name="Note 10" xfId="25127" hidden="1"/>
    <cellStyle name="Note 10" xfId="25184" hidden="1"/>
    <cellStyle name="Note 10" xfId="25262" hidden="1"/>
    <cellStyle name="Note 10" xfId="25340" hidden="1"/>
    <cellStyle name="Note 10" xfId="25922" hidden="1"/>
    <cellStyle name="Note 10" xfId="26001" hidden="1"/>
    <cellStyle name="Note 10" xfId="26080" hidden="1"/>
    <cellStyle name="Note 10" xfId="25874" hidden="1"/>
    <cellStyle name="Note 10" xfId="26181" hidden="1"/>
    <cellStyle name="Note 10" xfId="25635" hidden="1"/>
    <cellStyle name="Note 10" xfId="26525" hidden="1"/>
    <cellStyle name="Note 10" xfId="26596" hidden="1"/>
    <cellStyle name="Note 10" xfId="26674" hidden="1"/>
    <cellStyle name="Note 10" xfId="25676" hidden="1"/>
    <cellStyle name="Note 10" xfId="26767" hidden="1"/>
    <cellStyle name="Note 10" xfId="26196" hidden="1"/>
    <cellStyle name="Note 10" xfId="27062" hidden="1"/>
    <cellStyle name="Note 10" xfId="27128" hidden="1"/>
    <cellStyle name="Note 10" xfId="27206" hidden="1"/>
    <cellStyle name="Note 10" xfId="27399" hidden="1"/>
    <cellStyle name="Note 10" xfId="27465" hidden="1"/>
    <cellStyle name="Note 10" xfId="27543" hidden="1"/>
    <cellStyle name="Note 10" xfId="27736" hidden="1"/>
    <cellStyle name="Note 10" xfId="27802" hidden="1"/>
    <cellStyle name="Note 10" xfId="22260" hidden="1"/>
    <cellStyle name="Note 10" xfId="22203" hidden="1"/>
    <cellStyle name="Note 10" xfId="22124" hidden="1"/>
    <cellStyle name="Note 10" xfId="22041" hidden="1"/>
    <cellStyle name="Note 10" xfId="9004" hidden="1"/>
    <cellStyle name="Note 10" xfId="8762" hidden="1"/>
    <cellStyle name="Note 10" xfId="8511" hidden="1"/>
    <cellStyle name="Note 10" xfId="9100" hidden="1"/>
    <cellStyle name="Note 10" xfId="8198" hidden="1"/>
    <cellStyle name="Note 10" xfId="15598" hidden="1"/>
    <cellStyle name="Note 10" xfId="5905" hidden="1"/>
    <cellStyle name="Note 10" xfId="5786" hidden="1"/>
    <cellStyle name="Note 10" xfId="5554" hidden="1"/>
    <cellStyle name="Note 10" xfId="15506" hidden="1"/>
    <cellStyle name="Note 10" xfId="5332" hidden="1"/>
    <cellStyle name="Note 10" xfId="8105" hidden="1"/>
    <cellStyle name="Note 10" xfId="3614" hidden="1"/>
    <cellStyle name="Note 10" xfId="3318" hidden="1"/>
    <cellStyle name="Note 10" xfId="3118" hidden="1"/>
    <cellStyle name="Note 10" xfId="1860" hidden="1"/>
    <cellStyle name="Note 10" xfId="1611" hidden="1"/>
    <cellStyle name="Note 10" xfId="1436" hidden="1"/>
    <cellStyle name="Note 10" xfId="118" hidden="1"/>
    <cellStyle name="Note 10" xfId="27937" hidden="1"/>
    <cellStyle name="Note 10" xfId="28054" hidden="1"/>
    <cellStyle name="Note 10" xfId="28111" hidden="1"/>
    <cellStyle name="Note 10" xfId="28189" hidden="1"/>
    <cellStyle name="Note 10" xfId="28267" hidden="1"/>
    <cellStyle name="Note 10" xfId="28849" hidden="1"/>
    <cellStyle name="Note 10" xfId="28928" hidden="1"/>
    <cellStyle name="Note 10" xfId="29007" hidden="1"/>
    <cellStyle name="Note 10" xfId="28801" hidden="1"/>
    <cellStyle name="Note 10" xfId="29108" hidden="1"/>
    <cellStyle name="Note 10" xfId="28562" hidden="1"/>
    <cellStyle name="Note 10" xfId="29452" hidden="1"/>
    <cellStyle name="Note 10" xfId="29523" hidden="1"/>
    <cellStyle name="Note 10" xfId="29601" hidden="1"/>
    <cellStyle name="Note 10" xfId="28603" hidden="1"/>
    <cellStyle name="Note 10" xfId="29694" hidden="1"/>
    <cellStyle name="Note 10" xfId="29123" hidden="1"/>
    <cellStyle name="Note 10" xfId="29989" hidden="1"/>
    <cellStyle name="Note 10" xfId="30055" hidden="1"/>
    <cellStyle name="Note 10" xfId="30133" hidden="1"/>
    <cellStyle name="Note 10" xfId="30326" hidden="1"/>
    <cellStyle name="Note 10" xfId="30392" hidden="1"/>
    <cellStyle name="Note 10" xfId="30470" hidden="1"/>
    <cellStyle name="Note 10" xfId="30663" hidden="1"/>
    <cellStyle name="Note 10" xfId="30729" hidden="1"/>
    <cellStyle name="Note 10" xfId="30846" hidden="1"/>
    <cellStyle name="Note 10" xfId="30903" hidden="1"/>
    <cellStyle name="Note 10" xfId="30981" hidden="1"/>
    <cellStyle name="Note 10" xfId="31059" hidden="1"/>
    <cellStyle name="Note 10" xfId="31641" hidden="1"/>
    <cellStyle name="Note 10" xfId="31720" hidden="1"/>
    <cellStyle name="Note 10" xfId="31799" hidden="1"/>
    <cellStyle name="Note 10" xfId="31593" hidden="1"/>
    <cellStyle name="Note 10" xfId="31900" hidden="1"/>
    <cellStyle name="Note 10" xfId="31354" hidden="1"/>
    <cellStyle name="Note 10" xfId="32244" hidden="1"/>
    <cellStyle name="Note 10" xfId="32315" hidden="1"/>
    <cellStyle name="Note 10" xfId="32393" hidden="1"/>
    <cellStyle name="Note 10" xfId="31395" hidden="1"/>
    <cellStyle name="Note 10" xfId="32486" hidden="1"/>
    <cellStyle name="Note 10" xfId="31915" hidden="1"/>
    <cellStyle name="Note 10" xfId="32781" hidden="1"/>
    <cellStyle name="Note 10" xfId="32847" hidden="1"/>
    <cellStyle name="Note 10" xfId="32925" hidden="1"/>
    <cellStyle name="Note 10" xfId="33118" hidden="1"/>
    <cellStyle name="Note 10" xfId="33184" hidden="1"/>
    <cellStyle name="Note 10" xfId="33262" hidden="1"/>
    <cellStyle name="Note 10" xfId="33455" hidden="1"/>
    <cellStyle name="Note 10" xfId="33521" hidden="1"/>
    <cellStyle name="Note 11" xfId="165" hidden="1"/>
    <cellStyle name="Note 11" xfId="245" hidden="1"/>
    <cellStyle name="Note 11" xfId="339" hidden="1"/>
    <cellStyle name="Note 11" xfId="673" hidden="1"/>
    <cellStyle name="Note 11" xfId="2409" hidden="1"/>
    <cellStyle name="Note 11" xfId="2560" hidden="1"/>
    <cellStyle name="Note 11" xfId="2747" hidden="1"/>
    <cellStyle name="Note 11" xfId="3134" hidden="1"/>
    <cellStyle name="Note 11" xfId="2272" hidden="1"/>
    <cellStyle name="Note 11" xfId="2240" hidden="1"/>
    <cellStyle name="Note 11" xfId="4341" hidden="1"/>
    <cellStyle name="Note 11" xfId="4575" hidden="1"/>
    <cellStyle name="Note 11" xfId="4737" hidden="1"/>
    <cellStyle name="Note 11" xfId="4998" hidden="1"/>
    <cellStyle name="Note 11" xfId="1723" hidden="1"/>
    <cellStyle name="Note 11" xfId="2268" hidden="1"/>
    <cellStyle name="Note 11" xfId="6352" hidden="1"/>
    <cellStyle name="Note 11" xfId="6459" hidden="1"/>
    <cellStyle name="Note 11" xfId="6656" hidden="1"/>
    <cellStyle name="Note 11" xfId="7516" hidden="1"/>
    <cellStyle name="Note 11" xfId="7665" hidden="1"/>
    <cellStyle name="Note 11" xfId="7843" hidden="1"/>
    <cellStyle name="Note 11" xfId="8759" hidden="1"/>
    <cellStyle name="Note 11" xfId="8936" hidden="1"/>
    <cellStyle name="Note 11" xfId="9856" hidden="1"/>
    <cellStyle name="Note 11" xfId="9930" hidden="1"/>
    <cellStyle name="Note 11" xfId="10006" hidden="1"/>
    <cellStyle name="Note 11" xfId="10084" hidden="1"/>
    <cellStyle name="Note 11" xfId="10669" hidden="1"/>
    <cellStyle name="Note 11" xfId="10745" hidden="1"/>
    <cellStyle name="Note 11" xfId="10824" hidden="1"/>
    <cellStyle name="Note 11" xfId="10937" hidden="1"/>
    <cellStyle name="Note 11" xfId="10611" hidden="1"/>
    <cellStyle name="Note 11" xfId="10588" hidden="1"/>
    <cellStyle name="Note 11" xfId="11264" hidden="1"/>
    <cellStyle name="Note 11" xfId="11340" hidden="1"/>
    <cellStyle name="Note 11" xfId="11418" hidden="1"/>
    <cellStyle name="Note 11" xfId="11508" hidden="1"/>
    <cellStyle name="Note 11" xfId="10400" hidden="1"/>
    <cellStyle name="Note 11" xfId="10608" hidden="1"/>
    <cellStyle name="Note 11" xfId="11796" hidden="1"/>
    <cellStyle name="Note 11" xfId="11872" hidden="1"/>
    <cellStyle name="Note 11" xfId="11950" hidden="1"/>
    <cellStyle name="Note 11" xfId="12133" hidden="1"/>
    <cellStyle name="Note 11" xfId="12209" hidden="1"/>
    <cellStyle name="Note 11" xfId="12287" hidden="1"/>
    <cellStyle name="Note 11" xfId="12470" hidden="1"/>
    <cellStyle name="Note 11" xfId="12546" hidden="1"/>
    <cellStyle name="Note 11" xfId="12648" hidden="1"/>
    <cellStyle name="Note 11" xfId="12722" hidden="1"/>
    <cellStyle name="Note 11" xfId="12798" hidden="1"/>
    <cellStyle name="Note 11" xfId="12876" hidden="1"/>
    <cellStyle name="Note 11" xfId="13461" hidden="1"/>
    <cellStyle name="Note 11" xfId="13537" hidden="1"/>
    <cellStyle name="Note 11" xfId="13616" hidden="1"/>
    <cellStyle name="Note 11" xfId="13729" hidden="1"/>
    <cellStyle name="Note 11" xfId="13403" hidden="1"/>
    <cellStyle name="Note 11" xfId="13380" hidden="1"/>
    <cellStyle name="Note 11" xfId="14056" hidden="1"/>
    <cellStyle name="Note 11" xfId="14132" hidden="1"/>
    <cellStyle name="Note 11" xfId="14210" hidden="1"/>
    <cellStyle name="Note 11" xfId="14300" hidden="1"/>
    <cellStyle name="Note 11" xfId="13192" hidden="1"/>
    <cellStyle name="Note 11" xfId="13400" hidden="1"/>
    <cellStyle name="Note 11" xfId="14588" hidden="1"/>
    <cellStyle name="Note 11" xfId="14664" hidden="1"/>
    <cellStyle name="Note 11" xfId="14742" hidden="1"/>
    <cellStyle name="Note 11" xfId="14925" hidden="1"/>
    <cellStyle name="Note 11" xfId="15001" hidden="1"/>
    <cellStyle name="Note 11" xfId="15079" hidden="1"/>
    <cellStyle name="Note 11" xfId="15262" hidden="1"/>
    <cellStyle name="Note 11" xfId="15338" hidden="1"/>
    <cellStyle name="Note 11" xfId="9600" hidden="1"/>
    <cellStyle name="Note 11" xfId="9490" hidden="1"/>
    <cellStyle name="Note 11" xfId="9371" hidden="1"/>
    <cellStyle name="Note 11" xfId="9265" hidden="1"/>
    <cellStyle name="Note 11" xfId="7002" hidden="1"/>
    <cellStyle name="Note 11" xfId="6915" hidden="1"/>
    <cellStyle name="Note 11" xfId="6821" hidden="1"/>
    <cellStyle name="Note 11" xfId="6329" hidden="1"/>
    <cellStyle name="Note 11" xfId="7197" hidden="1"/>
    <cellStyle name="Note 11" xfId="7327" hidden="1"/>
    <cellStyle name="Note 11" xfId="4864" hidden="1"/>
    <cellStyle name="Note 11" xfId="4696" hidden="1"/>
    <cellStyle name="Note 11" xfId="4479" hidden="1"/>
    <cellStyle name="Note 11" xfId="4238" hidden="1"/>
    <cellStyle name="Note 11" xfId="7992" hidden="1"/>
    <cellStyle name="Note 11" xfId="7203" hidden="1"/>
    <cellStyle name="Note 11" xfId="2748" hidden="1"/>
    <cellStyle name="Note 11" xfId="2526" hidden="1"/>
    <cellStyle name="Note 11" xfId="2352" hidden="1"/>
    <cellStyle name="Note 11" xfId="1392" hidden="1"/>
    <cellStyle name="Note 11" xfId="1205" hidden="1"/>
    <cellStyle name="Note 11" xfId="1053" hidden="1"/>
    <cellStyle name="Note 11" xfId="15399" hidden="1"/>
    <cellStyle name="Note 11" xfId="15511" hidden="1"/>
    <cellStyle name="Note 11" xfId="16197" hidden="1"/>
    <cellStyle name="Note 11" xfId="16271" hidden="1"/>
    <cellStyle name="Note 11" xfId="16347" hidden="1"/>
    <cellStyle name="Note 11" xfId="16425" hidden="1"/>
    <cellStyle name="Note 11" xfId="17010" hidden="1"/>
    <cellStyle name="Note 11" xfId="17086" hidden="1"/>
    <cellStyle name="Note 11" xfId="17165" hidden="1"/>
    <cellStyle name="Note 11" xfId="17278" hidden="1"/>
    <cellStyle name="Note 11" xfId="16952" hidden="1"/>
    <cellStyle name="Note 11" xfId="16929" hidden="1"/>
    <cellStyle name="Note 11" xfId="17605" hidden="1"/>
    <cellStyle name="Note 11" xfId="17681" hidden="1"/>
    <cellStyle name="Note 11" xfId="17759" hidden="1"/>
    <cellStyle name="Note 11" xfId="17849" hidden="1"/>
    <cellStyle name="Note 11" xfId="16741" hidden="1"/>
    <cellStyle name="Note 11" xfId="16949" hidden="1"/>
    <cellStyle name="Note 11" xfId="18137" hidden="1"/>
    <cellStyle name="Note 11" xfId="18213" hidden="1"/>
    <cellStyle name="Note 11" xfId="18291" hidden="1"/>
    <cellStyle name="Note 11" xfId="18474" hidden="1"/>
    <cellStyle name="Note 11" xfId="18550" hidden="1"/>
    <cellStyle name="Note 11" xfId="18628" hidden="1"/>
    <cellStyle name="Note 11" xfId="18811" hidden="1"/>
    <cellStyle name="Note 11" xfId="18887" hidden="1"/>
    <cellStyle name="Note 11" xfId="18989" hidden="1"/>
    <cellStyle name="Note 11" xfId="19063" hidden="1"/>
    <cellStyle name="Note 11" xfId="19139" hidden="1"/>
    <cellStyle name="Note 11" xfId="19217" hidden="1"/>
    <cellStyle name="Note 11" xfId="19802" hidden="1"/>
    <cellStyle name="Note 11" xfId="19878" hidden="1"/>
    <cellStyle name="Note 11" xfId="19957" hidden="1"/>
    <cellStyle name="Note 11" xfId="20070" hidden="1"/>
    <cellStyle name="Note 11" xfId="19744" hidden="1"/>
    <cellStyle name="Note 11" xfId="19721" hidden="1"/>
    <cellStyle name="Note 11" xfId="20397" hidden="1"/>
    <cellStyle name="Note 11" xfId="20473" hidden="1"/>
    <cellStyle name="Note 11" xfId="20551" hidden="1"/>
    <cellStyle name="Note 11" xfId="20641" hidden="1"/>
    <cellStyle name="Note 11" xfId="19533" hidden="1"/>
    <cellStyle name="Note 11" xfId="19741" hidden="1"/>
    <cellStyle name="Note 11" xfId="20929" hidden="1"/>
    <cellStyle name="Note 11" xfId="21005" hidden="1"/>
    <cellStyle name="Note 11" xfId="21083" hidden="1"/>
    <cellStyle name="Note 11" xfId="21266" hidden="1"/>
    <cellStyle name="Note 11" xfId="21342" hidden="1"/>
    <cellStyle name="Note 11" xfId="21420" hidden="1"/>
    <cellStyle name="Note 11" xfId="21603" hidden="1"/>
    <cellStyle name="Note 11" xfId="21679" hidden="1"/>
    <cellStyle name="Note 11" xfId="15994" hidden="1"/>
    <cellStyle name="Note 11" xfId="15920" hidden="1"/>
    <cellStyle name="Note 11" xfId="15840" hidden="1"/>
    <cellStyle name="Note 11" xfId="15757" hidden="1"/>
    <cellStyle name="Note 11" xfId="7982" hidden="1"/>
    <cellStyle name="Note 11" xfId="7784" hidden="1"/>
    <cellStyle name="Note 11" xfId="7515" hidden="1"/>
    <cellStyle name="Note 11" xfId="7027" hidden="1"/>
    <cellStyle name="Note 11" xfId="8135" hidden="1"/>
    <cellStyle name="Note 11" xfId="8178" hidden="1"/>
    <cellStyle name="Note 11" xfId="5304" hidden="1"/>
    <cellStyle name="Note 11" xfId="5102" hidden="1"/>
    <cellStyle name="Note 11" xfId="4999" hidden="1"/>
    <cellStyle name="Note 11" xfId="4595" hidden="1"/>
    <cellStyle name="Note 11" xfId="8891" hidden="1"/>
    <cellStyle name="Note 11" xfId="8148" hidden="1"/>
    <cellStyle name="Note 11" xfId="3055" hidden="1"/>
    <cellStyle name="Note 11" xfId="2913" hidden="1"/>
    <cellStyle name="Note 11" xfId="2719" hidden="1"/>
    <cellStyle name="Note 11" xfId="1545" hidden="1"/>
    <cellStyle name="Note 11" xfId="1381" hidden="1"/>
    <cellStyle name="Note 11" xfId="1126" hidden="1"/>
    <cellStyle name="Note 11" xfId="21738" hidden="1"/>
    <cellStyle name="Note 11" xfId="21818" hidden="1"/>
    <cellStyle name="Note 11" xfId="22348" hidden="1"/>
    <cellStyle name="Note 11" xfId="22422" hidden="1"/>
    <cellStyle name="Note 11" xfId="22498" hidden="1"/>
    <cellStyle name="Note 11" xfId="22576" hidden="1"/>
    <cellStyle name="Note 11" xfId="23161" hidden="1"/>
    <cellStyle name="Note 11" xfId="23237" hidden="1"/>
    <cellStyle name="Note 11" xfId="23316" hidden="1"/>
    <cellStyle name="Note 11" xfId="23429" hidden="1"/>
    <cellStyle name="Note 11" xfId="23103" hidden="1"/>
    <cellStyle name="Note 11" xfId="23080" hidden="1"/>
    <cellStyle name="Note 11" xfId="23756" hidden="1"/>
    <cellStyle name="Note 11" xfId="23832" hidden="1"/>
    <cellStyle name="Note 11" xfId="23910" hidden="1"/>
    <cellStyle name="Note 11" xfId="24000" hidden="1"/>
    <cellStyle name="Note 11" xfId="22892" hidden="1"/>
    <cellStyle name="Note 11" xfId="23100" hidden="1"/>
    <cellStyle name="Note 11" xfId="24288" hidden="1"/>
    <cellStyle name="Note 11" xfId="24364" hidden="1"/>
    <cellStyle name="Note 11" xfId="24442" hidden="1"/>
    <cellStyle name="Note 11" xfId="24625" hidden="1"/>
    <cellStyle name="Note 11" xfId="24701" hidden="1"/>
    <cellStyle name="Note 11" xfId="24779" hidden="1"/>
    <cellStyle name="Note 11" xfId="24962" hidden="1"/>
    <cellStyle name="Note 11" xfId="25038" hidden="1"/>
    <cellStyle name="Note 11" xfId="25140" hidden="1"/>
    <cellStyle name="Note 11" xfId="25214" hidden="1"/>
    <cellStyle name="Note 11" xfId="25290" hidden="1"/>
    <cellStyle name="Note 11" xfId="25368" hidden="1"/>
    <cellStyle name="Note 11" xfId="25953" hidden="1"/>
    <cellStyle name="Note 11" xfId="26029" hidden="1"/>
    <cellStyle name="Note 11" xfId="26108" hidden="1"/>
    <cellStyle name="Note 11" xfId="26221" hidden="1"/>
    <cellStyle name="Note 11" xfId="25895" hidden="1"/>
    <cellStyle name="Note 11" xfId="25872" hidden="1"/>
    <cellStyle name="Note 11" xfId="26548" hidden="1"/>
    <cellStyle name="Note 11" xfId="26624" hidden="1"/>
    <cellStyle name="Note 11" xfId="26702" hidden="1"/>
    <cellStyle name="Note 11" xfId="26792" hidden="1"/>
    <cellStyle name="Note 11" xfId="25684" hidden="1"/>
    <cellStyle name="Note 11" xfId="25892" hidden="1"/>
    <cellStyle name="Note 11" xfId="27080" hidden="1"/>
    <cellStyle name="Note 11" xfId="27156" hidden="1"/>
    <cellStyle name="Note 11" xfId="27234" hidden="1"/>
    <cellStyle name="Note 11" xfId="27417" hidden="1"/>
    <cellStyle name="Note 11" xfId="27493" hidden="1"/>
    <cellStyle name="Note 11" xfId="27571" hidden="1"/>
    <cellStyle name="Note 11" xfId="27754" hidden="1"/>
    <cellStyle name="Note 11" xfId="27830" hidden="1"/>
    <cellStyle name="Note 11" xfId="22247" hidden="1"/>
    <cellStyle name="Note 11" xfId="22173" hidden="1"/>
    <cellStyle name="Note 11" xfId="22093" hidden="1"/>
    <cellStyle name="Note 11" xfId="22010" hidden="1"/>
    <cellStyle name="Note 11" xfId="8888" hidden="1"/>
    <cellStyle name="Note 11" xfId="8681" hidden="1"/>
    <cellStyle name="Note 11" xfId="8448" hidden="1"/>
    <cellStyle name="Note 11" xfId="8024" hidden="1"/>
    <cellStyle name="Note 11" xfId="9070" hidden="1"/>
    <cellStyle name="Note 11" xfId="9102" hidden="1"/>
    <cellStyle name="Note 11" xfId="5859" hidden="1"/>
    <cellStyle name="Note 11" xfId="5613" hidden="1"/>
    <cellStyle name="Note 11" xfId="5514" hidden="1"/>
    <cellStyle name="Note 11" xfId="5047" hidden="1"/>
    <cellStyle name="Note 11" xfId="15482" hidden="1"/>
    <cellStyle name="Note 11" xfId="9076" hidden="1"/>
    <cellStyle name="Note 11" xfId="3376" hidden="1"/>
    <cellStyle name="Note 11" xfId="3278" hidden="1"/>
    <cellStyle name="Note 11" xfId="3052" hidden="1"/>
    <cellStyle name="Note 11" xfId="1670" hidden="1"/>
    <cellStyle name="Note 11" xfId="1546" hidden="1"/>
    <cellStyle name="Note 11" xfId="1268" hidden="1"/>
    <cellStyle name="Note 11" xfId="27889" hidden="1"/>
    <cellStyle name="Note 11" xfId="27965" hidden="1"/>
    <cellStyle name="Note 11" xfId="28067" hidden="1"/>
    <cellStyle name="Note 11" xfId="28141" hidden="1"/>
    <cellStyle name="Note 11" xfId="28217" hidden="1"/>
    <cellStyle name="Note 11" xfId="28295" hidden="1"/>
    <cellStyle name="Note 11" xfId="28880" hidden="1"/>
    <cellStyle name="Note 11" xfId="28956" hidden="1"/>
    <cellStyle name="Note 11" xfId="29035" hidden="1"/>
    <cellStyle name="Note 11" xfId="29148" hidden="1"/>
    <cellStyle name="Note 11" xfId="28822" hidden="1"/>
    <cellStyle name="Note 11" xfId="28799" hidden="1"/>
    <cellStyle name="Note 11" xfId="29475" hidden="1"/>
    <cellStyle name="Note 11" xfId="29551" hidden="1"/>
    <cellStyle name="Note 11" xfId="29629" hidden="1"/>
    <cellStyle name="Note 11" xfId="29719" hidden="1"/>
    <cellStyle name="Note 11" xfId="28611" hidden="1"/>
    <cellStyle name="Note 11" xfId="28819" hidden="1"/>
    <cellStyle name="Note 11" xfId="30007" hidden="1"/>
    <cellStyle name="Note 11" xfId="30083" hidden="1"/>
    <cellStyle name="Note 11" xfId="30161" hidden="1"/>
    <cellStyle name="Note 11" xfId="30344" hidden="1"/>
    <cellStyle name="Note 11" xfId="30420" hidden="1"/>
    <cellStyle name="Note 11" xfId="30498" hidden="1"/>
    <cellStyle name="Note 11" xfId="30681" hidden="1"/>
    <cellStyle name="Note 11" xfId="30757" hidden="1"/>
    <cellStyle name="Note 11" xfId="30859" hidden="1"/>
    <cellStyle name="Note 11" xfId="30933" hidden="1"/>
    <cellStyle name="Note 11" xfId="31009" hidden="1"/>
    <cellStyle name="Note 11" xfId="31087" hidden="1"/>
    <cellStyle name="Note 11" xfId="31672" hidden="1"/>
    <cellStyle name="Note 11" xfId="31748" hidden="1"/>
    <cellStyle name="Note 11" xfId="31827" hidden="1"/>
    <cellStyle name="Note 11" xfId="31940" hidden="1"/>
    <cellStyle name="Note 11" xfId="31614" hidden="1"/>
    <cellStyle name="Note 11" xfId="31591" hidden="1"/>
    <cellStyle name="Note 11" xfId="32267" hidden="1"/>
    <cellStyle name="Note 11" xfId="32343" hidden="1"/>
    <cellStyle name="Note 11" xfId="32421" hidden="1"/>
    <cellStyle name="Note 11" xfId="32511" hidden="1"/>
    <cellStyle name="Note 11" xfId="31403" hidden="1"/>
    <cellStyle name="Note 11" xfId="31611" hidden="1"/>
    <cellStyle name="Note 11" xfId="32799" hidden="1"/>
    <cellStyle name="Note 11" xfId="32875" hidden="1"/>
    <cellStyle name="Note 11" xfId="32953" hidden="1"/>
    <cellStyle name="Note 11" xfId="33136" hidden="1"/>
    <cellStyle name="Note 11" xfId="33212" hidden="1"/>
    <cellStyle name="Note 11" xfId="33290" hidden="1"/>
    <cellStyle name="Note 11" xfId="33473" hidden="1"/>
    <cellStyle name="Note 11" xfId="33549" hidden="1"/>
    <cellStyle name="Note 12" xfId="178" hidden="1"/>
    <cellStyle name="Note 12" xfId="258" hidden="1"/>
    <cellStyle name="Note 12" xfId="375" hidden="1"/>
    <cellStyle name="Note 12" xfId="706" hidden="1"/>
    <cellStyle name="Note 12" xfId="2424" hidden="1"/>
    <cellStyle name="Note 12" xfId="2576" hidden="1"/>
    <cellStyle name="Note 12" xfId="2774" hidden="1"/>
    <cellStyle name="Note 12" xfId="2884" hidden="1"/>
    <cellStyle name="Note 12" xfId="2030" hidden="1"/>
    <cellStyle name="Note 12" xfId="1665" hidden="1"/>
    <cellStyle name="Note 12" xfId="4377" hidden="1"/>
    <cellStyle name="Note 12" xfId="4592" hidden="1"/>
    <cellStyle name="Note 12" xfId="4755" hidden="1"/>
    <cellStyle name="Note 12" xfId="4865" hidden="1"/>
    <cellStyle name="Note 12" xfId="3034" hidden="1"/>
    <cellStyle name="Note 12" xfId="4251" hidden="1"/>
    <cellStyle name="Note 12" xfId="6366" hidden="1"/>
    <cellStyle name="Note 12" xfId="6473" hidden="1"/>
    <cellStyle name="Note 12" xfId="6670" hidden="1"/>
    <cellStyle name="Note 12" xfId="7539" hidden="1"/>
    <cellStyle name="Note 12" xfId="7685" hidden="1"/>
    <cellStyle name="Note 12" xfId="7863" hidden="1"/>
    <cellStyle name="Note 12" xfId="8779" hidden="1"/>
    <cellStyle name="Note 12" xfId="8953" hidden="1"/>
    <cellStyle name="Note 12" xfId="9869" hidden="1"/>
    <cellStyle name="Note 12" xfId="9943" hidden="1"/>
    <cellStyle name="Note 12" xfId="10019" hidden="1"/>
    <cellStyle name="Note 12" xfId="10097" hidden="1"/>
    <cellStyle name="Note 12" xfId="10682" hidden="1"/>
    <cellStyle name="Note 12" xfId="10758" hidden="1"/>
    <cellStyle name="Note 12" xfId="10837" hidden="1"/>
    <cellStyle name="Note 12" xfId="10885" hidden="1"/>
    <cellStyle name="Note 12" xfId="10498" hidden="1"/>
    <cellStyle name="Note 12" xfId="10367" hidden="1"/>
    <cellStyle name="Note 12" xfId="11277" hidden="1"/>
    <cellStyle name="Note 12" xfId="11353" hidden="1"/>
    <cellStyle name="Note 12" xfId="11431" hidden="1"/>
    <cellStyle name="Note 12" xfId="11473" hidden="1"/>
    <cellStyle name="Note 12" xfId="10908" hidden="1"/>
    <cellStyle name="Note 12" xfId="11238" hidden="1"/>
    <cellStyle name="Note 12" xfId="11809" hidden="1"/>
    <cellStyle name="Note 12" xfId="11885" hidden="1"/>
    <cellStyle name="Note 12" xfId="11963" hidden="1"/>
    <cellStyle name="Note 12" xfId="12146" hidden="1"/>
    <cellStyle name="Note 12" xfId="12222" hidden="1"/>
    <cellStyle name="Note 12" xfId="12300" hidden="1"/>
    <cellStyle name="Note 12" xfId="12483" hidden="1"/>
    <cellStyle name="Note 12" xfId="12559" hidden="1"/>
    <cellStyle name="Note 12" xfId="12661" hidden="1"/>
    <cellStyle name="Note 12" xfId="12735" hidden="1"/>
    <cellStyle name="Note 12" xfId="12811" hidden="1"/>
    <cellStyle name="Note 12" xfId="12889" hidden="1"/>
    <cellStyle name="Note 12" xfId="13474" hidden="1"/>
    <cellStyle name="Note 12" xfId="13550" hidden="1"/>
    <cellStyle name="Note 12" xfId="13629" hidden="1"/>
    <cellStyle name="Note 12" xfId="13677" hidden="1"/>
    <cellStyle name="Note 12" xfId="13290" hidden="1"/>
    <cellStyle name="Note 12" xfId="13159" hidden="1"/>
    <cellStyle name="Note 12" xfId="14069" hidden="1"/>
    <cellStyle name="Note 12" xfId="14145" hidden="1"/>
    <cellStyle name="Note 12" xfId="14223" hidden="1"/>
    <cellStyle name="Note 12" xfId="14265" hidden="1"/>
    <cellStyle name="Note 12" xfId="13700" hidden="1"/>
    <cellStyle name="Note 12" xfId="14030" hidden="1"/>
    <cellStyle name="Note 12" xfId="14601" hidden="1"/>
    <cellStyle name="Note 12" xfId="14677" hidden="1"/>
    <cellStyle name="Note 12" xfId="14755" hidden="1"/>
    <cellStyle name="Note 12" xfId="14938" hidden="1"/>
    <cellStyle name="Note 12" xfId="15014" hidden="1"/>
    <cellStyle name="Note 12" xfId="15092" hidden="1"/>
    <cellStyle name="Note 12" xfId="15275" hidden="1"/>
    <cellStyle name="Note 12" xfId="15351" hidden="1"/>
    <cellStyle name="Note 12" xfId="9583" hidden="1"/>
    <cellStyle name="Note 12" xfId="9468" hidden="1"/>
    <cellStyle name="Note 12" xfId="9358" hidden="1"/>
    <cellStyle name="Note 12" xfId="9245" hidden="1"/>
    <cellStyle name="Note 12" xfId="6988" hidden="1"/>
    <cellStyle name="Note 12" xfId="6901" hidden="1"/>
    <cellStyle name="Note 12" xfId="6808" hidden="1"/>
    <cellStyle name="Note 12" xfId="6711" hidden="1"/>
    <cellStyle name="Note 12" xfId="7576" hidden="1"/>
    <cellStyle name="Note 12" xfId="8080" hidden="1"/>
    <cellStyle name="Note 12" xfId="4845" hidden="1"/>
    <cellStyle name="Note 12" xfId="4677" hidden="1"/>
    <cellStyle name="Note 12" xfId="4430" hidden="1"/>
    <cellStyle name="Note 12" xfId="4293" hidden="1"/>
    <cellStyle name="Note 12" xfId="6458" hidden="1"/>
    <cellStyle name="Note 12" xfId="5034" hidden="1"/>
    <cellStyle name="Note 12" xfId="2712" hidden="1"/>
    <cellStyle name="Note 12" xfId="2508" hidden="1"/>
    <cellStyle name="Note 12" xfId="2333" hidden="1"/>
    <cellStyle name="Note 12" xfId="1370" hidden="1"/>
    <cellStyle name="Note 12" xfId="1184" hidden="1"/>
    <cellStyle name="Note 12" xfId="940" hidden="1"/>
    <cellStyle name="Note 12" xfId="15417" hidden="1"/>
    <cellStyle name="Note 12" xfId="15525" hidden="1"/>
    <cellStyle name="Note 12" xfId="16210" hidden="1"/>
    <cellStyle name="Note 12" xfId="16284" hidden="1"/>
    <cellStyle name="Note 12" xfId="16360" hidden="1"/>
    <cellStyle name="Note 12" xfId="16438" hidden="1"/>
    <cellStyle name="Note 12" xfId="17023" hidden="1"/>
    <cellStyle name="Note 12" xfId="17099" hidden="1"/>
    <cellStyle name="Note 12" xfId="17178" hidden="1"/>
    <cellStyle name="Note 12" xfId="17226" hidden="1"/>
    <cellStyle name="Note 12" xfId="16839" hidden="1"/>
    <cellStyle name="Note 12" xfId="16708" hidden="1"/>
    <cellStyle name="Note 12" xfId="17618" hidden="1"/>
    <cellStyle name="Note 12" xfId="17694" hidden="1"/>
    <cellStyle name="Note 12" xfId="17772" hidden="1"/>
    <cellStyle name="Note 12" xfId="17814" hidden="1"/>
    <cellStyle name="Note 12" xfId="17249" hidden="1"/>
    <cellStyle name="Note 12" xfId="17579" hidden="1"/>
    <cellStyle name="Note 12" xfId="18150" hidden="1"/>
    <cellStyle name="Note 12" xfId="18226" hidden="1"/>
    <cellStyle name="Note 12" xfId="18304" hidden="1"/>
    <cellStyle name="Note 12" xfId="18487" hidden="1"/>
    <cellStyle name="Note 12" xfId="18563" hidden="1"/>
    <cellStyle name="Note 12" xfId="18641" hidden="1"/>
    <cellStyle name="Note 12" xfId="18824" hidden="1"/>
    <cellStyle name="Note 12" xfId="18900" hidden="1"/>
    <cellStyle name="Note 12" xfId="19002" hidden="1"/>
    <cellStyle name="Note 12" xfId="19076" hidden="1"/>
    <cellStyle name="Note 12" xfId="19152" hidden="1"/>
    <cellStyle name="Note 12" xfId="19230" hidden="1"/>
    <cellStyle name="Note 12" xfId="19815" hidden="1"/>
    <cellStyle name="Note 12" xfId="19891" hidden="1"/>
    <cellStyle name="Note 12" xfId="19970" hidden="1"/>
    <cellStyle name="Note 12" xfId="20018" hidden="1"/>
    <cellStyle name="Note 12" xfId="19631" hidden="1"/>
    <cellStyle name="Note 12" xfId="19500" hidden="1"/>
    <cellStyle name="Note 12" xfId="20410" hidden="1"/>
    <cellStyle name="Note 12" xfId="20486" hidden="1"/>
    <cellStyle name="Note 12" xfId="20564" hidden="1"/>
    <cellStyle name="Note 12" xfId="20606" hidden="1"/>
    <cellStyle name="Note 12" xfId="20041" hidden="1"/>
    <cellStyle name="Note 12" xfId="20371" hidden="1"/>
    <cellStyle name="Note 12" xfId="20942" hidden="1"/>
    <cellStyle name="Note 12" xfId="21018" hidden="1"/>
    <cellStyle name="Note 12" xfId="21096" hidden="1"/>
    <cellStyle name="Note 12" xfId="21279" hidden="1"/>
    <cellStyle name="Note 12" xfId="21355" hidden="1"/>
    <cellStyle name="Note 12" xfId="21433" hidden="1"/>
    <cellStyle name="Note 12" xfId="21616" hidden="1"/>
    <cellStyle name="Note 12" xfId="21692" hidden="1"/>
    <cellStyle name="Note 12" xfId="15981" hidden="1"/>
    <cellStyle name="Note 12" xfId="15907" hidden="1"/>
    <cellStyle name="Note 12" xfId="15827" hidden="1"/>
    <cellStyle name="Note 12" xfId="15744" hidden="1"/>
    <cellStyle name="Note 12" xfId="7963" hidden="1"/>
    <cellStyle name="Note 12" xfId="7762" hidden="1"/>
    <cellStyle name="Note 12" xfId="7475" hidden="1"/>
    <cellStyle name="Note 12" xfId="7381" hidden="1"/>
    <cellStyle name="Note 12" xfId="8468" hidden="1"/>
    <cellStyle name="Note 12" xfId="9021" hidden="1"/>
    <cellStyle name="Note 12" xfId="5289" hidden="1"/>
    <cellStyle name="Note 12" xfId="5088" hidden="1"/>
    <cellStyle name="Note 12" xfId="4982" hidden="1"/>
    <cellStyle name="Note 12" xfId="4916" hidden="1"/>
    <cellStyle name="Note 12" xfId="7188" hidden="1"/>
    <cellStyle name="Note 12" xfId="5541" hidden="1"/>
    <cellStyle name="Note 12" xfId="3027" hidden="1"/>
    <cellStyle name="Note 12" xfId="2898" hidden="1"/>
    <cellStyle name="Note 12" xfId="2680" hidden="1"/>
    <cellStyle name="Note 12" xfId="1520" hidden="1"/>
    <cellStyle name="Note 12" xfId="1348" hidden="1"/>
    <cellStyle name="Note 12" xfId="1108" hidden="1"/>
    <cellStyle name="Note 12" xfId="21752" hidden="1"/>
    <cellStyle name="Note 12" xfId="21832" hidden="1"/>
    <cellStyle name="Note 12" xfId="22361" hidden="1"/>
    <cellStyle name="Note 12" xfId="22435" hidden="1"/>
    <cellStyle name="Note 12" xfId="22511" hidden="1"/>
    <cellStyle name="Note 12" xfId="22589" hidden="1"/>
    <cellStyle name="Note 12" xfId="23174" hidden="1"/>
    <cellStyle name="Note 12" xfId="23250" hidden="1"/>
    <cellStyle name="Note 12" xfId="23329" hidden="1"/>
    <cellStyle name="Note 12" xfId="23377" hidden="1"/>
    <cellStyle name="Note 12" xfId="22990" hidden="1"/>
    <cellStyle name="Note 12" xfId="22859" hidden="1"/>
    <cellStyle name="Note 12" xfId="23769" hidden="1"/>
    <cellStyle name="Note 12" xfId="23845" hidden="1"/>
    <cellStyle name="Note 12" xfId="23923" hidden="1"/>
    <cellStyle name="Note 12" xfId="23965" hidden="1"/>
    <cellStyle name="Note 12" xfId="23400" hidden="1"/>
    <cellStyle name="Note 12" xfId="23730" hidden="1"/>
    <cellStyle name="Note 12" xfId="24301" hidden="1"/>
    <cellStyle name="Note 12" xfId="24377" hidden="1"/>
    <cellStyle name="Note 12" xfId="24455" hidden="1"/>
    <cellStyle name="Note 12" xfId="24638" hidden="1"/>
    <cellStyle name="Note 12" xfId="24714" hidden="1"/>
    <cellStyle name="Note 12" xfId="24792" hidden="1"/>
    <cellStyle name="Note 12" xfId="24975" hidden="1"/>
    <cellStyle name="Note 12" xfId="25051" hidden="1"/>
    <cellStyle name="Note 12" xfId="25153" hidden="1"/>
    <cellStyle name="Note 12" xfId="25227" hidden="1"/>
    <cellStyle name="Note 12" xfId="25303" hidden="1"/>
    <cellStyle name="Note 12" xfId="25381" hidden="1"/>
    <cellStyle name="Note 12" xfId="25966" hidden="1"/>
    <cellStyle name="Note 12" xfId="26042" hidden="1"/>
    <cellStyle name="Note 12" xfId="26121" hidden="1"/>
    <cellStyle name="Note 12" xfId="26169" hidden="1"/>
    <cellStyle name="Note 12" xfId="25782" hidden="1"/>
    <cellStyle name="Note 12" xfId="25651" hidden="1"/>
    <cellStyle name="Note 12" xfId="26561" hidden="1"/>
    <cellStyle name="Note 12" xfId="26637" hidden="1"/>
    <cellStyle name="Note 12" xfId="26715" hidden="1"/>
    <cellStyle name="Note 12" xfId="26757" hidden="1"/>
    <cellStyle name="Note 12" xfId="26192" hidden="1"/>
    <cellStyle name="Note 12" xfId="26522" hidden="1"/>
    <cellStyle name="Note 12" xfId="27093" hidden="1"/>
    <cellStyle name="Note 12" xfId="27169" hidden="1"/>
    <cellStyle name="Note 12" xfId="27247" hidden="1"/>
    <cellStyle name="Note 12" xfId="27430" hidden="1"/>
    <cellStyle name="Note 12" xfId="27506" hidden="1"/>
    <cellStyle name="Note 12" xfId="27584" hidden="1"/>
    <cellStyle name="Note 12" xfId="27767" hidden="1"/>
    <cellStyle name="Note 12" xfId="27843" hidden="1"/>
    <cellStyle name="Note 12" xfId="22234" hidden="1"/>
    <cellStyle name="Note 12" xfId="22160" hidden="1"/>
    <cellStyle name="Note 12" xfId="22080" hidden="1"/>
    <cellStyle name="Note 12" xfId="21997" hidden="1"/>
    <cellStyle name="Note 12" xfId="8867" hidden="1"/>
    <cellStyle name="Note 12" xfId="8656" hidden="1"/>
    <cellStyle name="Note 12" xfId="8425" hidden="1"/>
    <cellStyle name="Note 12" xfId="8235" hidden="1"/>
    <cellStyle name="Note 12" xfId="9519" hidden="1"/>
    <cellStyle name="Note 12" xfId="15576" hidden="1"/>
    <cellStyle name="Note 12" xfId="5841" hidden="1"/>
    <cellStyle name="Note 12" xfId="5595" hidden="1"/>
    <cellStyle name="Note 12" xfId="5500" hidden="1"/>
    <cellStyle name="Note 12" xfId="5348" hidden="1"/>
    <cellStyle name="Note 12" xfId="8123" hidden="1"/>
    <cellStyle name="Note 12" xfId="5918" hidden="1"/>
    <cellStyle name="Note 12" xfId="3358" hidden="1"/>
    <cellStyle name="Note 12" xfId="3167" hidden="1"/>
    <cellStyle name="Note 12" xfId="3010" hidden="1"/>
    <cellStyle name="Note 12" xfId="1654" hidden="1"/>
    <cellStyle name="Note 12" xfId="1509" hidden="1"/>
    <cellStyle name="Note 12" xfId="1245" hidden="1"/>
    <cellStyle name="Note 12" xfId="27902" hidden="1"/>
    <cellStyle name="Note 12" xfId="27978" hidden="1"/>
    <cellStyle name="Note 12" xfId="28080" hidden="1"/>
    <cellStyle name="Note 12" xfId="28154" hidden="1"/>
    <cellStyle name="Note 12" xfId="28230" hidden="1"/>
    <cellStyle name="Note 12" xfId="28308" hidden="1"/>
    <cellStyle name="Note 12" xfId="28893" hidden="1"/>
    <cellStyle name="Note 12" xfId="28969" hidden="1"/>
    <cellStyle name="Note 12" xfId="29048" hidden="1"/>
    <cellStyle name="Note 12" xfId="29096" hidden="1"/>
    <cellStyle name="Note 12" xfId="28709" hidden="1"/>
    <cellStyle name="Note 12" xfId="28578" hidden="1"/>
    <cellStyle name="Note 12" xfId="29488" hidden="1"/>
    <cellStyle name="Note 12" xfId="29564" hidden="1"/>
    <cellStyle name="Note 12" xfId="29642" hidden="1"/>
    <cellStyle name="Note 12" xfId="29684" hidden="1"/>
    <cellStyle name="Note 12" xfId="29119" hidden="1"/>
    <cellStyle name="Note 12" xfId="29449" hidden="1"/>
    <cellStyle name="Note 12" xfId="30020" hidden="1"/>
    <cellStyle name="Note 12" xfId="30096" hidden="1"/>
    <cellStyle name="Note 12" xfId="30174" hidden="1"/>
    <cellStyle name="Note 12" xfId="30357" hidden="1"/>
    <cellStyle name="Note 12" xfId="30433" hidden="1"/>
    <cellStyle name="Note 12" xfId="30511" hidden="1"/>
    <cellStyle name="Note 12" xfId="30694" hidden="1"/>
    <cellStyle name="Note 12" xfId="30770" hidden="1"/>
    <cellStyle name="Note 12" xfId="30872" hidden="1"/>
    <cellStyle name="Note 12" xfId="30946" hidden="1"/>
    <cellStyle name="Note 12" xfId="31022" hidden="1"/>
    <cellStyle name="Note 12" xfId="31100" hidden="1"/>
    <cellStyle name="Note 12" xfId="31685" hidden="1"/>
    <cellStyle name="Note 12" xfId="31761" hidden="1"/>
    <cellStyle name="Note 12" xfId="31840" hidden="1"/>
    <cellStyle name="Note 12" xfId="31888" hidden="1"/>
    <cellStyle name="Note 12" xfId="31501" hidden="1"/>
    <cellStyle name="Note 12" xfId="31370" hidden="1"/>
    <cellStyle name="Note 12" xfId="32280" hidden="1"/>
    <cellStyle name="Note 12" xfId="32356" hidden="1"/>
    <cellStyle name="Note 12" xfId="32434" hidden="1"/>
    <cellStyle name="Note 12" xfId="32476" hidden="1"/>
    <cellStyle name="Note 12" xfId="31911" hidden="1"/>
    <cellStyle name="Note 12" xfId="32241" hidden="1"/>
    <cellStyle name="Note 12" xfId="32812" hidden="1"/>
    <cellStyle name="Note 12" xfId="32888" hidden="1"/>
    <cellStyle name="Note 12" xfId="32966" hidden="1"/>
    <cellStyle name="Note 12" xfId="33149" hidden="1"/>
    <cellStyle name="Note 12" xfId="33225" hidden="1"/>
    <cellStyle name="Note 12" xfId="33303" hidden="1"/>
    <cellStyle name="Note 12" xfId="33486" hidden="1"/>
    <cellStyle name="Note 12" xfId="33562" hidden="1"/>
    <cellStyle name="Note 13" xfId="193" hidden="1"/>
    <cellStyle name="Note 13" xfId="272" hidden="1"/>
    <cellStyle name="Note 13" xfId="409" hidden="1"/>
    <cellStyle name="Note 13" xfId="728" hidden="1"/>
    <cellStyle name="Note 13" xfId="2441" hidden="1"/>
    <cellStyle name="Note 13" xfId="2592" hidden="1"/>
    <cellStyle name="Note 13" xfId="2799" hidden="1"/>
    <cellStyle name="Note 13" xfId="3089" hidden="1"/>
    <cellStyle name="Note 13" xfId="1872" hidden="1"/>
    <cellStyle name="Note 13" xfId="1592" hidden="1"/>
    <cellStyle name="Note 13" xfId="4412" hidden="1"/>
    <cellStyle name="Note 13" xfId="4608" hidden="1"/>
    <cellStyle name="Note 13" xfId="4772" hidden="1"/>
    <cellStyle name="Note 13" xfId="4943" hidden="1"/>
    <cellStyle name="Note 13" xfId="1720" hidden="1"/>
    <cellStyle name="Note 13" xfId="2151" hidden="1"/>
    <cellStyle name="Note 13" xfId="6384" hidden="1"/>
    <cellStyle name="Note 13" xfId="6488" hidden="1"/>
    <cellStyle name="Note 13" xfId="6686" hidden="1"/>
    <cellStyle name="Note 13" xfId="7562" hidden="1"/>
    <cellStyle name="Note 13" xfId="7704" hidden="1"/>
    <cellStyle name="Note 13" xfId="7879" hidden="1"/>
    <cellStyle name="Note 13" xfId="8801" hidden="1"/>
    <cellStyle name="Note 13" xfId="8969" hidden="1"/>
    <cellStyle name="Note 13" xfId="9882" hidden="1"/>
    <cellStyle name="Note 13" xfId="9957" hidden="1"/>
    <cellStyle name="Note 13" xfId="10032" hidden="1"/>
    <cellStyle name="Note 13" xfId="10110" hidden="1"/>
    <cellStyle name="Note 13" xfId="10696" hidden="1"/>
    <cellStyle name="Note 13" xfId="10771" hidden="1"/>
    <cellStyle name="Note 13" xfId="10850" hidden="1"/>
    <cellStyle name="Note 13" xfId="10918" hidden="1"/>
    <cellStyle name="Note 13" xfId="10447" hidden="1"/>
    <cellStyle name="Note 13" xfId="10348" hidden="1"/>
    <cellStyle name="Note 13" xfId="11291" hidden="1"/>
    <cellStyle name="Note 13" xfId="11366" hidden="1"/>
    <cellStyle name="Note 13" xfId="11444" hidden="1"/>
    <cellStyle name="Note 13" xfId="11498" hidden="1"/>
    <cellStyle name="Note 13" xfId="10397" hidden="1"/>
    <cellStyle name="Note 13" xfId="10555" hidden="1"/>
    <cellStyle name="Note 13" xfId="11823" hidden="1"/>
    <cellStyle name="Note 13" xfId="11898" hidden="1"/>
    <cellStyle name="Note 13" xfId="11976" hidden="1"/>
    <cellStyle name="Note 13" xfId="12160" hidden="1"/>
    <cellStyle name="Note 13" xfId="12235" hidden="1"/>
    <cellStyle name="Note 13" xfId="12313" hidden="1"/>
    <cellStyle name="Note 13" xfId="12497" hidden="1"/>
    <cellStyle name="Note 13" xfId="12572" hidden="1"/>
    <cellStyle name="Note 13" xfId="12674" hidden="1"/>
    <cellStyle name="Note 13" xfId="12749" hidden="1"/>
    <cellStyle name="Note 13" xfId="12824" hidden="1"/>
    <cellStyle name="Note 13" xfId="12902" hidden="1"/>
    <cellStyle name="Note 13" xfId="13488" hidden="1"/>
    <cellStyle name="Note 13" xfId="13563" hidden="1"/>
    <cellStyle name="Note 13" xfId="13642" hidden="1"/>
    <cellStyle name="Note 13" xfId="13710" hidden="1"/>
    <cellStyle name="Note 13" xfId="13239" hidden="1"/>
    <cellStyle name="Note 13" xfId="13140" hidden="1"/>
    <cellStyle name="Note 13" xfId="14083" hidden="1"/>
    <cellStyle name="Note 13" xfId="14158" hidden="1"/>
    <cellStyle name="Note 13" xfId="14236" hidden="1"/>
    <cellStyle name="Note 13" xfId="14290" hidden="1"/>
    <cellStyle name="Note 13" xfId="13189" hidden="1"/>
    <cellStyle name="Note 13" xfId="13347" hidden="1"/>
    <cellStyle name="Note 13" xfId="14615" hidden="1"/>
    <cellStyle name="Note 13" xfId="14690" hidden="1"/>
    <cellStyle name="Note 13" xfId="14768" hidden="1"/>
    <cellStyle name="Note 13" xfId="14952" hidden="1"/>
    <cellStyle name="Note 13" xfId="15027" hidden="1"/>
    <cellStyle name="Note 13" xfId="15105" hidden="1"/>
    <cellStyle name="Note 13" xfId="15289" hidden="1"/>
    <cellStyle name="Note 13" xfId="15364" hidden="1"/>
    <cellStyle name="Note 13" xfId="9568" hidden="1"/>
    <cellStyle name="Note 13" xfId="9454" hidden="1"/>
    <cellStyle name="Note 13" xfId="9342" hidden="1"/>
    <cellStyle name="Note 13" xfId="9226" hidden="1"/>
    <cellStyle name="Note 13" xfId="6972" hidden="1"/>
    <cellStyle name="Note 13" xfId="6887" hidden="1"/>
    <cellStyle name="Note 13" xfId="6793" hidden="1"/>
    <cellStyle name="Note 13" xfId="6424" hidden="1"/>
    <cellStyle name="Note 13" xfId="7811" hidden="1"/>
    <cellStyle name="Note 13" xfId="8140" hidden="1"/>
    <cellStyle name="Note 13" xfId="4824" hidden="1"/>
    <cellStyle name="Note 13" xfId="4661" hidden="1"/>
    <cellStyle name="Note 13" xfId="4373" hidden="1"/>
    <cellStyle name="Note 13" xfId="4257" hidden="1"/>
    <cellStyle name="Note 13" xfId="8004" hidden="1"/>
    <cellStyle name="Note 13" xfId="7384" hidden="1"/>
    <cellStyle name="Note 13" xfId="2686" hidden="1"/>
    <cellStyle name="Note 13" xfId="2492" hidden="1"/>
    <cellStyle name="Note 13" xfId="2315" hidden="1"/>
    <cellStyle name="Note 13" xfId="1349" hidden="1"/>
    <cellStyle name="Note 13" xfId="1168" hidden="1"/>
    <cellStyle name="Note 13" xfId="927" hidden="1"/>
    <cellStyle name="Note 13" xfId="15434" hidden="1"/>
    <cellStyle name="Note 13" xfId="15541" hidden="1"/>
    <cellStyle name="Note 13" xfId="16223" hidden="1"/>
    <cellStyle name="Note 13" xfId="16298" hidden="1"/>
    <cellStyle name="Note 13" xfId="16373" hidden="1"/>
    <cellStyle name="Note 13" xfId="16451" hidden="1"/>
    <cellStyle name="Note 13" xfId="17037" hidden="1"/>
    <cellStyle name="Note 13" xfId="17112" hidden="1"/>
    <cellStyle name="Note 13" xfId="17191" hidden="1"/>
    <cellStyle name="Note 13" xfId="17259" hidden="1"/>
    <cellStyle name="Note 13" xfId="16788" hidden="1"/>
    <cellStyle name="Note 13" xfId="16689" hidden="1"/>
    <cellStyle name="Note 13" xfId="17632" hidden="1"/>
    <cellStyle name="Note 13" xfId="17707" hidden="1"/>
    <cellStyle name="Note 13" xfId="17785" hidden="1"/>
    <cellStyle name="Note 13" xfId="17839" hidden="1"/>
    <cellStyle name="Note 13" xfId="16738" hidden="1"/>
    <cellStyle name="Note 13" xfId="16896" hidden="1"/>
    <cellStyle name="Note 13" xfId="18164" hidden="1"/>
    <cellStyle name="Note 13" xfId="18239" hidden="1"/>
    <cellStyle name="Note 13" xfId="18317" hidden="1"/>
    <cellStyle name="Note 13" xfId="18501" hidden="1"/>
    <cellStyle name="Note 13" xfId="18576" hidden="1"/>
    <cellStyle name="Note 13" xfId="18654" hidden="1"/>
    <cellStyle name="Note 13" xfId="18838" hidden="1"/>
    <cellStyle name="Note 13" xfId="18913" hidden="1"/>
    <cellStyle name="Note 13" xfId="19015" hidden="1"/>
    <cellStyle name="Note 13" xfId="19090" hidden="1"/>
    <cellStyle name="Note 13" xfId="19165" hidden="1"/>
    <cellStyle name="Note 13" xfId="19243" hidden="1"/>
    <cellStyle name="Note 13" xfId="19829" hidden="1"/>
    <cellStyle name="Note 13" xfId="19904" hidden="1"/>
    <cellStyle name="Note 13" xfId="19983" hidden="1"/>
    <cellStyle name="Note 13" xfId="20051" hidden="1"/>
    <cellStyle name="Note 13" xfId="19580" hidden="1"/>
    <cellStyle name="Note 13" xfId="19481" hidden="1"/>
    <cellStyle name="Note 13" xfId="20424" hidden="1"/>
    <cellStyle name="Note 13" xfId="20499" hidden="1"/>
    <cellStyle name="Note 13" xfId="20577" hidden="1"/>
    <cellStyle name="Note 13" xfId="20631" hidden="1"/>
    <cellStyle name="Note 13" xfId="19530" hidden="1"/>
    <cellStyle name="Note 13" xfId="19688" hidden="1"/>
    <cellStyle name="Note 13" xfId="20956" hidden="1"/>
    <cellStyle name="Note 13" xfId="21031" hidden="1"/>
    <cellStyle name="Note 13" xfId="21109" hidden="1"/>
    <cellStyle name="Note 13" xfId="21293" hidden="1"/>
    <cellStyle name="Note 13" xfId="21368" hidden="1"/>
    <cellStyle name="Note 13" xfId="21446" hidden="1"/>
    <cellStyle name="Note 13" xfId="21630" hidden="1"/>
    <cellStyle name="Note 13" xfId="21705" hidden="1"/>
    <cellStyle name="Note 13" xfId="15968" hidden="1"/>
    <cellStyle name="Note 13" xfId="15893" hidden="1"/>
    <cellStyle name="Note 13" xfId="15813" hidden="1"/>
    <cellStyle name="Note 13" xfId="15727" hidden="1"/>
    <cellStyle name="Note 13" xfId="7941" hidden="1"/>
    <cellStyle name="Note 13" xfId="7733" hidden="1"/>
    <cellStyle name="Note 13" xfId="7458" hidden="1"/>
    <cellStyle name="Note 13" xfId="7164" hidden="1"/>
    <cellStyle name="Note 13" xfId="8702" hidden="1"/>
    <cellStyle name="Note 13" xfId="9066" hidden="1"/>
    <cellStyle name="Note 13" xfId="5275" hidden="1"/>
    <cellStyle name="Note 13" xfId="5075" hidden="1"/>
    <cellStyle name="Note 13" xfId="4967" hidden="1"/>
    <cellStyle name="Note 13" xfId="4750" hidden="1"/>
    <cellStyle name="Note 13" xfId="8907" hidden="1"/>
    <cellStyle name="Note 13" xfId="8237" hidden="1"/>
    <cellStyle name="Note 13" xfId="3006" hidden="1"/>
    <cellStyle name="Note 13" xfId="2877" hidden="1"/>
    <cellStyle name="Note 13" xfId="2646" hidden="1"/>
    <cellStyle name="Note 13" xfId="1501" hidden="1"/>
    <cellStyle name="Note 13" xfId="1314" hidden="1"/>
    <cellStyle name="Note 13" xfId="1092" hidden="1"/>
    <cellStyle name="Note 13" xfId="21766" hidden="1"/>
    <cellStyle name="Note 13" xfId="21845" hidden="1"/>
    <cellStyle name="Note 13" xfId="22374" hidden="1"/>
    <cellStyle name="Note 13" xfId="22449" hidden="1"/>
    <cellStyle name="Note 13" xfId="22524" hidden="1"/>
    <cellStyle name="Note 13" xfId="22602" hidden="1"/>
    <cellStyle name="Note 13" xfId="23188" hidden="1"/>
    <cellStyle name="Note 13" xfId="23263" hidden="1"/>
    <cellStyle name="Note 13" xfId="23342" hidden="1"/>
    <cellStyle name="Note 13" xfId="23410" hidden="1"/>
    <cellStyle name="Note 13" xfId="22939" hidden="1"/>
    <cellStyle name="Note 13" xfId="22840" hidden="1"/>
    <cellStyle name="Note 13" xfId="23783" hidden="1"/>
    <cellStyle name="Note 13" xfId="23858" hidden="1"/>
    <cellStyle name="Note 13" xfId="23936" hidden="1"/>
    <cellStyle name="Note 13" xfId="23990" hidden="1"/>
    <cellStyle name="Note 13" xfId="22889" hidden="1"/>
    <cellStyle name="Note 13" xfId="23047" hidden="1"/>
    <cellStyle name="Note 13" xfId="24315" hidden="1"/>
    <cellStyle name="Note 13" xfId="24390" hidden="1"/>
    <cellStyle name="Note 13" xfId="24468" hidden="1"/>
    <cellStyle name="Note 13" xfId="24652" hidden="1"/>
    <cellStyle name="Note 13" xfId="24727" hidden="1"/>
    <cellStyle name="Note 13" xfId="24805" hidden="1"/>
    <cellStyle name="Note 13" xfId="24989" hidden="1"/>
    <cellStyle name="Note 13" xfId="25064" hidden="1"/>
    <cellStyle name="Note 13" xfId="25166" hidden="1"/>
    <cellStyle name="Note 13" xfId="25241" hidden="1"/>
    <cellStyle name="Note 13" xfId="25316" hidden="1"/>
    <cellStyle name="Note 13" xfId="25394" hidden="1"/>
    <cellStyle name="Note 13" xfId="25980" hidden="1"/>
    <cellStyle name="Note 13" xfId="26055" hidden="1"/>
    <cellStyle name="Note 13" xfId="26134" hidden="1"/>
    <cellStyle name="Note 13" xfId="26202" hidden="1"/>
    <cellStyle name="Note 13" xfId="25731" hidden="1"/>
    <cellStyle name="Note 13" xfId="25632" hidden="1"/>
    <cellStyle name="Note 13" xfId="26575" hidden="1"/>
    <cellStyle name="Note 13" xfId="26650" hidden="1"/>
    <cellStyle name="Note 13" xfId="26728" hidden="1"/>
    <cellStyle name="Note 13" xfId="26782" hidden="1"/>
    <cellStyle name="Note 13" xfId="25681" hidden="1"/>
    <cellStyle name="Note 13" xfId="25839" hidden="1"/>
    <cellStyle name="Note 13" xfId="27107" hidden="1"/>
    <cellStyle name="Note 13" xfId="27182" hidden="1"/>
    <cellStyle name="Note 13" xfId="27260" hidden="1"/>
    <cellStyle name="Note 13" xfId="27444" hidden="1"/>
    <cellStyle name="Note 13" xfId="27519" hidden="1"/>
    <cellStyle name="Note 13" xfId="27597" hidden="1"/>
    <cellStyle name="Note 13" xfId="27781" hidden="1"/>
    <cellStyle name="Note 13" xfId="27856" hidden="1"/>
    <cellStyle name="Note 13" xfId="22221" hidden="1"/>
    <cellStyle name="Note 13" xfId="22146" hidden="1"/>
    <cellStyle name="Note 13" xfId="22066" hidden="1"/>
    <cellStyle name="Note 13" xfId="21983" hidden="1"/>
    <cellStyle name="Note 13" xfId="8839" hidden="1"/>
    <cellStyle name="Note 13" xfId="8547" hidden="1"/>
    <cellStyle name="Note 13" xfId="8409" hidden="1"/>
    <cellStyle name="Note 13" xfId="8089" hidden="1"/>
    <cellStyle name="Note 13" xfId="9772" hidden="1"/>
    <cellStyle name="Note 13" xfId="15601" hidden="1"/>
    <cellStyle name="Note 13" xfId="5818" hidden="1"/>
    <cellStyle name="Note 13" xfId="5581" hidden="1"/>
    <cellStyle name="Note 13" xfId="5486" hidden="1"/>
    <cellStyle name="Note 13" xfId="5131" hidden="1"/>
    <cellStyle name="Note 13" xfId="15488" hidden="1"/>
    <cellStyle name="Note 13" xfId="9311" hidden="1"/>
    <cellStyle name="Note 13" xfId="3342" hidden="1"/>
    <cellStyle name="Note 13" xfId="3152" hidden="1"/>
    <cellStyle name="Note 13" xfId="2974" hidden="1"/>
    <cellStyle name="Note 13" xfId="1637" hidden="1"/>
    <cellStyle name="Note 13" xfId="1474" hidden="1"/>
    <cellStyle name="Note 13" xfId="1219" hidden="1"/>
    <cellStyle name="Note 13" xfId="27916" hidden="1"/>
    <cellStyle name="Note 13" xfId="27991" hidden="1"/>
    <cellStyle name="Note 13" xfId="28093" hidden="1"/>
    <cellStyle name="Note 13" xfId="28168" hidden="1"/>
    <cellStyle name="Note 13" xfId="28243" hidden="1"/>
    <cellStyle name="Note 13" xfId="28321" hidden="1"/>
    <cellStyle name="Note 13" xfId="28907" hidden="1"/>
    <cellStyle name="Note 13" xfId="28982" hidden="1"/>
    <cellStyle name="Note 13" xfId="29061" hidden="1"/>
    <cellStyle name="Note 13" xfId="29129" hidden="1"/>
    <cellStyle name="Note 13" xfId="28658" hidden="1"/>
    <cellStyle name="Note 13" xfId="28559" hidden="1"/>
    <cellStyle name="Note 13" xfId="29502" hidden="1"/>
    <cellStyle name="Note 13" xfId="29577" hidden="1"/>
    <cellStyle name="Note 13" xfId="29655" hidden="1"/>
    <cellStyle name="Note 13" xfId="29709" hidden="1"/>
    <cellStyle name="Note 13" xfId="28608" hidden="1"/>
    <cellStyle name="Note 13" xfId="28766" hidden="1"/>
    <cellStyle name="Note 13" xfId="30034" hidden="1"/>
    <cellStyle name="Note 13" xfId="30109" hidden="1"/>
    <cellStyle name="Note 13" xfId="30187" hidden="1"/>
    <cellStyle name="Note 13" xfId="30371" hidden="1"/>
    <cellStyle name="Note 13" xfId="30446" hidden="1"/>
    <cellStyle name="Note 13" xfId="30524" hidden="1"/>
    <cellStyle name="Note 13" xfId="30708" hidden="1"/>
    <cellStyle name="Note 13" xfId="30783" hidden="1"/>
    <cellStyle name="Note 13" xfId="30885" hidden="1"/>
    <cellStyle name="Note 13" xfId="30960" hidden="1"/>
    <cellStyle name="Note 13" xfId="31035" hidden="1"/>
    <cellStyle name="Note 13" xfId="31113" hidden="1"/>
    <cellStyle name="Note 13" xfId="31699" hidden="1"/>
    <cellStyle name="Note 13" xfId="31774" hidden="1"/>
    <cellStyle name="Note 13" xfId="31853" hidden="1"/>
    <cellStyle name="Note 13" xfId="31921" hidden="1"/>
    <cellStyle name="Note 13" xfId="31450" hidden="1"/>
    <cellStyle name="Note 13" xfId="31351" hidden="1"/>
    <cellStyle name="Note 13" xfId="32294" hidden="1"/>
    <cellStyle name="Note 13" xfId="32369" hidden="1"/>
    <cellStyle name="Note 13" xfId="32447" hidden="1"/>
    <cellStyle name="Note 13" xfId="32501" hidden="1"/>
    <cellStyle name="Note 13" xfId="31400" hidden="1"/>
    <cellStyle name="Note 13" xfId="31558" hidden="1"/>
    <cellStyle name="Note 13" xfId="32826" hidden="1"/>
    <cellStyle name="Note 13" xfId="32901" hidden="1"/>
    <cellStyle name="Note 13" xfId="32979" hidden="1"/>
    <cellStyle name="Note 13" xfId="33163" hidden="1"/>
    <cellStyle name="Note 13" xfId="33238" hidden="1"/>
    <cellStyle name="Note 13" xfId="33316" hidden="1"/>
    <cellStyle name="Note 13" xfId="33500" hidden="1"/>
    <cellStyle name="Note 13" xfId="33575" hidden="1"/>
    <cellStyle name="Note 14" xfId="741" hidden="1"/>
    <cellStyle name="Note 14" xfId="943" hidden="1"/>
    <cellStyle name="Note 14" xfId="3514" hidden="1"/>
    <cellStyle name="Note 14" xfId="4029" hidden="1"/>
    <cellStyle name="Note 14" xfId="5346" hidden="1"/>
    <cellStyle name="Note 14" xfId="6045" hidden="1"/>
    <cellStyle name="Note 14" xfId="7060" hidden="1"/>
    <cellStyle name="Note 14" xfId="8263" hidden="1"/>
    <cellStyle name="Note 14" xfId="10123" hidden="1"/>
    <cellStyle name="Note 14" xfId="10238" hidden="1"/>
    <cellStyle name="Note 14" xfId="10961" hidden="1"/>
    <cellStyle name="Note 14" xfId="11134" hidden="1"/>
    <cellStyle name="Note 14" xfId="11527" hidden="1"/>
    <cellStyle name="Note 14" xfId="11675" hidden="1"/>
    <cellStyle name="Note 14" xfId="12013" hidden="1"/>
    <cellStyle name="Note 14" xfId="12350" hidden="1"/>
    <cellStyle name="Note 14" xfId="12915" hidden="1"/>
    <cellStyle name="Note 14" xfId="13030" hidden="1"/>
    <cellStyle name="Note 14" xfId="13753" hidden="1"/>
    <cellStyle name="Note 14" xfId="13926" hidden="1"/>
    <cellStyle name="Note 14" xfId="14319" hidden="1"/>
    <cellStyle name="Note 14" xfId="14467" hidden="1"/>
    <cellStyle name="Note 14" xfId="14805" hidden="1"/>
    <cellStyle name="Note 14" xfId="15142" hidden="1"/>
    <cellStyle name="Note 14" xfId="9206" hidden="1"/>
    <cellStyle name="Note 14" xfId="8664" hidden="1"/>
    <cellStyle name="Note 14" xfId="6034" hidden="1"/>
    <cellStyle name="Note 14" xfId="5244" hidden="1"/>
    <cellStyle name="Note 14" xfId="3960" hidden="1"/>
    <cellStyle name="Note 14" xfId="3283" hidden="1"/>
    <cellStyle name="Note 14" xfId="1847" hidden="1"/>
    <cellStyle name="Note 14" xfId="487" hidden="1"/>
    <cellStyle name="Note 14" xfId="16464" hidden="1"/>
    <cellStyle name="Note 14" xfId="16579" hidden="1"/>
    <cellStyle name="Note 14" xfId="17302" hidden="1"/>
    <cellStyle name="Note 14" xfId="17475" hidden="1"/>
    <cellStyle name="Note 14" xfId="17868" hidden="1"/>
    <cellStyle name="Note 14" xfId="18016" hidden="1"/>
    <cellStyle name="Note 14" xfId="18354" hidden="1"/>
    <cellStyle name="Note 14" xfId="18691" hidden="1"/>
    <cellStyle name="Note 14" xfId="19256" hidden="1"/>
    <cellStyle name="Note 14" xfId="19371" hidden="1"/>
    <cellStyle name="Note 14" xfId="20094" hidden="1"/>
    <cellStyle name="Note 14" xfId="20267" hidden="1"/>
    <cellStyle name="Note 14" xfId="20660" hidden="1"/>
    <cellStyle name="Note 14" xfId="20808" hidden="1"/>
    <cellStyle name="Note 14" xfId="21146" hidden="1"/>
    <cellStyle name="Note 14" xfId="21483" hidden="1"/>
    <cellStyle name="Note 14" xfId="15714" hidden="1"/>
    <cellStyle name="Note 14" xfId="9758" hidden="1"/>
    <cellStyle name="Note 14" xfId="6621" hidden="1"/>
    <cellStyle name="Note 14" xfId="5775" hidden="1"/>
    <cellStyle name="Note 14" xfId="4229" hidden="1"/>
    <cellStyle name="Note 14" xfId="3511" hidden="1"/>
    <cellStyle name="Note 14" xfId="2022" hidden="1"/>
    <cellStyle name="Note 14" xfId="587" hidden="1"/>
    <cellStyle name="Note 14" xfId="22615" hidden="1"/>
    <cellStyle name="Note 14" xfId="22730" hidden="1"/>
    <cellStyle name="Note 14" xfId="23453" hidden="1"/>
    <cellStyle name="Note 14" xfId="23626" hidden="1"/>
    <cellStyle name="Note 14" xfId="24019" hidden="1"/>
    <cellStyle name="Note 14" xfId="24167" hidden="1"/>
    <cellStyle name="Note 14" xfId="24505" hidden="1"/>
    <cellStyle name="Note 14" xfId="24842" hidden="1"/>
    <cellStyle name="Note 14" xfId="25407" hidden="1"/>
    <cellStyle name="Note 14" xfId="25522" hidden="1"/>
    <cellStyle name="Note 14" xfId="26245" hidden="1"/>
    <cellStyle name="Note 14" xfId="26418" hidden="1"/>
    <cellStyle name="Note 14" xfId="26811" hidden="1"/>
    <cellStyle name="Note 14" xfId="26959" hidden="1"/>
    <cellStyle name="Note 14" xfId="27297" hidden="1"/>
    <cellStyle name="Note 14" xfId="27634" hidden="1"/>
    <cellStyle name="Note 14" xfId="21970" hidden="1"/>
    <cellStyle name="Note 14" xfId="16138" hidden="1"/>
    <cellStyle name="Note 14" xfId="7322" hidden="1"/>
    <cellStyle name="Note 14" xfId="6284" hidden="1"/>
    <cellStyle name="Note 14" xfId="4541" hidden="1"/>
    <cellStyle name="Note 14" xfId="3765" hidden="1"/>
    <cellStyle name="Note 14" xfId="2201" hidden="1"/>
    <cellStyle name="Note 14" xfId="727" hidden="1"/>
    <cellStyle name="Note 14" xfId="28334" hidden="1"/>
    <cellStyle name="Note 14" xfId="28449" hidden="1"/>
    <cellStyle name="Note 14" xfId="29172" hidden="1"/>
    <cellStyle name="Note 14" xfId="29345" hidden="1"/>
    <cellStyle name="Note 14" xfId="29738" hidden="1"/>
    <cellStyle name="Note 14" xfId="29886" hidden="1"/>
    <cellStyle name="Note 14" xfId="30224" hidden="1"/>
    <cellStyle name="Note 14" xfId="30561" hidden="1"/>
    <cellStyle name="Note 14" xfId="31126" hidden="1"/>
    <cellStyle name="Note 14" xfId="31241" hidden="1"/>
    <cellStyle name="Note 14" xfId="31964" hidden="1"/>
    <cellStyle name="Note 14" xfId="32137" hidden="1"/>
    <cellStyle name="Note 14" xfId="32530" hidden="1"/>
    <cellStyle name="Note 14" xfId="32678" hidden="1"/>
    <cellStyle name="Note 14" xfId="33016" hidden="1"/>
    <cellStyle name="Note 14" xfId="33353" hidden="1"/>
    <cellStyle name="Note 5 2 5 3 2" xfId="816" hidden="1"/>
    <cellStyle name="Note 5 2 5 3 2" xfId="1024" hidden="1"/>
    <cellStyle name="Note 5 2 5 3 2" xfId="3588" hidden="1"/>
    <cellStyle name="Note 5 2 5 3 2" xfId="4103" hidden="1"/>
    <cellStyle name="Note 5 2 5 3 2" xfId="5422" hidden="1"/>
    <cellStyle name="Note 5 2 5 3 2" xfId="6119" hidden="1"/>
    <cellStyle name="Note 5 2 5 3 2" xfId="7136" hidden="1"/>
    <cellStyle name="Note 5 2 5 3 2" xfId="8340" hidden="1"/>
    <cellStyle name="Note 5 2 5 3 2" xfId="10197" hidden="1"/>
    <cellStyle name="Note 5 2 5 3 2" xfId="10312" hidden="1"/>
    <cellStyle name="Note 5 2 5 3 2" xfId="11035" hidden="1"/>
    <cellStyle name="Note 5 2 5 3 2" xfId="11208" hidden="1"/>
    <cellStyle name="Note 5 2 5 3 2" xfId="11601" hidden="1"/>
    <cellStyle name="Note 5 2 5 3 2" xfId="11749" hidden="1"/>
    <cellStyle name="Note 5 2 5 3 2" xfId="12087" hidden="1"/>
    <cellStyle name="Note 5 2 5 3 2" xfId="12424" hidden="1"/>
    <cellStyle name="Note 5 2 5 3 2" xfId="12989" hidden="1"/>
    <cellStyle name="Note 5 2 5 3 2" xfId="13104" hidden="1"/>
    <cellStyle name="Note 5 2 5 3 2" xfId="13827" hidden="1"/>
    <cellStyle name="Note 5 2 5 3 2" xfId="14000" hidden="1"/>
    <cellStyle name="Note 5 2 5 3 2" xfId="14393" hidden="1"/>
    <cellStyle name="Note 5 2 5 3 2" xfId="14541" hidden="1"/>
    <cellStyle name="Note 5 2 5 3 2" xfId="14879" hidden="1"/>
    <cellStyle name="Note 5 2 5 3 2" xfId="15216" hidden="1"/>
    <cellStyle name="Note 5 2 5 3 2" xfId="9130" hidden="1"/>
    <cellStyle name="Note 5 2 5 3 2" xfId="8586" hidden="1"/>
    <cellStyle name="Note 5 2 5 3 2" xfId="5958" hidden="1"/>
    <cellStyle name="Note 5 2 5 3 2" xfId="5167" hidden="1"/>
    <cellStyle name="Note 5 2 5 3 2" xfId="3882" hidden="1"/>
    <cellStyle name="Note 5 2 5 3 2" xfId="3204" hidden="1"/>
    <cellStyle name="Note 5 2 5 3 2" xfId="1761" hidden="1"/>
    <cellStyle name="Note 5 2 5 3 2" xfId="364" hidden="1"/>
    <cellStyle name="Note 5 2 5 3 2" xfId="16538" hidden="1"/>
    <cellStyle name="Note 5 2 5 3 2" xfId="16653" hidden="1"/>
    <cellStyle name="Note 5 2 5 3 2" xfId="17376" hidden="1"/>
    <cellStyle name="Note 5 2 5 3 2" xfId="17549" hidden="1"/>
    <cellStyle name="Note 5 2 5 3 2" xfId="17942" hidden="1"/>
    <cellStyle name="Note 5 2 5 3 2" xfId="18090" hidden="1"/>
    <cellStyle name="Note 5 2 5 3 2" xfId="18428" hidden="1"/>
    <cellStyle name="Note 5 2 5 3 2" xfId="18765" hidden="1"/>
    <cellStyle name="Note 5 2 5 3 2" xfId="19330" hidden="1"/>
    <cellStyle name="Note 5 2 5 3 2" xfId="19445" hidden="1"/>
    <cellStyle name="Note 5 2 5 3 2" xfId="20168" hidden="1"/>
    <cellStyle name="Note 5 2 5 3 2" xfId="20341" hidden="1"/>
    <cellStyle name="Note 5 2 5 3 2" xfId="20734" hidden="1"/>
    <cellStyle name="Note 5 2 5 3 2" xfId="20882" hidden="1"/>
    <cellStyle name="Note 5 2 5 3 2" xfId="21220" hidden="1"/>
    <cellStyle name="Note 5 2 5 3 2" xfId="21557" hidden="1"/>
    <cellStyle name="Note 5 2 5 3 2" xfId="15638" hidden="1"/>
    <cellStyle name="Note 5 2 5 3 2" xfId="9683" hidden="1"/>
    <cellStyle name="Note 5 2 5 3 2" xfId="6531" hidden="1"/>
    <cellStyle name="Note 5 2 5 3 2" xfId="5683" hidden="1"/>
    <cellStyle name="Note 5 2 5 3 2" xfId="4152" hidden="1"/>
    <cellStyle name="Note 5 2 5 3 2" xfId="3431" hidden="1"/>
    <cellStyle name="Note 5 2 5 3 2" xfId="1934" hidden="1"/>
    <cellStyle name="Note 5 2 5 3 2" xfId="498" hidden="1"/>
    <cellStyle name="Note 5 2 5 3 2" xfId="22689" hidden="1"/>
    <cellStyle name="Note 5 2 5 3 2" xfId="22804" hidden="1"/>
    <cellStyle name="Note 5 2 5 3 2" xfId="23527" hidden="1"/>
    <cellStyle name="Note 5 2 5 3 2" xfId="23700" hidden="1"/>
    <cellStyle name="Note 5 2 5 3 2" xfId="24093" hidden="1"/>
    <cellStyle name="Note 5 2 5 3 2" xfId="24241" hidden="1"/>
    <cellStyle name="Note 5 2 5 3 2" xfId="24579" hidden="1"/>
    <cellStyle name="Note 5 2 5 3 2" xfId="24916" hidden="1"/>
    <cellStyle name="Note 5 2 5 3 2" xfId="25481" hidden="1"/>
    <cellStyle name="Note 5 2 5 3 2" xfId="25596" hidden="1"/>
    <cellStyle name="Note 5 2 5 3 2" xfId="26319" hidden="1"/>
    <cellStyle name="Note 5 2 5 3 2" xfId="26492" hidden="1"/>
    <cellStyle name="Note 5 2 5 3 2" xfId="26885" hidden="1"/>
    <cellStyle name="Note 5 2 5 3 2" xfId="27033" hidden="1"/>
    <cellStyle name="Note 5 2 5 3 2" xfId="27371" hidden="1"/>
    <cellStyle name="Note 5 2 5 3 2" xfId="27708" hidden="1"/>
    <cellStyle name="Note 5 2 5 3 2" xfId="21894" hidden="1"/>
    <cellStyle name="Note 5 2 5 3 2" xfId="16064" hidden="1"/>
    <cellStyle name="Note 5 2 5 3 2" xfId="7235" hidden="1"/>
    <cellStyle name="Note 5 2 5 3 2" xfId="6190" hidden="1"/>
    <cellStyle name="Note 5 2 5 3 2" xfId="4386" hidden="1"/>
    <cellStyle name="Note 5 2 5 3 2" xfId="3687" hidden="1"/>
    <cellStyle name="Note 5 2 5 3 2" xfId="2121" hidden="1"/>
    <cellStyle name="Note 5 2 5 3 2" xfId="610" hidden="1"/>
    <cellStyle name="Note 5 2 5 3 2" xfId="28408" hidden="1"/>
    <cellStyle name="Note 5 2 5 3 2" xfId="28523" hidden="1"/>
    <cellStyle name="Note 5 2 5 3 2" xfId="29246" hidden="1"/>
    <cellStyle name="Note 5 2 5 3 2" xfId="29419" hidden="1"/>
    <cellStyle name="Note 5 2 5 3 2" xfId="29812" hidden="1"/>
    <cellStyle name="Note 5 2 5 3 2" xfId="29960" hidden="1"/>
    <cellStyle name="Note 5 2 5 3 2" xfId="30298" hidden="1"/>
    <cellStyle name="Note 5 2 5 3 2" xfId="30635" hidden="1"/>
    <cellStyle name="Note 5 2 5 3 2" xfId="31200" hidden="1"/>
    <cellStyle name="Note 5 2 5 3 2" xfId="31315" hidden="1"/>
    <cellStyle name="Note 5 2 5 3 2" xfId="32038" hidden="1"/>
    <cellStyle name="Note 5 2 5 3 2" xfId="32211" hidden="1"/>
    <cellStyle name="Note 5 2 5 3 2" xfId="32604" hidden="1"/>
    <cellStyle name="Note 5 2 5 3 2" xfId="32752" hidden="1"/>
    <cellStyle name="Note 5 2 5 3 2" xfId="33090" hidden="1"/>
    <cellStyle name="Note 5 2 5 3 2" xfId="33427" hidden="1"/>
    <cellStyle name="Note 5 6 3 2" xfId="815" hidden="1"/>
    <cellStyle name="Note 5 6 3 2" xfId="1023" hidden="1"/>
    <cellStyle name="Note 5 6 3 2" xfId="3587" hidden="1"/>
    <cellStyle name="Note 5 6 3 2" xfId="4102" hidden="1"/>
    <cellStyle name="Note 5 6 3 2" xfId="5421" hidden="1"/>
    <cellStyle name="Note 5 6 3 2" xfId="6118" hidden="1"/>
    <cellStyle name="Note 5 6 3 2" xfId="7135" hidden="1"/>
    <cellStyle name="Note 5 6 3 2" xfId="8339" hidden="1"/>
    <cellStyle name="Note 5 6 3 2" xfId="10196" hidden="1"/>
    <cellStyle name="Note 5 6 3 2" xfId="10311" hidden="1"/>
    <cellStyle name="Note 5 6 3 2" xfId="11034" hidden="1"/>
    <cellStyle name="Note 5 6 3 2" xfId="11207" hidden="1"/>
    <cellStyle name="Note 5 6 3 2" xfId="11600" hidden="1"/>
    <cellStyle name="Note 5 6 3 2" xfId="11748" hidden="1"/>
    <cellStyle name="Note 5 6 3 2" xfId="12086" hidden="1"/>
    <cellStyle name="Note 5 6 3 2" xfId="12423" hidden="1"/>
    <cellStyle name="Note 5 6 3 2" xfId="12988" hidden="1"/>
    <cellStyle name="Note 5 6 3 2" xfId="13103" hidden="1"/>
    <cellStyle name="Note 5 6 3 2" xfId="13826" hidden="1"/>
    <cellStyle name="Note 5 6 3 2" xfId="13999" hidden="1"/>
    <cellStyle name="Note 5 6 3 2" xfId="14392" hidden="1"/>
    <cellStyle name="Note 5 6 3 2" xfId="14540" hidden="1"/>
    <cellStyle name="Note 5 6 3 2" xfId="14878" hidden="1"/>
    <cellStyle name="Note 5 6 3 2" xfId="15215" hidden="1"/>
    <cellStyle name="Note 5 6 3 2" xfId="9131" hidden="1"/>
    <cellStyle name="Note 5 6 3 2" xfId="8587" hidden="1"/>
    <cellStyle name="Note 5 6 3 2" xfId="5959" hidden="1"/>
    <cellStyle name="Note 5 6 3 2" xfId="5168" hidden="1"/>
    <cellStyle name="Note 5 6 3 2" xfId="3883" hidden="1"/>
    <cellStyle name="Note 5 6 3 2" xfId="3205" hidden="1"/>
    <cellStyle name="Note 5 6 3 2" xfId="1762" hidden="1"/>
    <cellStyle name="Note 5 6 3 2" xfId="365" hidden="1"/>
    <cellStyle name="Note 5 6 3 2" xfId="16537" hidden="1"/>
    <cellStyle name="Note 5 6 3 2" xfId="16652" hidden="1"/>
    <cellStyle name="Note 5 6 3 2" xfId="17375" hidden="1"/>
    <cellStyle name="Note 5 6 3 2" xfId="17548" hidden="1"/>
    <cellStyle name="Note 5 6 3 2" xfId="17941" hidden="1"/>
    <cellStyle name="Note 5 6 3 2" xfId="18089" hidden="1"/>
    <cellStyle name="Note 5 6 3 2" xfId="18427" hidden="1"/>
    <cellStyle name="Note 5 6 3 2" xfId="18764" hidden="1"/>
    <cellStyle name="Note 5 6 3 2" xfId="19329" hidden="1"/>
    <cellStyle name="Note 5 6 3 2" xfId="19444" hidden="1"/>
    <cellStyle name="Note 5 6 3 2" xfId="20167" hidden="1"/>
    <cellStyle name="Note 5 6 3 2" xfId="20340" hidden="1"/>
    <cellStyle name="Note 5 6 3 2" xfId="20733" hidden="1"/>
    <cellStyle name="Note 5 6 3 2" xfId="20881" hidden="1"/>
    <cellStyle name="Note 5 6 3 2" xfId="21219" hidden="1"/>
    <cellStyle name="Note 5 6 3 2" xfId="21556" hidden="1"/>
    <cellStyle name="Note 5 6 3 2" xfId="15639" hidden="1"/>
    <cellStyle name="Note 5 6 3 2" xfId="9684" hidden="1"/>
    <cellStyle name="Note 5 6 3 2" xfId="6532" hidden="1"/>
    <cellStyle name="Note 5 6 3 2" xfId="5684" hidden="1"/>
    <cellStyle name="Note 5 6 3 2" xfId="4153" hidden="1"/>
    <cellStyle name="Note 5 6 3 2" xfId="3432" hidden="1"/>
    <cellStyle name="Note 5 6 3 2" xfId="1935" hidden="1"/>
    <cellStyle name="Note 5 6 3 2" xfId="499" hidden="1"/>
    <cellStyle name="Note 5 6 3 2" xfId="22688" hidden="1"/>
    <cellStyle name="Note 5 6 3 2" xfId="22803" hidden="1"/>
    <cellStyle name="Note 5 6 3 2" xfId="23526" hidden="1"/>
    <cellStyle name="Note 5 6 3 2" xfId="23699" hidden="1"/>
    <cellStyle name="Note 5 6 3 2" xfId="24092" hidden="1"/>
    <cellStyle name="Note 5 6 3 2" xfId="24240" hidden="1"/>
    <cellStyle name="Note 5 6 3 2" xfId="24578" hidden="1"/>
    <cellStyle name="Note 5 6 3 2" xfId="24915" hidden="1"/>
    <cellStyle name="Note 5 6 3 2" xfId="25480" hidden="1"/>
    <cellStyle name="Note 5 6 3 2" xfId="25595" hidden="1"/>
    <cellStyle name="Note 5 6 3 2" xfId="26318" hidden="1"/>
    <cellStyle name="Note 5 6 3 2" xfId="26491" hidden="1"/>
    <cellStyle name="Note 5 6 3 2" xfId="26884" hidden="1"/>
    <cellStyle name="Note 5 6 3 2" xfId="27032" hidden="1"/>
    <cellStyle name="Note 5 6 3 2" xfId="27370" hidden="1"/>
    <cellStyle name="Note 5 6 3 2" xfId="27707" hidden="1"/>
    <cellStyle name="Note 5 6 3 2" xfId="21895" hidden="1"/>
    <cellStyle name="Note 5 6 3 2" xfId="16065" hidden="1"/>
    <cellStyle name="Note 5 6 3 2" xfId="7236" hidden="1"/>
    <cellStyle name="Note 5 6 3 2" xfId="6192" hidden="1"/>
    <cellStyle name="Note 5 6 3 2" xfId="4387" hidden="1"/>
    <cellStyle name="Note 5 6 3 2" xfId="3688" hidden="1"/>
    <cellStyle name="Note 5 6 3 2" xfId="2122" hidden="1"/>
    <cellStyle name="Note 5 6 3 2" xfId="611" hidden="1"/>
    <cellStyle name="Note 5 6 3 2" xfId="28407" hidden="1"/>
    <cellStyle name="Note 5 6 3 2" xfId="28522" hidden="1"/>
    <cellStyle name="Note 5 6 3 2" xfId="29245" hidden="1"/>
    <cellStyle name="Note 5 6 3 2" xfId="29418" hidden="1"/>
    <cellStyle name="Note 5 6 3 2" xfId="29811" hidden="1"/>
    <cellStyle name="Note 5 6 3 2" xfId="29959" hidden="1"/>
    <cellStyle name="Note 5 6 3 2" xfId="30297" hidden="1"/>
    <cellStyle name="Note 5 6 3 2" xfId="30634" hidden="1"/>
    <cellStyle name="Note 5 6 3 2" xfId="31199" hidden="1"/>
    <cellStyle name="Note 5 6 3 2" xfId="31314" hidden="1"/>
    <cellStyle name="Note 5 6 3 2" xfId="32037" hidden="1"/>
    <cellStyle name="Note 5 6 3 2" xfId="32210" hidden="1"/>
    <cellStyle name="Note 5 6 3 2" xfId="32603" hidden="1"/>
    <cellStyle name="Note 5 6 3 2" xfId="32751" hidden="1"/>
    <cellStyle name="Note 5 6 3 2" xfId="33089" hidden="1"/>
    <cellStyle name="Note 5 6 3 2" xfId="33426" hidden="1"/>
    <cellStyle name="Note 6 2 2" xfId="817" hidden="1"/>
    <cellStyle name="Note 6 2 2" xfId="1025" hidden="1"/>
    <cellStyle name="Note 6 2 2" xfId="3589" hidden="1"/>
    <cellStyle name="Note 6 2 2" xfId="4104" hidden="1"/>
    <cellStyle name="Note 6 2 2" xfId="5423" hidden="1"/>
    <cellStyle name="Note 6 2 2" xfId="6120" hidden="1"/>
    <cellStyle name="Note 6 2 2" xfId="7137" hidden="1"/>
    <cellStyle name="Note 6 2 2" xfId="8341" hidden="1"/>
    <cellStyle name="Note 6 2 2" xfId="10198" hidden="1"/>
    <cellStyle name="Note 6 2 2" xfId="10313" hidden="1"/>
    <cellStyle name="Note 6 2 2" xfId="11036" hidden="1"/>
    <cellStyle name="Note 6 2 2" xfId="11209" hidden="1"/>
    <cellStyle name="Note 6 2 2" xfId="11602" hidden="1"/>
    <cellStyle name="Note 6 2 2" xfId="11750" hidden="1"/>
    <cellStyle name="Note 6 2 2" xfId="12088" hidden="1"/>
    <cellStyle name="Note 6 2 2" xfId="12425" hidden="1"/>
    <cellStyle name="Note 6 2 2" xfId="12990" hidden="1"/>
    <cellStyle name="Note 6 2 2" xfId="13105" hidden="1"/>
    <cellStyle name="Note 6 2 2" xfId="13828" hidden="1"/>
    <cellStyle name="Note 6 2 2" xfId="14001" hidden="1"/>
    <cellStyle name="Note 6 2 2" xfId="14394" hidden="1"/>
    <cellStyle name="Note 6 2 2" xfId="14542" hidden="1"/>
    <cellStyle name="Note 6 2 2" xfId="14880" hidden="1"/>
    <cellStyle name="Note 6 2 2" xfId="15217" hidden="1"/>
    <cellStyle name="Note 6 2 2" xfId="9129" hidden="1"/>
    <cellStyle name="Note 6 2 2" xfId="8585" hidden="1"/>
    <cellStyle name="Note 6 2 2" xfId="5957" hidden="1"/>
    <cellStyle name="Note 6 2 2" xfId="5166" hidden="1"/>
    <cellStyle name="Note 6 2 2" xfId="3881" hidden="1"/>
    <cellStyle name="Note 6 2 2" xfId="3203" hidden="1"/>
    <cellStyle name="Note 6 2 2" xfId="1760" hidden="1"/>
    <cellStyle name="Note 6 2 2" xfId="361" hidden="1"/>
    <cellStyle name="Note 6 2 2" xfId="16539" hidden="1"/>
    <cellStyle name="Note 6 2 2" xfId="16654" hidden="1"/>
    <cellStyle name="Note 6 2 2" xfId="17377" hidden="1"/>
    <cellStyle name="Note 6 2 2" xfId="17550" hidden="1"/>
    <cellStyle name="Note 6 2 2" xfId="17943" hidden="1"/>
    <cellStyle name="Note 6 2 2" xfId="18091" hidden="1"/>
    <cellStyle name="Note 6 2 2" xfId="18429" hidden="1"/>
    <cellStyle name="Note 6 2 2" xfId="18766" hidden="1"/>
    <cellStyle name="Note 6 2 2" xfId="19331" hidden="1"/>
    <cellStyle name="Note 6 2 2" xfId="19446" hidden="1"/>
    <cellStyle name="Note 6 2 2" xfId="20169" hidden="1"/>
    <cellStyle name="Note 6 2 2" xfId="20342" hidden="1"/>
    <cellStyle name="Note 6 2 2" xfId="20735" hidden="1"/>
    <cellStyle name="Note 6 2 2" xfId="20883" hidden="1"/>
    <cellStyle name="Note 6 2 2" xfId="21221" hidden="1"/>
    <cellStyle name="Note 6 2 2" xfId="21558" hidden="1"/>
    <cellStyle name="Note 6 2 2" xfId="15637" hidden="1"/>
    <cellStyle name="Note 6 2 2" xfId="9682" hidden="1"/>
    <cellStyle name="Note 6 2 2" xfId="6529" hidden="1"/>
    <cellStyle name="Note 6 2 2" xfId="5681" hidden="1"/>
    <cellStyle name="Note 6 2 2" xfId="4151" hidden="1"/>
    <cellStyle name="Note 6 2 2" xfId="3430" hidden="1"/>
    <cellStyle name="Note 6 2 2" xfId="1933" hidden="1"/>
    <cellStyle name="Note 6 2 2" xfId="496" hidden="1"/>
    <cellStyle name="Note 6 2 2" xfId="22690" hidden="1"/>
    <cellStyle name="Note 6 2 2" xfId="22805" hidden="1"/>
    <cellStyle name="Note 6 2 2" xfId="23528" hidden="1"/>
    <cellStyle name="Note 6 2 2" xfId="23701" hidden="1"/>
    <cellStyle name="Note 6 2 2" xfId="24094" hidden="1"/>
    <cellStyle name="Note 6 2 2" xfId="24242" hidden="1"/>
    <cellStyle name="Note 6 2 2" xfId="24580" hidden="1"/>
    <cellStyle name="Note 6 2 2" xfId="24917" hidden="1"/>
    <cellStyle name="Note 6 2 2" xfId="25482" hidden="1"/>
    <cellStyle name="Note 6 2 2" xfId="25597" hidden="1"/>
    <cellStyle name="Note 6 2 2" xfId="26320" hidden="1"/>
    <cellStyle name="Note 6 2 2" xfId="26493" hidden="1"/>
    <cellStyle name="Note 6 2 2" xfId="26886" hidden="1"/>
    <cellStyle name="Note 6 2 2" xfId="27034" hidden="1"/>
    <cellStyle name="Note 6 2 2" xfId="27372" hidden="1"/>
    <cellStyle name="Note 6 2 2" xfId="27709" hidden="1"/>
    <cellStyle name="Note 6 2 2" xfId="21893" hidden="1"/>
    <cellStyle name="Note 6 2 2" xfId="16063" hidden="1"/>
    <cellStyle name="Note 6 2 2" xfId="7234" hidden="1"/>
    <cellStyle name="Note 6 2 2" xfId="6189" hidden="1"/>
    <cellStyle name="Note 6 2 2" xfId="4383" hidden="1"/>
    <cellStyle name="Note 6 2 2" xfId="3686" hidden="1"/>
    <cellStyle name="Note 6 2 2" xfId="2120" hidden="1"/>
    <cellStyle name="Note 6 2 2" xfId="609" hidden="1"/>
    <cellStyle name="Note 6 2 2" xfId="28409" hidden="1"/>
    <cellStyle name="Note 6 2 2" xfId="28524" hidden="1"/>
    <cellStyle name="Note 6 2 2" xfId="29247" hidden="1"/>
    <cellStyle name="Note 6 2 2" xfId="29420" hidden="1"/>
    <cellStyle name="Note 6 2 2" xfId="29813" hidden="1"/>
    <cellStyle name="Note 6 2 2" xfId="29961" hidden="1"/>
    <cellStyle name="Note 6 2 2" xfId="30299" hidden="1"/>
    <cellStyle name="Note 6 2 2" xfId="30636" hidden="1"/>
    <cellStyle name="Note 6 2 2" xfId="31201" hidden="1"/>
    <cellStyle name="Note 6 2 2" xfId="31316" hidden="1"/>
    <cellStyle name="Note 6 2 2" xfId="32039" hidden="1"/>
    <cellStyle name="Note 6 2 2" xfId="32212" hidden="1"/>
    <cellStyle name="Note 6 2 2" xfId="32605" hidden="1"/>
    <cellStyle name="Note 6 2 2" xfId="32753" hidden="1"/>
    <cellStyle name="Note 6 2 2" xfId="33091" hidden="1"/>
    <cellStyle name="Note 6 2 2" xfId="33428" hidden="1"/>
    <cellStyle name="Note 6 3" xfId="756" hidden="1"/>
    <cellStyle name="Note 6 3" xfId="964" hidden="1"/>
    <cellStyle name="Note 6 3" xfId="3528" hidden="1"/>
    <cellStyle name="Note 6 3" xfId="4043" hidden="1"/>
    <cellStyle name="Note 6 3" xfId="5362" hidden="1"/>
    <cellStyle name="Note 6 3" xfId="6059" hidden="1"/>
    <cellStyle name="Note 6 3" xfId="7076" hidden="1"/>
    <cellStyle name="Note 6 3" xfId="8280" hidden="1"/>
    <cellStyle name="Note 6 3" xfId="10137" hidden="1"/>
    <cellStyle name="Note 6 3" xfId="10252" hidden="1"/>
    <cellStyle name="Note 6 3" xfId="10975" hidden="1"/>
    <cellStyle name="Note 6 3" xfId="11148" hidden="1"/>
    <cellStyle name="Note 6 3" xfId="11541" hidden="1"/>
    <cellStyle name="Note 6 3" xfId="11689" hidden="1"/>
    <cellStyle name="Note 6 3" xfId="12027" hidden="1"/>
    <cellStyle name="Note 6 3" xfId="12364" hidden="1"/>
    <cellStyle name="Note 6 3" xfId="12929" hidden="1"/>
    <cellStyle name="Note 6 3" xfId="13044" hidden="1"/>
    <cellStyle name="Note 6 3" xfId="13767" hidden="1"/>
    <cellStyle name="Note 6 3" xfId="13940" hidden="1"/>
    <cellStyle name="Note 6 3" xfId="14333" hidden="1"/>
    <cellStyle name="Note 6 3" xfId="14481" hidden="1"/>
    <cellStyle name="Note 6 3" xfId="14819" hidden="1"/>
    <cellStyle name="Note 6 3" xfId="15156" hidden="1"/>
    <cellStyle name="Note 6 3" xfId="9191" hidden="1"/>
    <cellStyle name="Note 6 3" xfId="8646" hidden="1"/>
    <cellStyle name="Note 6 3" xfId="6019" hidden="1"/>
    <cellStyle name="Note 6 3" xfId="5227" hidden="1"/>
    <cellStyle name="Note 6 3" xfId="3946" hidden="1"/>
    <cellStyle name="Note 6 3" xfId="3264" hidden="1"/>
    <cellStyle name="Note 6 3" xfId="1832" hidden="1"/>
    <cellStyle name="Note 6 3" xfId="454" hidden="1"/>
    <cellStyle name="Note 6 3" xfId="16478" hidden="1"/>
    <cellStyle name="Note 6 3" xfId="16593" hidden="1"/>
    <cellStyle name="Note 6 3" xfId="17316" hidden="1"/>
    <cellStyle name="Note 6 3" xfId="17489" hidden="1"/>
    <cellStyle name="Note 6 3" xfId="17882" hidden="1"/>
    <cellStyle name="Note 6 3" xfId="18030" hidden="1"/>
    <cellStyle name="Note 6 3" xfId="18368" hidden="1"/>
    <cellStyle name="Note 6 3" xfId="18705" hidden="1"/>
    <cellStyle name="Note 6 3" xfId="19270" hidden="1"/>
    <cellStyle name="Note 6 3" xfId="19385" hidden="1"/>
    <cellStyle name="Note 6 3" xfId="20108" hidden="1"/>
    <cellStyle name="Note 6 3" xfId="20281" hidden="1"/>
    <cellStyle name="Note 6 3" xfId="20674" hidden="1"/>
    <cellStyle name="Note 6 3" xfId="20822" hidden="1"/>
    <cellStyle name="Note 6 3" xfId="21160" hidden="1"/>
    <cellStyle name="Note 6 3" xfId="21497" hidden="1"/>
    <cellStyle name="Note 6 3" xfId="15699" hidden="1"/>
    <cellStyle name="Note 6 3" xfId="9743" hidden="1"/>
    <cellStyle name="Note 6 3" xfId="6602" hidden="1"/>
    <cellStyle name="Note 6 3" xfId="5757" hidden="1"/>
    <cellStyle name="Note 6 3" xfId="4213" hidden="1"/>
    <cellStyle name="Note 6 3" xfId="3494" hidden="1"/>
    <cellStyle name="Note 6 3" xfId="2005" hidden="1"/>
    <cellStyle name="Note 6 3" xfId="565" hidden="1"/>
    <cellStyle name="Note 6 3" xfId="22629" hidden="1"/>
    <cellStyle name="Note 6 3" xfId="22744" hidden="1"/>
    <cellStyle name="Note 6 3" xfId="23467" hidden="1"/>
    <cellStyle name="Note 6 3" xfId="23640" hidden="1"/>
    <cellStyle name="Note 6 3" xfId="24033" hidden="1"/>
    <cellStyle name="Note 6 3" xfId="24181" hidden="1"/>
    <cellStyle name="Note 6 3" xfId="24519" hidden="1"/>
    <cellStyle name="Note 6 3" xfId="24856" hidden="1"/>
    <cellStyle name="Note 6 3" xfId="25421" hidden="1"/>
    <cellStyle name="Note 6 3" xfId="25536" hidden="1"/>
    <cellStyle name="Note 6 3" xfId="26259" hidden="1"/>
    <cellStyle name="Note 6 3" xfId="26432" hidden="1"/>
    <cellStyle name="Note 6 3" xfId="26825" hidden="1"/>
    <cellStyle name="Note 6 3" xfId="26973" hidden="1"/>
    <cellStyle name="Note 6 3" xfId="27311" hidden="1"/>
    <cellStyle name="Note 6 3" xfId="27648" hidden="1"/>
    <cellStyle name="Note 6 3" xfId="21956" hidden="1"/>
    <cellStyle name="Note 6 3" xfId="16124" hidden="1"/>
    <cellStyle name="Note 6 3" xfId="7305" hidden="1"/>
    <cellStyle name="Note 6 3" xfId="6266" hidden="1"/>
    <cellStyle name="Note 6 3" xfId="4519" hidden="1"/>
    <cellStyle name="Note 6 3" xfId="3750" hidden="1"/>
    <cellStyle name="Note 6 3" xfId="2186" hidden="1"/>
    <cellStyle name="Note 6 3" xfId="700" hidden="1"/>
    <cellStyle name="Note 6 3" xfId="28348" hidden="1"/>
    <cellStyle name="Note 6 3" xfId="28463" hidden="1"/>
    <cellStyle name="Note 6 3" xfId="29186" hidden="1"/>
    <cellStyle name="Note 6 3" xfId="29359" hidden="1"/>
    <cellStyle name="Note 6 3" xfId="29752" hidden="1"/>
    <cellStyle name="Note 6 3" xfId="29900" hidden="1"/>
    <cellStyle name="Note 6 3" xfId="30238" hidden="1"/>
    <cellStyle name="Note 6 3" xfId="30575" hidden="1"/>
    <cellStyle name="Note 6 3" xfId="31140" hidden="1"/>
    <cellStyle name="Note 6 3" xfId="31255" hidden="1"/>
    <cellStyle name="Note 6 3" xfId="31978" hidden="1"/>
    <cellStyle name="Note 6 3" xfId="32151" hidden="1"/>
    <cellStyle name="Note 6 3" xfId="32544" hidden="1"/>
    <cellStyle name="Note 6 3" xfId="32692" hidden="1"/>
    <cellStyle name="Note 6 3" xfId="33030" hidden="1"/>
    <cellStyle name="Note 6 3" xfId="33367" hidden="1"/>
    <cellStyle name="Note 8" xfId="122" hidden="1"/>
    <cellStyle name="Note 8" xfId="211" hidden="1"/>
    <cellStyle name="Note 8" xfId="293" hidden="1"/>
    <cellStyle name="Note 8" xfId="494" hidden="1"/>
    <cellStyle name="Note 8" xfId="2336" hidden="1"/>
    <cellStyle name="Note 8" xfId="2471" hidden="1"/>
    <cellStyle name="Note 8" xfId="2624" hidden="1"/>
    <cellStyle name="Note 8" xfId="1873" hidden="1"/>
    <cellStyle name="Note 8" xfId="1603" hidden="1"/>
    <cellStyle name="Note 8" xfId="1733" hidden="1"/>
    <cellStyle name="Note 8" xfId="3885" hidden="1"/>
    <cellStyle name="Note 8" xfId="4475" hidden="1"/>
    <cellStyle name="Note 8" xfId="4654" hidden="1"/>
    <cellStyle name="Note 8" xfId="1727" hidden="1"/>
    <cellStyle name="Note 8" xfId="3126" hidden="1"/>
    <cellStyle name="Note 8" xfId="3823" hidden="1"/>
    <cellStyle name="Note 8" xfId="5890" hidden="1"/>
    <cellStyle name="Note 8" xfId="6406" hidden="1"/>
    <cellStyle name="Note 8" xfId="6564" hidden="1"/>
    <cellStyle name="Note 8" xfId="6851" hidden="1"/>
    <cellStyle name="Note 8" xfId="7596" hidden="1"/>
    <cellStyle name="Note 8" xfId="7759" hidden="1"/>
    <cellStyle name="Note 8" xfId="8064" hidden="1"/>
    <cellStyle name="Note 8" xfId="8841" hidden="1"/>
    <cellStyle name="Note 8" xfId="9813" hidden="1"/>
    <cellStyle name="Note 8" xfId="9899" hidden="1"/>
    <cellStyle name="Note 8" xfId="9977" hidden="1"/>
    <cellStyle name="Note 8" xfId="10055" hidden="1"/>
    <cellStyle name="Note 8" xfId="10637" hidden="1"/>
    <cellStyle name="Note 8" xfId="10716" hidden="1"/>
    <cellStyle name="Note 8" xfId="10795" hidden="1"/>
    <cellStyle name="Note 8" xfId="10448" hidden="1"/>
    <cellStyle name="Note 8" xfId="10355" hidden="1"/>
    <cellStyle name="Note 8" xfId="10409" hidden="1"/>
    <cellStyle name="Note 8" xfId="11110" hidden="1"/>
    <cellStyle name="Note 8" xfId="11311" hidden="1"/>
    <cellStyle name="Note 8" xfId="11389" hidden="1"/>
    <cellStyle name="Note 8" xfId="10403" hidden="1"/>
    <cellStyle name="Note 8" xfId="10935" hidden="1"/>
    <cellStyle name="Note 8" xfId="11095" hidden="1"/>
    <cellStyle name="Note 8" xfId="11658" hidden="1"/>
    <cellStyle name="Note 8" xfId="11843" hidden="1"/>
    <cellStyle name="Note 8" xfId="11921" hidden="1"/>
    <cellStyle name="Note 8" xfId="12000" hidden="1"/>
    <cellStyle name="Note 8" xfId="12180" hidden="1"/>
    <cellStyle name="Note 8" xfId="12258" hidden="1"/>
    <cellStyle name="Note 8" xfId="12337" hidden="1"/>
    <cellStyle name="Note 8" xfId="12517" hidden="1"/>
    <cellStyle name="Note 8" xfId="12605" hidden="1"/>
    <cellStyle name="Note 8" xfId="12691" hidden="1"/>
    <cellStyle name="Note 8" xfId="12769" hidden="1"/>
    <cellStyle name="Note 8" xfId="12847" hidden="1"/>
    <cellStyle name="Note 8" xfId="13429" hidden="1"/>
    <cellStyle name="Note 8" xfId="13508" hidden="1"/>
    <cellStyle name="Note 8" xfId="13587" hidden="1"/>
    <cellStyle name="Note 8" xfId="13240" hidden="1"/>
    <cellStyle name="Note 8" xfId="13147" hidden="1"/>
    <cellStyle name="Note 8" xfId="13201" hidden="1"/>
    <cellStyle name="Note 8" xfId="13902" hidden="1"/>
    <cellStyle name="Note 8" xfId="14103" hidden="1"/>
    <cellStyle name="Note 8" xfId="14181" hidden="1"/>
    <cellStyle name="Note 8" xfId="13195" hidden="1"/>
    <cellStyle name="Note 8" xfId="13727" hidden="1"/>
    <cellStyle name="Note 8" xfId="13887" hidden="1"/>
    <cellStyle name="Note 8" xfId="14450" hidden="1"/>
    <cellStyle name="Note 8" xfId="14635" hidden="1"/>
    <cellStyle name="Note 8" xfId="14713" hidden="1"/>
    <cellStyle name="Note 8" xfId="14792" hidden="1"/>
    <cellStyle name="Note 8" xfId="14972" hidden="1"/>
    <cellStyle name="Note 8" xfId="15050" hidden="1"/>
    <cellStyle name="Note 8" xfId="15129" hidden="1"/>
    <cellStyle name="Note 8" xfId="15309" hidden="1"/>
    <cellStyle name="Note 8" xfId="9648" hidden="1"/>
    <cellStyle name="Note 8" xfId="9542" hidden="1"/>
    <cellStyle name="Note 8" xfId="9423" hidden="1"/>
    <cellStyle name="Note 8" xfId="9312" hidden="1"/>
    <cellStyle name="Note 8" xfId="7049" hidden="1"/>
    <cellStyle name="Note 8" xfId="6951" hidden="1"/>
    <cellStyle name="Note 8" xfId="6861" hidden="1"/>
    <cellStyle name="Note 8" xfId="7808" hidden="1"/>
    <cellStyle name="Note 8" xfId="8130" hidden="1"/>
    <cellStyle name="Note 8" xfId="7960" hidden="1"/>
    <cellStyle name="Note 8" xfId="5552" hidden="1"/>
    <cellStyle name="Note 8" xfId="4799" hidden="1"/>
    <cellStyle name="Note 8" xfId="4603" hidden="1"/>
    <cellStyle name="Note 8" xfId="7979" hidden="1"/>
    <cellStyle name="Note 8" xfId="6334" hidden="1"/>
    <cellStyle name="Note 8" xfId="5645" hidden="1"/>
    <cellStyle name="Note 8" xfId="3617" hidden="1"/>
    <cellStyle name="Note 8" xfId="2644" hidden="1"/>
    <cellStyle name="Note 8" xfId="2440" hidden="1"/>
    <cellStyle name="Note 8" xfId="2169" hidden="1"/>
    <cellStyle name="Note 8" xfId="1309" hidden="1"/>
    <cellStyle name="Note 8" xfId="1125" hidden="1"/>
    <cellStyle name="Note 8" xfId="876" hidden="1"/>
    <cellStyle name="Note 8" xfId="15459" hidden="1"/>
    <cellStyle name="Note 8" xfId="16154" hidden="1"/>
    <cellStyle name="Note 8" xfId="16240" hidden="1"/>
    <cellStyle name="Note 8" xfId="16318" hidden="1"/>
    <cellStyle name="Note 8" xfId="16396" hidden="1"/>
    <cellStyle name="Note 8" xfId="16978" hidden="1"/>
    <cellStyle name="Note 8" xfId="17057" hidden="1"/>
    <cellStyle name="Note 8" xfId="17136" hidden="1"/>
    <cellStyle name="Note 8" xfId="16789" hidden="1"/>
    <cellStyle name="Note 8" xfId="16696" hidden="1"/>
    <cellStyle name="Note 8" xfId="16750" hidden="1"/>
    <cellStyle name="Note 8" xfId="17451" hidden="1"/>
    <cellStyle name="Note 8" xfId="17652" hidden="1"/>
    <cellStyle name="Note 8" xfId="17730" hidden="1"/>
    <cellStyle name="Note 8" xfId="16744" hidden="1"/>
    <cellStyle name="Note 8" xfId="17276" hidden="1"/>
    <cellStyle name="Note 8" xfId="17436" hidden="1"/>
    <cellStyle name="Note 8" xfId="17999" hidden="1"/>
    <cellStyle name="Note 8" xfId="18184" hidden="1"/>
    <cellStyle name="Note 8" xfId="18262" hidden="1"/>
    <cellStyle name="Note 8" xfId="18341" hidden="1"/>
    <cellStyle name="Note 8" xfId="18521" hidden="1"/>
    <cellStyle name="Note 8" xfId="18599" hidden="1"/>
    <cellStyle name="Note 8" xfId="18678" hidden="1"/>
    <cellStyle name="Note 8" xfId="18858" hidden="1"/>
    <cellStyle name="Note 8" xfId="18946" hidden="1"/>
    <cellStyle name="Note 8" xfId="19032" hidden="1"/>
    <cellStyle name="Note 8" xfId="19110" hidden="1"/>
    <cellStyle name="Note 8" xfId="19188" hidden="1"/>
    <cellStyle name="Note 8" xfId="19770" hidden="1"/>
    <cellStyle name="Note 8" xfId="19849" hidden="1"/>
    <cellStyle name="Note 8" xfId="19928" hidden="1"/>
    <cellStyle name="Note 8" xfId="19581" hidden="1"/>
    <cellStyle name="Note 8" xfId="19488" hidden="1"/>
    <cellStyle name="Note 8" xfId="19542" hidden="1"/>
    <cellStyle name="Note 8" xfId="20243" hidden="1"/>
    <cellStyle name="Note 8" xfId="20444" hidden="1"/>
    <cellStyle name="Note 8" xfId="20522" hidden="1"/>
    <cellStyle name="Note 8" xfId="19536" hidden="1"/>
    <cellStyle name="Note 8" xfId="20068" hidden="1"/>
    <cellStyle name="Note 8" xfId="20228" hidden="1"/>
    <cellStyle name="Note 8" xfId="20791" hidden="1"/>
    <cellStyle name="Note 8" xfId="20976" hidden="1"/>
    <cellStyle name="Note 8" xfId="21054" hidden="1"/>
    <cellStyle name="Note 8" xfId="21133" hidden="1"/>
    <cellStyle name="Note 8" xfId="21313" hidden="1"/>
    <cellStyle name="Note 8" xfId="21391" hidden="1"/>
    <cellStyle name="Note 8" xfId="21470" hidden="1"/>
    <cellStyle name="Note 8" xfId="21650" hidden="1"/>
    <cellStyle name="Note 8" xfId="16037" hidden="1"/>
    <cellStyle name="Note 8" xfId="15951" hidden="1"/>
    <cellStyle name="Note 8" xfId="15872" hidden="1"/>
    <cellStyle name="Note 8" xfId="15789" hidden="1"/>
    <cellStyle name="Note 8" xfId="8055" hidden="1"/>
    <cellStyle name="Note 8" xfId="7907" hidden="1"/>
    <cellStyle name="Note 8" xfId="7642" hidden="1"/>
    <cellStyle name="Note 8" xfId="8698" hidden="1"/>
    <cellStyle name="Note 8" xfId="9058" hidden="1"/>
    <cellStyle name="Note 8" xfId="8854" hidden="1"/>
    <cellStyle name="Note 8" xfId="5923" hidden="1"/>
    <cellStyle name="Note 8" xfId="5252" hidden="1"/>
    <cellStyle name="Note 8" xfId="5046" hidden="1"/>
    <cellStyle name="Note 8" xfId="8876" hidden="1"/>
    <cellStyle name="Note 8" xfId="7035" hidden="1"/>
    <cellStyle name="Note 8" xfId="6153" hidden="1"/>
    <cellStyle name="Note 8" xfId="3770" hidden="1"/>
    <cellStyle name="Note 8" xfId="2966" hidden="1"/>
    <cellStyle name="Note 8" xfId="2841" hidden="1"/>
    <cellStyle name="Note 8" xfId="2298" hidden="1"/>
    <cellStyle name="Note 8" xfId="1459" hidden="1"/>
    <cellStyle name="Note 8" xfId="1260" hidden="1"/>
    <cellStyle name="Note 8" xfId="886" hidden="1"/>
    <cellStyle name="Note 8" xfId="21787" hidden="1"/>
    <cellStyle name="Note 8" xfId="22305" hidden="1"/>
    <cellStyle name="Note 8" xfId="22391" hidden="1"/>
    <cellStyle name="Note 8" xfId="22469" hidden="1"/>
    <cellStyle name="Note 8" xfId="22547" hidden="1"/>
    <cellStyle name="Note 8" xfId="23129" hidden="1"/>
    <cellStyle name="Note 8" xfId="23208" hidden="1"/>
    <cellStyle name="Note 8" xfId="23287" hidden="1"/>
    <cellStyle name="Note 8" xfId="22940" hidden="1"/>
    <cellStyle name="Note 8" xfId="22847" hidden="1"/>
    <cellStyle name="Note 8" xfId="22901" hidden="1"/>
    <cellStyle name="Note 8" xfId="23602" hidden="1"/>
    <cellStyle name="Note 8" xfId="23803" hidden="1"/>
    <cellStyle name="Note 8" xfId="23881" hidden="1"/>
    <cellStyle name="Note 8" xfId="22895" hidden="1"/>
    <cellStyle name="Note 8" xfId="23427" hidden="1"/>
    <cellStyle name="Note 8" xfId="23587" hidden="1"/>
    <cellStyle name="Note 8" xfId="24150" hidden="1"/>
    <cellStyle name="Note 8" xfId="24335" hidden="1"/>
    <cellStyle name="Note 8" xfId="24413" hidden="1"/>
    <cellStyle name="Note 8" xfId="24492" hidden="1"/>
    <cellStyle name="Note 8" xfId="24672" hidden="1"/>
    <cellStyle name="Note 8" xfId="24750" hidden="1"/>
    <cellStyle name="Note 8" xfId="24829" hidden="1"/>
    <cellStyle name="Note 8" xfId="25009" hidden="1"/>
    <cellStyle name="Note 8" xfId="25097" hidden="1"/>
    <cellStyle name="Note 8" xfId="25183" hidden="1"/>
    <cellStyle name="Note 8" xfId="25261" hidden="1"/>
    <cellStyle name="Note 8" xfId="25339" hidden="1"/>
    <cellStyle name="Note 8" xfId="25921" hidden="1"/>
    <cellStyle name="Note 8" xfId="26000" hidden="1"/>
    <cellStyle name="Note 8" xfId="26079" hidden="1"/>
    <cellStyle name="Note 8" xfId="25732" hidden="1"/>
    <cellStyle name="Note 8" xfId="25639" hidden="1"/>
    <cellStyle name="Note 8" xfId="25693" hidden="1"/>
    <cellStyle name="Note 8" xfId="26394" hidden="1"/>
    <cellStyle name="Note 8" xfId="26595" hidden="1"/>
    <cellStyle name="Note 8" xfId="26673" hidden="1"/>
    <cellStyle name="Note 8" xfId="25687" hidden="1"/>
    <cellStyle name="Note 8" xfId="26219" hidden="1"/>
    <cellStyle name="Note 8" xfId="26379" hidden="1"/>
    <cellStyle name="Note 8" xfId="26942" hidden="1"/>
    <cellStyle name="Note 8" xfId="27127" hidden="1"/>
    <cellStyle name="Note 8" xfId="27205" hidden="1"/>
    <cellStyle name="Note 8" xfId="27284" hidden="1"/>
    <cellStyle name="Note 8" xfId="27464" hidden="1"/>
    <cellStyle name="Note 8" xfId="27542" hidden="1"/>
    <cellStyle name="Note 8" xfId="27621" hidden="1"/>
    <cellStyle name="Note 8" xfId="27801" hidden="1"/>
    <cellStyle name="Note 8" xfId="22290" hidden="1"/>
    <cellStyle name="Note 8" xfId="22204" hidden="1"/>
    <cellStyle name="Note 8" xfId="22125" hidden="1"/>
    <cellStyle name="Note 8" xfId="22042" hidden="1"/>
    <cellStyle name="Note 8" xfId="9007" hidden="1"/>
    <cellStyle name="Note 8" xfId="8767" hidden="1"/>
    <cellStyle name="Note 8" xfId="8512" hidden="1"/>
    <cellStyle name="Note 8" xfId="9771" hidden="1"/>
    <cellStyle name="Note 8" xfId="15594" hidden="1"/>
    <cellStyle name="Note 8" xfId="15465" hidden="1"/>
    <cellStyle name="Note 8" xfId="6436" hidden="1"/>
    <cellStyle name="Note 8" xfId="5787" hidden="1"/>
    <cellStyle name="Note 8" xfId="5555" hidden="1"/>
    <cellStyle name="Note 8" xfId="15475" hidden="1"/>
    <cellStyle name="Note 8" xfId="8035" hidden="1"/>
    <cellStyle name="Note 8" xfId="6719" hidden="1"/>
    <cellStyle name="Note 8" xfId="3978" hidden="1"/>
    <cellStyle name="Note 8" xfId="3319" hidden="1"/>
    <cellStyle name="Note 8" xfId="3120" hidden="1"/>
    <cellStyle name="Note 8" xfId="2591" hidden="1"/>
    <cellStyle name="Note 8" xfId="1612" hidden="1"/>
    <cellStyle name="Note 8" xfId="1437" hidden="1"/>
    <cellStyle name="Note 8" xfId="894" hidden="1"/>
    <cellStyle name="Note 8" xfId="27936" hidden="1"/>
    <cellStyle name="Note 8" xfId="28024" hidden="1"/>
    <cellStyle name="Note 8" xfId="28110" hidden="1"/>
    <cellStyle name="Note 8" xfId="28188" hidden="1"/>
    <cellStyle name="Note 8" xfId="28266" hidden="1"/>
    <cellStyle name="Note 8" xfId="28848" hidden="1"/>
    <cellStyle name="Note 8" xfId="28927" hidden="1"/>
    <cellStyle name="Note 8" xfId="29006" hidden="1"/>
    <cellStyle name="Note 8" xfId="28659" hidden="1"/>
    <cellStyle name="Note 8" xfId="28566" hidden="1"/>
    <cellStyle name="Note 8" xfId="28620" hidden="1"/>
    <cellStyle name="Note 8" xfId="29321" hidden="1"/>
    <cellStyle name="Note 8" xfId="29522" hidden="1"/>
    <cellStyle name="Note 8" xfId="29600" hidden="1"/>
    <cellStyle name="Note 8" xfId="28614" hidden="1"/>
    <cellStyle name="Note 8" xfId="29146" hidden="1"/>
    <cellStyle name="Note 8" xfId="29306" hidden="1"/>
    <cellStyle name="Note 8" xfId="29869" hidden="1"/>
    <cellStyle name="Note 8" xfId="30054" hidden="1"/>
    <cellStyle name="Note 8" xfId="30132" hidden="1"/>
    <cellStyle name="Note 8" xfId="30211" hidden="1"/>
    <cellStyle name="Note 8" xfId="30391" hidden="1"/>
    <cellStyle name="Note 8" xfId="30469" hidden="1"/>
    <cellStyle name="Note 8" xfId="30548" hidden="1"/>
    <cellStyle name="Note 8" xfId="30728" hidden="1"/>
    <cellStyle name="Note 8" xfId="30816" hidden="1"/>
    <cellStyle name="Note 8" xfId="30902" hidden="1"/>
    <cellStyle name="Note 8" xfId="30980" hidden="1"/>
    <cellStyle name="Note 8" xfId="31058" hidden="1"/>
    <cellStyle name="Note 8" xfId="31640" hidden="1"/>
    <cellStyle name="Note 8" xfId="31719" hidden="1"/>
    <cellStyle name="Note 8" xfId="31798" hidden="1"/>
    <cellStyle name="Note 8" xfId="31451" hidden="1"/>
    <cellStyle name="Note 8" xfId="31358" hidden="1"/>
    <cellStyle name="Note 8" xfId="31412" hidden="1"/>
    <cellStyle name="Note 8" xfId="32113" hidden="1"/>
    <cellStyle name="Note 8" xfId="32314" hidden="1"/>
    <cellStyle name="Note 8" xfId="32392" hidden="1"/>
    <cellStyle name="Note 8" xfId="31406" hidden="1"/>
    <cellStyle name="Note 8" xfId="31938" hidden="1"/>
    <cellStyle name="Note 8" xfId="32098" hidden="1"/>
    <cellStyle name="Note 8" xfId="32661" hidden="1"/>
    <cellStyle name="Note 8" xfId="32846" hidden="1"/>
    <cellStyle name="Note 8" xfId="32924" hidden="1"/>
    <cellStyle name="Note 8" xfId="33003" hidden="1"/>
    <cellStyle name="Note 8" xfId="33183" hidden="1"/>
    <cellStyle name="Note 8" xfId="33261" hidden="1"/>
    <cellStyle name="Note 8" xfId="33340" hidden="1"/>
    <cellStyle name="Note 8" xfId="33520" hidden="1"/>
    <cellStyle name="Note 9" xfId="139" hidden="1"/>
    <cellStyle name="Note 9" xfId="138" hidden="1"/>
    <cellStyle name="Note 9" xfId="222" hidden="1"/>
    <cellStyle name="Note 9" xfId="453" hidden="1"/>
    <cellStyle name="Note 9" xfId="2297" hidden="1"/>
    <cellStyle name="Note 9" xfId="2374" hidden="1"/>
    <cellStyle name="Note 9" xfId="2613" hidden="1"/>
    <cellStyle name="Note 9" xfId="2910" hidden="1"/>
    <cellStyle name="Note 9" xfId="3791" hidden="1"/>
    <cellStyle name="Note 9" xfId="2061" hidden="1"/>
    <cellStyle name="Note 9" xfId="3822" hidden="1"/>
    <cellStyle name="Note 9" xfId="2071" hidden="1"/>
    <cellStyle name="Note 9" xfId="4633" hidden="1"/>
    <cellStyle name="Note 9" xfId="4886" hidden="1"/>
    <cellStyle name="Note 9" xfId="5799" hidden="1"/>
    <cellStyle name="Note 9" xfId="2227" hidden="1"/>
    <cellStyle name="Note 9" xfId="5845" hidden="1"/>
    <cellStyle name="Note 9" xfId="2940" hidden="1"/>
    <cellStyle name="Note 9" xfId="6523" hidden="1"/>
    <cellStyle name="Note 9" xfId="2033" hidden="1"/>
    <cellStyle name="Note 9" xfId="3502" hidden="1"/>
    <cellStyle name="Note 9" xfId="7734" hidden="1"/>
    <cellStyle name="Note 9" xfId="6043" hidden="1"/>
    <cellStyle name="Note 9" xfId="4854" hidden="1"/>
    <cellStyle name="Note 9" xfId="9830" hidden="1"/>
    <cellStyle name="Note 9" xfId="9829" hidden="1"/>
    <cellStyle name="Note 9" xfId="9907" hidden="1"/>
    <cellStyle name="Note 9" xfId="10048" hidden="1"/>
    <cellStyle name="Note 9" xfId="10632" hidden="1"/>
    <cellStyle name="Note 9" xfId="10646" hidden="1"/>
    <cellStyle name="Note 9" xfId="10787" hidden="1"/>
    <cellStyle name="Note 9" xfId="10892" hidden="1"/>
    <cellStyle name="Note 9" xfId="11075" hidden="1"/>
    <cellStyle name="Note 9" xfId="10524" hidden="1"/>
    <cellStyle name="Note 9" xfId="11094" hidden="1"/>
    <cellStyle name="Note 9" xfId="10533" hidden="1"/>
    <cellStyle name="Note 9" xfId="11382" hidden="1"/>
    <cellStyle name="Note 9" xfId="11480" hidden="1"/>
    <cellStyle name="Note 9" xfId="11635" hidden="1"/>
    <cellStyle name="Note 9" xfId="10576" hidden="1"/>
    <cellStyle name="Note 9" xfId="11652" hidden="1"/>
    <cellStyle name="Note 9" xfId="10899" hidden="1"/>
    <cellStyle name="Note 9" xfId="11914" hidden="1"/>
    <cellStyle name="Note 9" xfId="10501" hidden="1"/>
    <cellStyle name="Note 9" xfId="10958" hidden="1"/>
    <cellStyle name="Note 9" xfId="12251" hidden="1"/>
    <cellStyle name="Note 9" xfId="11674" hidden="1"/>
    <cellStyle name="Note 9" xfId="11471" hidden="1"/>
    <cellStyle name="Note 9" xfId="12622" hidden="1"/>
    <cellStyle name="Note 9" xfId="12621" hidden="1"/>
    <cellStyle name="Note 9" xfId="12699" hidden="1"/>
    <cellStyle name="Note 9" xfId="12840" hidden="1"/>
    <cellStyle name="Note 9" xfId="13424" hidden="1"/>
    <cellStyle name="Note 9" xfId="13438" hidden="1"/>
    <cellStyle name="Note 9" xfId="13579" hidden="1"/>
    <cellStyle name="Note 9" xfId="13684" hidden="1"/>
    <cellStyle name="Note 9" xfId="13867" hidden="1"/>
    <cellStyle name="Note 9" xfId="13316" hidden="1"/>
    <cellStyle name="Note 9" xfId="13886" hidden="1"/>
    <cellStyle name="Note 9" xfId="13325" hidden="1"/>
    <cellStyle name="Note 9" xfId="14174" hidden="1"/>
    <cellStyle name="Note 9" xfId="14272" hidden="1"/>
    <cellStyle name="Note 9" xfId="14427" hidden="1"/>
    <cellStyle name="Note 9" xfId="13368" hidden="1"/>
    <cellStyle name="Note 9" xfId="14444" hidden="1"/>
    <cellStyle name="Note 9" xfId="13691" hidden="1"/>
    <cellStyle name="Note 9" xfId="14706" hidden="1"/>
    <cellStyle name="Note 9" xfId="13293" hidden="1"/>
    <cellStyle name="Note 9" xfId="13750" hidden="1"/>
    <cellStyle name="Note 9" xfId="15043" hidden="1"/>
    <cellStyle name="Note 9" xfId="14466" hidden="1"/>
    <cellStyle name="Note 9" xfId="14263" hidden="1"/>
    <cellStyle name="Note 9" xfId="9630" hidden="1"/>
    <cellStyle name="Note 9" xfId="9632" hidden="1"/>
    <cellStyle name="Note 9" xfId="9527" hidden="1"/>
    <cellStyle name="Note 9" xfId="9322" hidden="1"/>
    <cellStyle name="Note 9" xfId="7169" hidden="1"/>
    <cellStyle name="Note 9" xfId="7031" hidden="1"/>
    <cellStyle name="Note 9" xfId="6869" hidden="1"/>
    <cellStyle name="Note 9" xfId="6697" hidden="1"/>
    <cellStyle name="Note 9" xfId="5731" hidden="1"/>
    <cellStyle name="Note 9" xfId="7447" hidden="1"/>
    <cellStyle name="Note 9" xfId="5646" hidden="1"/>
    <cellStyle name="Note 9" xfId="7428" hidden="1"/>
    <cellStyle name="Note 9" xfId="4634" hidden="1"/>
    <cellStyle name="Note 9" xfId="4286" hidden="1"/>
    <cellStyle name="Note 9" xfId="3648" hidden="1"/>
    <cellStyle name="Note 9" xfId="7347" hidden="1"/>
    <cellStyle name="Note 9" xfId="3629" hidden="1"/>
    <cellStyle name="Note 9" xfId="6635" hidden="1"/>
    <cellStyle name="Note 9" xfId="2469" hidden="1"/>
    <cellStyle name="Note 9" xfId="7552" hidden="1"/>
    <cellStyle name="Note 9" xfId="6039" hidden="1"/>
    <cellStyle name="Note 9" xfId="1147" hidden="1"/>
    <cellStyle name="Note 9" xfId="3290" hidden="1"/>
    <cellStyle name="Note 9" xfId="4296" hidden="1"/>
    <cellStyle name="Note 9" xfId="16171" hidden="1"/>
    <cellStyle name="Note 9" xfId="16170" hidden="1"/>
    <cellStyle name="Note 9" xfId="16248" hidden="1"/>
    <cellStyle name="Note 9" xfId="16389" hidden="1"/>
    <cellStyle name="Note 9" xfId="16973" hidden="1"/>
    <cellStyle name="Note 9" xfId="16987" hidden="1"/>
    <cellStyle name="Note 9" xfId="17128" hidden="1"/>
    <cellStyle name="Note 9" xfId="17233" hidden="1"/>
    <cellStyle name="Note 9" xfId="17416" hidden="1"/>
    <cellStyle name="Note 9" xfId="16865" hidden="1"/>
    <cellStyle name="Note 9" xfId="17435" hidden="1"/>
    <cellStyle name="Note 9" xfId="16874" hidden="1"/>
    <cellStyle name="Note 9" xfId="17723" hidden="1"/>
    <cellStyle name="Note 9" xfId="17821" hidden="1"/>
    <cellStyle name="Note 9" xfId="17976" hidden="1"/>
    <cellStyle name="Note 9" xfId="16917" hidden="1"/>
    <cellStyle name="Note 9" xfId="17993" hidden="1"/>
    <cellStyle name="Note 9" xfId="17240" hidden="1"/>
    <cellStyle name="Note 9" xfId="18255" hidden="1"/>
    <cellStyle name="Note 9" xfId="16842" hidden="1"/>
    <cellStyle name="Note 9" xfId="17299" hidden="1"/>
    <cellStyle name="Note 9" xfId="18592" hidden="1"/>
    <cellStyle name="Note 9" xfId="18015" hidden="1"/>
    <cellStyle name="Note 9" xfId="17812" hidden="1"/>
    <cellStyle name="Note 9" xfId="18963" hidden="1"/>
    <cellStyle name="Note 9" xfId="18962" hidden="1"/>
    <cellStyle name="Note 9" xfId="19040" hidden="1"/>
    <cellStyle name="Note 9" xfId="19181" hidden="1"/>
    <cellStyle name="Note 9" xfId="19765" hidden="1"/>
    <cellStyle name="Note 9" xfId="19779" hidden="1"/>
    <cellStyle name="Note 9" xfId="19920" hidden="1"/>
    <cellStyle name="Note 9" xfId="20025" hidden="1"/>
    <cellStyle name="Note 9" xfId="20208" hidden="1"/>
    <cellStyle name="Note 9" xfId="19657" hidden="1"/>
    <cellStyle name="Note 9" xfId="20227" hidden="1"/>
    <cellStyle name="Note 9" xfId="19666" hidden="1"/>
    <cellStyle name="Note 9" xfId="20515" hidden="1"/>
    <cellStyle name="Note 9" xfId="20613" hidden="1"/>
    <cellStyle name="Note 9" xfId="20768" hidden="1"/>
    <cellStyle name="Note 9" xfId="19709" hidden="1"/>
    <cellStyle name="Note 9" xfId="20785" hidden="1"/>
    <cellStyle name="Note 9" xfId="20032" hidden="1"/>
    <cellStyle name="Note 9" xfId="21047" hidden="1"/>
    <cellStyle name="Note 9" xfId="19634" hidden="1"/>
    <cellStyle name="Note 9" xfId="20091" hidden="1"/>
    <cellStyle name="Note 9" xfId="21384" hidden="1"/>
    <cellStyle name="Note 9" xfId="20807" hidden="1"/>
    <cellStyle name="Note 9" xfId="20604" hidden="1"/>
    <cellStyle name="Note 9" xfId="16020" hidden="1"/>
    <cellStyle name="Note 9" xfId="16021" hidden="1"/>
    <cellStyle name="Note 9" xfId="15943" hidden="1"/>
    <cellStyle name="Note 9" xfId="15797" hidden="1"/>
    <cellStyle name="Note 9" xfId="8094" hidden="1"/>
    <cellStyle name="Note 9" xfId="8027" hidden="1"/>
    <cellStyle name="Note 9" xfId="7684" hidden="1"/>
    <cellStyle name="Note 9" xfId="7368" hidden="1"/>
    <cellStyle name="Note 9" xfId="6228" hidden="1"/>
    <cellStyle name="Note 9" xfId="8390" hidden="1"/>
    <cellStyle name="Note 9" xfId="6154" hidden="1"/>
    <cellStyle name="Note 9" xfId="8377" hidden="1"/>
    <cellStyle name="Note 9" xfId="5055" hidden="1"/>
    <cellStyle name="Note 9" xfId="4907" hidden="1"/>
    <cellStyle name="Note 9" xfId="3840" hidden="1"/>
    <cellStyle name="Note 9" xfId="8196" hidden="1"/>
    <cellStyle name="Note 9" xfId="3803" hidden="1"/>
    <cellStyle name="Note 9" xfId="7336" hidden="1"/>
    <cellStyle name="Note 9" xfId="2854" hidden="1"/>
    <cellStyle name="Note 9" xfId="8457" hidden="1"/>
    <cellStyle name="Note 9" xfId="6637" hidden="1"/>
    <cellStyle name="Note 9" xfId="1284" hidden="1"/>
    <cellStyle name="Note 9" xfId="3512" hidden="1"/>
    <cellStyle name="Note 9" xfId="4918" hidden="1"/>
    <cellStyle name="Note 9" xfId="22322" hidden="1"/>
    <cellStyle name="Note 9" xfId="22321" hidden="1"/>
    <cellStyle name="Note 9" xfId="22399" hidden="1"/>
    <cellStyle name="Note 9" xfId="22540" hidden="1"/>
    <cellStyle name="Note 9" xfId="23124" hidden="1"/>
    <cellStyle name="Note 9" xfId="23138" hidden="1"/>
    <cellStyle name="Note 9" xfId="23279" hidden="1"/>
    <cellStyle name="Note 9" xfId="23384" hidden="1"/>
    <cellStyle name="Note 9" xfId="23567" hidden="1"/>
    <cellStyle name="Note 9" xfId="23016" hidden="1"/>
    <cellStyle name="Note 9" xfId="23586" hidden="1"/>
    <cellStyle name="Note 9" xfId="23025" hidden="1"/>
    <cellStyle name="Note 9" xfId="23874" hidden="1"/>
    <cellStyle name="Note 9" xfId="23972" hidden="1"/>
    <cellStyle name="Note 9" xfId="24127" hidden="1"/>
    <cellStyle name="Note 9" xfId="23068" hidden="1"/>
    <cellStyle name="Note 9" xfId="24144" hidden="1"/>
    <cellStyle name="Note 9" xfId="23391" hidden="1"/>
    <cellStyle name="Note 9" xfId="24406" hidden="1"/>
    <cellStyle name="Note 9" xfId="22993" hidden="1"/>
    <cellStyle name="Note 9" xfId="23450" hidden="1"/>
    <cellStyle name="Note 9" xfId="24743" hidden="1"/>
    <cellStyle name="Note 9" xfId="24166" hidden="1"/>
    <cellStyle name="Note 9" xfId="23963" hidden="1"/>
    <cellStyle name="Note 9" xfId="25114" hidden="1"/>
    <cellStyle name="Note 9" xfId="25113" hidden="1"/>
    <cellStyle name="Note 9" xfId="25191" hidden="1"/>
    <cellStyle name="Note 9" xfId="25332" hidden="1"/>
    <cellStyle name="Note 9" xfId="25916" hidden="1"/>
    <cellStyle name="Note 9" xfId="25930" hidden="1"/>
    <cellStyle name="Note 9" xfId="26071" hidden="1"/>
    <cellStyle name="Note 9" xfId="26176" hidden="1"/>
    <cellStyle name="Note 9" xfId="26359" hidden="1"/>
    <cellStyle name="Note 9" xfId="25808" hidden="1"/>
    <cellStyle name="Note 9" xfId="26378" hidden="1"/>
    <cellStyle name="Note 9" xfId="25817" hidden="1"/>
    <cellStyle name="Note 9" xfId="26666" hidden="1"/>
    <cellStyle name="Note 9" xfId="26764" hidden="1"/>
    <cellStyle name="Note 9" xfId="26919" hidden="1"/>
    <cellStyle name="Note 9" xfId="25860" hidden="1"/>
    <cellStyle name="Note 9" xfId="26936" hidden="1"/>
    <cellStyle name="Note 9" xfId="26183" hidden="1"/>
    <cellStyle name="Note 9" xfId="27198" hidden="1"/>
    <cellStyle name="Note 9" xfId="25785" hidden="1"/>
    <cellStyle name="Note 9" xfId="26242" hidden="1"/>
    <cellStyle name="Note 9" xfId="27535" hidden="1"/>
    <cellStyle name="Note 9" xfId="26958" hidden="1"/>
    <cellStyle name="Note 9" xfId="26755" hidden="1"/>
    <cellStyle name="Note 9" xfId="22273" hidden="1"/>
    <cellStyle name="Note 9" xfId="22274" hidden="1"/>
    <cellStyle name="Note 9" xfId="22196" hidden="1"/>
    <cellStyle name="Note 9" xfId="22050" hidden="1"/>
    <cellStyle name="Note 9" xfId="9028" hidden="1"/>
    <cellStyle name="Note 9" xfId="8988" hidden="1"/>
    <cellStyle name="Note 9" xfId="8524" hidden="1"/>
    <cellStyle name="Note 9" xfId="8224" hidden="1"/>
    <cellStyle name="Note 9" xfId="6760" hidden="1"/>
    <cellStyle name="Note 9" xfId="9426" hidden="1"/>
    <cellStyle name="Note 9" xfId="6720" hidden="1"/>
    <cellStyle name="Note 9" xfId="9405" hidden="1"/>
    <cellStyle name="Note 9" xfId="5564" hidden="1"/>
    <cellStyle name="Note 9" xfId="5337" hidden="1"/>
    <cellStyle name="Note 9" xfId="4016" hidden="1"/>
    <cellStyle name="Note 9" xfId="9246" hidden="1"/>
    <cellStyle name="Note 9" xfId="3992" hidden="1"/>
    <cellStyle name="Note 9" xfId="8192" hidden="1"/>
    <cellStyle name="Note 9" xfId="3135" hidden="1"/>
    <cellStyle name="Note 9" xfId="9513" hidden="1"/>
    <cellStyle name="Note 9" xfId="7346" hidden="1"/>
    <cellStyle name="Note 9" xfId="1448" hidden="1"/>
    <cellStyle name="Note 9" xfId="3767" hidden="1"/>
    <cellStyle name="Note 9" xfId="5448" hidden="1"/>
    <cellStyle name="Note 9" xfId="28041" hidden="1"/>
    <cellStyle name="Note 9" xfId="28040" hidden="1"/>
    <cellStyle name="Note 9" xfId="28118" hidden="1"/>
    <cellStyle name="Note 9" xfId="28259" hidden="1"/>
    <cellStyle name="Note 9" xfId="28843" hidden="1"/>
    <cellStyle name="Note 9" xfId="28857" hidden="1"/>
    <cellStyle name="Note 9" xfId="28998" hidden="1"/>
    <cellStyle name="Note 9" xfId="29103" hidden="1"/>
    <cellStyle name="Note 9" xfId="29286" hidden="1"/>
    <cellStyle name="Note 9" xfId="28735" hidden="1"/>
    <cellStyle name="Note 9" xfId="29305" hidden="1"/>
    <cellStyle name="Note 9" xfId="28744" hidden="1"/>
    <cellStyle name="Note 9" xfId="29593" hidden="1"/>
    <cellStyle name="Note 9" xfId="29691" hidden="1"/>
    <cellStyle name="Note 9" xfId="29846" hidden="1"/>
    <cellStyle name="Note 9" xfId="28787" hidden="1"/>
    <cellStyle name="Note 9" xfId="29863" hidden="1"/>
    <cellStyle name="Note 9" xfId="29110" hidden="1"/>
    <cellStyle name="Note 9" xfId="30125" hidden="1"/>
    <cellStyle name="Note 9" xfId="28712" hidden="1"/>
    <cellStyle name="Note 9" xfId="29169" hidden="1"/>
    <cellStyle name="Note 9" xfId="30462" hidden="1"/>
    <cellStyle name="Note 9" xfId="29885" hidden="1"/>
    <cellStyle name="Note 9" xfId="29682" hidden="1"/>
    <cellStyle name="Note 9" xfId="30833" hidden="1"/>
    <cellStyle name="Note 9" xfId="30832" hidden="1"/>
    <cellStyle name="Note 9" xfId="30910" hidden="1"/>
    <cellStyle name="Note 9" xfId="31051" hidden="1"/>
    <cellStyle name="Note 9" xfId="31635" hidden="1"/>
    <cellStyle name="Note 9" xfId="31649" hidden="1"/>
    <cellStyle name="Note 9" xfId="31790" hidden="1"/>
    <cellStyle name="Note 9" xfId="31895" hidden="1"/>
    <cellStyle name="Note 9" xfId="32078" hidden="1"/>
    <cellStyle name="Note 9" xfId="31527" hidden="1"/>
    <cellStyle name="Note 9" xfId="32097" hidden="1"/>
    <cellStyle name="Note 9" xfId="31536" hidden="1"/>
    <cellStyle name="Note 9" xfId="32385" hidden="1"/>
    <cellStyle name="Note 9" xfId="32483" hidden="1"/>
    <cellStyle name="Note 9" xfId="32638" hidden="1"/>
    <cellStyle name="Note 9" xfId="31579" hidden="1"/>
    <cellStyle name="Note 9" xfId="32655" hidden="1"/>
    <cellStyle name="Note 9" xfId="31902" hidden="1"/>
    <cellStyle name="Note 9" xfId="32917" hidden="1"/>
    <cellStyle name="Note 9" xfId="31504" hidden="1"/>
    <cellStyle name="Note 9" xfId="31961" hidden="1"/>
    <cellStyle name="Note 9" xfId="33254" hidden="1"/>
    <cellStyle name="Note 9" xfId="32677" hidden="1"/>
    <cellStyle name="Note 9" xfId="32474" hidden="1"/>
    <cellStyle name="Output" xfId="14" builtinId="21" hidden="1" customBuiltin="1"/>
    <cellStyle name="Output" xfId="54"/>
    <cellStyle name="Percent" xfId="92" builtinId="5" hidden="1"/>
    <cellStyle name="Percent [0]" xfId="96"/>
    <cellStyle name="Percent [1]" xfId="93"/>
    <cellStyle name="Percent [2]" xfId="94"/>
    <cellStyle name="Percent [3]" xfId="33607"/>
    <cellStyle name="Rt border" xfId="33608"/>
    <cellStyle name="Rt margin" xfId="97"/>
    <cellStyle name="Sum" xfId="33609"/>
    <cellStyle name="Text" xfId="46"/>
    <cellStyle name="Title" xfId="5" builtinId="15" customBuiltin="1"/>
    <cellStyle name="Total" xfId="21" builtinId="25" hidden="1"/>
    <cellStyle name="Total" xfId="65" builtinId="25" hidden="1" customBuiltin="1"/>
    <cellStyle name="Warning Text" xfId="18" builtinId="11" hidden="1"/>
    <cellStyle name="Warning Text" xfId="63" builtinId="11" hidden="1" customBuiltin="1"/>
    <cellStyle name="Year" xfId="33610"/>
  </cellStyles>
  <dxfs count="37">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s>
  <tableStyles count="0" defaultTableStyle="TableStyleMedium2" defaultPivotStyle="PivotStyleLight16"/>
  <colors>
    <mruColors>
      <color rgb="FF3E8A92"/>
      <color rgb="FFD97E55"/>
      <color rgb="FF5FB0B9"/>
      <color rgb="FFB0A978"/>
      <color rgb="FFFFC671"/>
      <color rgb="FFADD7DB"/>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NZ"/>
              <a:t>3 year regulatory investment flow</a:t>
            </a:r>
          </a:p>
        </c:rich>
      </c:tx>
      <c:overlay val="0"/>
    </c:title>
    <c:autoTitleDeleted val="0"/>
    <c:plotArea>
      <c:layout/>
      <c:scatterChart>
        <c:scatterStyle val="smoothMarker"/>
        <c:varyColors val="0"/>
        <c:ser>
          <c:idx val="0"/>
          <c:order val="0"/>
          <c:tx>
            <c:v>Undiscounted</c:v>
          </c:tx>
          <c:spPr>
            <a:ln>
              <a:solidFill>
                <a:schemeClr val="accent6"/>
              </a:solidFill>
            </a:ln>
          </c:spPr>
          <c:xVal>
            <c:numRef>
              <c:f>IRR!$J$35:$S$35</c:f>
              <c:numCache>
                <c:formatCode>d\-mmm\-yy</c:formatCode>
                <c:ptCount val="10"/>
                <c:pt idx="0">
                  <c:v>40999</c:v>
                </c:pt>
                <c:pt idx="1">
                  <c:v>41182</c:v>
                </c:pt>
                <c:pt idx="2">
                  <c:v>41216</c:v>
                </c:pt>
                <c:pt idx="3">
                  <c:v>41364</c:v>
                </c:pt>
                <c:pt idx="4">
                  <c:v>41547</c:v>
                </c:pt>
                <c:pt idx="5">
                  <c:v>41581</c:v>
                </c:pt>
                <c:pt idx="6">
                  <c:v>41729</c:v>
                </c:pt>
                <c:pt idx="7">
                  <c:v>41912</c:v>
                </c:pt>
                <c:pt idx="8">
                  <c:v>41946</c:v>
                </c:pt>
                <c:pt idx="9">
                  <c:v>42094</c:v>
                </c:pt>
              </c:numCache>
            </c:numRef>
          </c:xVal>
          <c:yVal>
            <c:numRef>
              <c:f>IRR!$J$45:$S$45</c:f>
              <c:numCache>
                <c:formatCode>_(* #,##0_);_(* \(#,##0\);_(* "–"???_);_(* @_)</c:formatCode>
                <c:ptCount val="10"/>
                <c:pt idx="0">
                  <c:v>-6431442.7809209591</c:v>
                </c:pt>
                <c:pt idx="1">
                  <c:v>-1267109.4595289717</c:v>
                </c:pt>
                <c:pt idx="2">
                  <c:v>1616063.5001622848</c:v>
                </c:pt>
                <c:pt idx="3">
                  <c:v>-504.00406373541858</c:v>
                </c:pt>
                <c:pt idx="4">
                  <c:v>-1386712.2510827044</c:v>
                </c:pt>
                <c:pt idx="5">
                  <c:v>1638092.8953368003</c:v>
                </c:pt>
                <c:pt idx="6">
                  <c:v>-1084.1504138256339</c:v>
                </c:pt>
                <c:pt idx="7">
                  <c:v>-1517198.4916506023</c:v>
                </c:pt>
                <c:pt idx="8">
                  <c:v>1808665.0188056882</c:v>
                </c:pt>
                <c:pt idx="9">
                  <c:v>6932388.1893699514</c:v>
                </c:pt>
              </c:numCache>
            </c:numRef>
          </c:yVal>
          <c:smooth val="1"/>
        </c:ser>
        <c:ser>
          <c:idx val="1"/>
          <c:order val="1"/>
          <c:tx>
            <c:strRef>
              <c:f>IRR!$C$46</c:f>
              <c:strCache>
                <c:ptCount val="1"/>
                <c:pt idx="0">
                  <c:v>Discounted at 7.05% p.a.</c:v>
                </c:pt>
              </c:strCache>
            </c:strRef>
          </c:tx>
          <c:spPr>
            <a:ln>
              <a:solidFill>
                <a:schemeClr val="bg2">
                  <a:lumMod val="20000"/>
                  <a:lumOff val="80000"/>
                </a:schemeClr>
              </a:solidFill>
            </a:ln>
          </c:spPr>
          <c:xVal>
            <c:numRef>
              <c:f>IRR!$J$35:$S$35</c:f>
              <c:numCache>
                <c:formatCode>d\-mmm\-yy</c:formatCode>
                <c:ptCount val="10"/>
                <c:pt idx="0">
                  <c:v>40999</c:v>
                </c:pt>
                <c:pt idx="1">
                  <c:v>41182</c:v>
                </c:pt>
                <c:pt idx="2">
                  <c:v>41216</c:v>
                </c:pt>
                <c:pt idx="3">
                  <c:v>41364</c:v>
                </c:pt>
                <c:pt idx="4">
                  <c:v>41547</c:v>
                </c:pt>
                <c:pt idx="5">
                  <c:v>41581</c:v>
                </c:pt>
                <c:pt idx="6">
                  <c:v>41729</c:v>
                </c:pt>
                <c:pt idx="7">
                  <c:v>41912</c:v>
                </c:pt>
                <c:pt idx="8">
                  <c:v>41946</c:v>
                </c:pt>
                <c:pt idx="9">
                  <c:v>42094</c:v>
                </c:pt>
              </c:numCache>
            </c:numRef>
          </c:xVal>
          <c:yVal>
            <c:numRef>
              <c:f>IRR!$J$48:$S$48</c:f>
              <c:numCache>
                <c:formatCode>_(* #,##0_);_(* \(#,##0\);_(* "–"???_);_(* @_)</c:formatCode>
                <c:ptCount val="10"/>
                <c:pt idx="0">
                  <c:v>-6431442.7809209591</c:v>
                </c:pt>
                <c:pt idx="1">
                  <c:v>-1224587.1279847778</c:v>
                </c:pt>
                <c:pt idx="2">
                  <c:v>1551957.0941071839</c:v>
                </c:pt>
                <c:pt idx="3">
                  <c:v>-470.83220391658017</c:v>
                </c:pt>
                <c:pt idx="4">
                  <c:v>-1251970.3140082262</c:v>
                </c:pt>
                <c:pt idx="5">
                  <c:v>1469575.61659004</c:v>
                </c:pt>
                <c:pt idx="6">
                  <c:v>-946.1364709370705</c:v>
                </c:pt>
                <c:pt idx="7">
                  <c:v>-1279623.4875983901</c:v>
                </c:pt>
                <c:pt idx="8">
                  <c:v>1515806.174007335</c:v>
                </c:pt>
                <c:pt idx="9">
                  <c:v>5651701.801739255</c:v>
                </c:pt>
              </c:numCache>
            </c:numRef>
          </c:yVal>
          <c:smooth val="1"/>
        </c:ser>
        <c:dLbls>
          <c:showLegendKey val="0"/>
          <c:showVal val="0"/>
          <c:showCatName val="0"/>
          <c:showSerName val="0"/>
          <c:showPercent val="0"/>
          <c:showBubbleSize val="0"/>
        </c:dLbls>
        <c:axId val="167003264"/>
        <c:axId val="167004800"/>
      </c:scatterChart>
      <c:valAx>
        <c:axId val="167003264"/>
        <c:scaling>
          <c:orientation val="minMax"/>
          <c:max val="42094"/>
          <c:min val="40999"/>
        </c:scaling>
        <c:delete val="0"/>
        <c:axPos val="b"/>
        <c:numFmt formatCode="d\-mmm\-yy" sourceLinked="1"/>
        <c:majorTickMark val="out"/>
        <c:minorTickMark val="none"/>
        <c:tickLblPos val="low"/>
        <c:spPr>
          <a:ln w="25400"/>
        </c:spPr>
        <c:crossAx val="167004800"/>
        <c:crosses val="autoZero"/>
        <c:crossBetween val="midCat"/>
      </c:valAx>
      <c:valAx>
        <c:axId val="167004800"/>
        <c:scaling>
          <c:orientation val="minMax"/>
        </c:scaling>
        <c:delete val="0"/>
        <c:axPos val="l"/>
        <c:majorGridlines/>
        <c:numFmt formatCode="#,##0,&quot;k&quot;;\ \(#,##0,&quot;k&quot;\)" sourceLinked="0"/>
        <c:majorTickMark val="out"/>
        <c:minorTickMark val="none"/>
        <c:tickLblPos val="nextTo"/>
        <c:crossAx val="167003264"/>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8.4540343915343916E-2"/>
          <c:y val="2.2460506785411366E-2"/>
          <c:w val="0.84377050264550268"/>
          <c:h val="0.95507898642917732"/>
        </c:manualLayout>
      </c:layout>
      <c:barChart>
        <c:barDir val="bar"/>
        <c:grouping val="clustered"/>
        <c:varyColors val="0"/>
        <c:ser>
          <c:idx val="0"/>
          <c:order val="0"/>
          <c:spPr>
            <a:solidFill>
              <a:srgbClr val="3E8A92"/>
            </a:solidFill>
          </c:spPr>
          <c:invertIfNegative val="0"/>
          <c:cat>
            <c:strRef>
              <c:f>'Chart data'!$Q$5:$Q$20</c:f>
              <c:strCache>
                <c:ptCount val="16"/>
                <c:pt idx="0">
                  <c:v>Wellington Electricity</c:v>
                </c:pt>
                <c:pt idx="1">
                  <c:v>Nelson Electricity</c:v>
                </c:pt>
                <c:pt idx="2">
                  <c:v>Vector Lines</c:v>
                </c:pt>
                <c:pt idx="3">
                  <c:v>Aurora Energy</c:v>
                </c:pt>
                <c:pt idx="4">
                  <c:v>Electricity Invercargill</c:v>
                </c:pt>
                <c:pt idx="5">
                  <c:v>Powerco</c:v>
                </c:pt>
                <c:pt idx="6">
                  <c:v>Top Energy</c:v>
                </c:pt>
                <c:pt idx="7">
                  <c:v>Horizon Energy</c:v>
                </c:pt>
                <c:pt idx="8">
                  <c:v>Network Tasman</c:v>
                </c:pt>
                <c:pt idx="9">
                  <c:v>The Lines Company</c:v>
                </c:pt>
                <c:pt idx="10">
                  <c:v>Eastland Network</c:v>
                </c:pt>
                <c:pt idx="11">
                  <c:v>Unison Networks</c:v>
                </c:pt>
                <c:pt idx="12">
                  <c:v>Alpine Energy</c:v>
                </c:pt>
                <c:pt idx="13">
                  <c:v>Electricity Ashburton</c:v>
                </c:pt>
                <c:pt idx="14">
                  <c:v>OtagoNet</c:v>
                </c:pt>
                <c:pt idx="15">
                  <c:v>Centralines</c:v>
                </c:pt>
              </c:strCache>
            </c:strRef>
          </c:cat>
          <c:val>
            <c:numRef>
              <c:f>'Chart data'!$R$5:$R$20</c:f>
              <c:numCache>
                <c:formatCode>_(* #,##0.00_);_(* \(#,##0.00\);_(* "–"???_);_(* @_)</c:formatCode>
                <c:ptCount val="16"/>
                <c:pt idx="0">
                  <c:v>0.66753685474395663</c:v>
                </c:pt>
                <c:pt idx="1">
                  <c:v>0.54176330566406428</c:v>
                </c:pt>
                <c:pt idx="2">
                  <c:v>0.1979440450668335</c:v>
                </c:pt>
                <c:pt idx="3">
                  <c:v>-6.8532228469850409E-2</c:v>
                </c:pt>
                <c:pt idx="4">
                  <c:v>-0.12630105018615723</c:v>
                </c:pt>
                <c:pt idx="5">
                  <c:v>-0.12931048870086759</c:v>
                </c:pt>
                <c:pt idx="6">
                  <c:v>-0.2719092369079581</c:v>
                </c:pt>
                <c:pt idx="7">
                  <c:v>-0.30896544456481845</c:v>
                </c:pt>
                <c:pt idx="8">
                  <c:v>-0.56626379489898859</c:v>
                </c:pt>
                <c:pt idx="9">
                  <c:v>-0.55477440357208163</c:v>
                </c:pt>
                <c:pt idx="10">
                  <c:v>-0.87041854858398615</c:v>
                </c:pt>
                <c:pt idx="11">
                  <c:v>-1.0097920894622829</c:v>
                </c:pt>
                <c:pt idx="12">
                  <c:v>-1.4408522844314575</c:v>
                </c:pt>
                <c:pt idx="13">
                  <c:v>-0.89665710926055997</c:v>
                </c:pt>
                <c:pt idx="14">
                  <c:v>-1.1261647939682033</c:v>
                </c:pt>
                <c:pt idx="15">
                  <c:v>-1.7220705747604388</c:v>
                </c:pt>
              </c:numCache>
            </c:numRef>
          </c:val>
          <c:extLst xmlns:c16r2="http://schemas.microsoft.com/office/drawing/2015/06/chart">
            <c:ext xmlns:c16="http://schemas.microsoft.com/office/drawing/2014/chart" uri="{C3380CC4-5D6E-409C-BE32-E72D297353CC}">
              <c16:uniqueId val="{00000000-E20D-420C-9F55-4B9B3021D973}"/>
            </c:ext>
          </c:extLst>
        </c:ser>
        <c:dLbls>
          <c:showLegendKey val="0"/>
          <c:showVal val="0"/>
          <c:showCatName val="0"/>
          <c:showSerName val="0"/>
          <c:showPercent val="0"/>
          <c:showBubbleSize val="0"/>
        </c:dLbls>
        <c:gapWidth val="150"/>
        <c:axId val="171629184"/>
        <c:axId val="171635072"/>
      </c:barChart>
      <c:catAx>
        <c:axId val="171629184"/>
        <c:scaling>
          <c:orientation val="maxMin"/>
        </c:scaling>
        <c:delete val="0"/>
        <c:axPos val="l"/>
        <c:numFmt formatCode="General" sourceLinked="1"/>
        <c:majorTickMark val="out"/>
        <c:minorTickMark val="none"/>
        <c:tickLblPos val="low"/>
        <c:txPr>
          <a:bodyPr/>
          <a:lstStyle/>
          <a:p>
            <a:pPr>
              <a:defRPr sz="800"/>
            </a:pPr>
            <a:endParaRPr lang="en-US"/>
          </a:p>
        </c:txPr>
        <c:crossAx val="171635072"/>
        <c:crosses val="autoZero"/>
        <c:auto val="1"/>
        <c:lblAlgn val="ctr"/>
        <c:lblOffset val="100"/>
        <c:noMultiLvlLbl val="0"/>
      </c:catAx>
      <c:valAx>
        <c:axId val="171635072"/>
        <c:scaling>
          <c:orientation val="minMax"/>
          <c:max val="2"/>
          <c:min val="-2"/>
        </c:scaling>
        <c:delete val="0"/>
        <c:axPos val="b"/>
        <c:majorGridlines>
          <c:spPr>
            <a:ln>
              <a:solidFill>
                <a:schemeClr val="bg1">
                  <a:lumMod val="85000"/>
                </a:schemeClr>
              </a:solidFill>
            </a:ln>
          </c:spPr>
        </c:majorGridlines>
        <c:numFmt formatCode="#,##0" sourceLinked="0"/>
        <c:majorTickMark val="out"/>
        <c:minorTickMark val="none"/>
        <c:tickLblPos val="nextTo"/>
        <c:spPr>
          <a:ln>
            <a:noFill/>
          </a:ln>
        </c:spPr>
        <c:txPr>
          <a:bodyPr/>
          <a:lstStyle/>
          <a:p>
            <a:pPr>
              <a:defRPr sz="800"/>
            </a:pPr>
            <a:endParaRPr lang="en-US"/>
          </a:p>
        </c:txPr>
        <c:crossAx val="171629184"/>
        <c:crosses val="max"/>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8.4540343915343916E-2"/>
          <c:y val="1.3672338846480067E-2"/>
          <c:w val="0.84377050264550268"/>
          <c:h val="0.91882978159457163"/>
        </c:manualLayout>
      </c:layout>
      <c:barChart>
        <c:barDir val="bar"/>
        <c:grouping val="clustered"/>
        <c:varyColors val="0"/>
        <c:ser>
          <c:idx val="0"/>
          <c:order val="0"/>
          <c:spPr>
            <a:solidFill>
              <a:srgbClr val="3E8A92"/>
            </a:solidFill>
          </c:spPr>
          <c:invertIfNegative val="0"/>
          <c:cat>
            <c:strRef>
              <c:f>'Chart data'!$X$5:$X$20</c:f>
              <c:strCache>
                <c:ptCount val="16"/>
                <c:pt idx="0">
                  <c:v>Nelson Electricity</c:v>
                </c:pt>
                <c:pt idx="1">
                  <c:v>Electricity Ashburton</c:v>
                </c:pt>
                <c:pt idx="2">
                  <c:v>Electricity Invercargill</c:v>
                </c:pt>
                <c:pt idx="3">
                  <c:v>Top Energy</c:v>
                </c:pt>
                <c:pt idx="4">
                  <c:v>Horizon Energy</c:v>
                </c:pt>
                <c:pt idx="5">
                  <c:v>Eastland Network</c:v>
                </c:pt>
                <c:pt idx="6">
                  <c:v>Network Tasman</c:v>
                </c:pt>
                <c:pt idx="7">
                  <c:v>OtagoNet</c:v>
                </c:pt>
                <c:pt idx="8">
                  <c:v>Powerco</c:v>
                </c:pt>
                <c:pt idx="9">
                  <c:v>The Lines Company</c:v>
                </c:pt>
                <c:pt idx="10">
                  <c:v>Alpine Energy</c:v>
                </c:pt>
                <c:pt idx="11">
                  <c:v>Unison Networks</c:v>
                </c:pt>
                <c:pt idx="12">
                  <c:v>Vector Lines</c:v>
                </c:pt>
                <c:pt idx="13">
                  <c:v>Wellington Electricity</c:v>
                </c:pt>
                <c:pt idx="14">
                  <c:v>Centralines</c:v>
                </c:pt>
                <c:pt idx="15">
                  <c:v>Aurora Energy</c:v>
                </c:pt>
              </c:strCache>
            </c:strRef>
          </c:cat>
          <c:val>
            <c:numRef>
              <c:f>'Chart data'!$Y$5:$Y$20</c:f>
              <c:numCache>
                <c:formatCode>_(* #,##0.00_);_(* \(#,##0.00\);_(* "–"???_);_(* @_)</c:formatCode>
                <c:ptCount val="16"/>
                <c:pt idx="0">
                  <c:v>-1.387700438499448</c:v>
                </c:pt>
                <c:pt idx="1">
                  <c:v>-0.55401623249054044</c:v>
                </c:pt>
                <c:pt idx="2">
                  <c:v>-7.4765682220459873E-2</c:v>
                </c:pt>
                <c:pt idx="3">
                  <c:v>-0.5934333801269549</c:v>
                </c:pt>
                <c:pt idx="4">
                  <c:v>-0.27437031269073575</c:v>
                </c:pt>
                <c:pt idx="5">
                  <c:v>-4.5205950736999512E-2</c:v>
                </c:pt>
                <c:pt idx="6">
                  <c:v>-6.915926933287686E-3</c:v>
                </c:pt>
                <c:pt idx="7">
                  <c:v>-2.0697712898252618E-2</c:v>
                </c:pt>
                <c:pt idx="8">
                  <c:v>-6.4306259155273438E-2</c:v>
                </c:pt>
                <c:pt idx="9">
                  <c:v>3.7437677383422852E-3</c:v>
                </c:pt>
                <c:pt idx="10">
                  <c:v>0.19391119480133234</c:v>
                </c:pt>
                <c:pt idx="11">
                  <c:v>0.24056196212768732</c:v>
                </c:pt>
                <c:pt idx="12">
                  <c:v>9.1876387596130371E-2</c:v>
                </c:pt>
                <c:pt idx="13">
                  <c:v>0.17794072628021418</c:v>
                </c:pt>
                <c:pt idx="14">
                  <c:v>8.9458227157593662E-2</c:v>
                </c:pt>
                <c:pt idx="15">
                  <c:v>0.1685231924056998</c:v>
                </c:pt>
              </c:numCache>
            </c:numRef>
          </c:val>
          <c:extLst xmlns:c16r2="http://schemas.microsoft.com/office/drawing/2015/06/chart">
            <c:ext xmlns:c16="http://schemas.microsoft.com/office/drawing/2014/chart" uri="{C3380CC4-5D6E-409C-BE32-E72D297353CC}">
              <c16:uniqueId val="{00000000-6FC3-4020-A539-CBC965B2BC11}"/>
            </c:ext>
          </c:extLst>
        </c:ser>
        <c:dLbls>
          <c:showLegendKey val="0"/>
          <c:showVal val="0"/>
          <c:showCatName val="0"/>
          <c:showSerName val="0"/>
          <c:showPercent val="0"/>
          <c:showBubbleSize val="0"/>
        </c:dLbls>
        <c:gapWidth val="150"/>
        <c:axId val="172380160"/>
        <c:axId val="172381696"/>
      </c:barChart>
      <c:catAx>
        <c:axId val="172380160"/>
        <c:scaling>
          <c:orientation val="minMax"/>
        </c:scaling>
        <c:delete val="0"/>
        <c:axPos val="l"/>
        <c:numFmt formatCode="General" sourceLinked="1"/>
        <c:majorTickMark val="out"/>
        <c:minorTickMark val="none"/>
        <c:tickLblPos val="low"/>
        <c:txPr>
          <a:bodyPr/>
          <a:lstStyle/>
          <a:p>
            <a:pPr>
              <a:defRPr sz="800"/>
            </a:pPr>
            <a:endParaRPr lang="en-US"/>
          </a:p>
        </c:txPr>
        <c:crossAx val="172381696"/>
        <c:crosses val="autoZero"/>
        <c:auto val="1"/>
        <c:lblAlgn val="ctr"/>
        <c:lblOffset val="100"/>
        <c:noMultiLvlLbl val="0"/>
      </c:catAx>
      <c:valAx>
        <c:axId val="172381696"/>
        <c:scaling>
          <c:orientation val="minMax"/>
          <c:max val="2"/>
          <c:min val="-2"/>
        </c:scaling>
        <c:delete val="0"/>
        <c:axPos val="b"/>
        <c:majorGridlines>
          <c:spPr>
            <a:ln>
              <a:solidFill>
                <a:schemeClr val="bg1">
                  <a:lumMod val="85000"/>
                </a:schemeClr>
              </a:solidFill>
            </a:ln>
          </c:spPr>
        </c:majorGridlines>
        <c:numFmt formatCode="#,##0" sourceLinked="0"/>
        <c:majorTickMark val="out"/>
        <c:minorTickMark val="none"/>
        <c:tickLblPos val="nextTo"/>
        <c:spPr>
          <a:ln>
            <a:noFill/>
          </a:ln>
        </c:spPr>
        <c:txPr>
          <a:bodyPr/>
          <a:lstStyle/>
          <a:p>
            <a:pPr>
              <a:defRPr sz="800"/>
            </a:pPr>
            <a:endParaRPr lang="en-US"/>
          </a:p>
        </c:txPr>
        <c:crossAx val="17238016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0.26822297897694297"/>
          <c:y val="2.7207962962962962E-2"/>
          <c:w val="0.69298385646999605"/>
          <c:h val="0.91387425925925925"/>
        </c:manualLayout>
      </c:layout>
      <c:barChart>
        <c:barDir val="bar"/>
        <c:grouping val="clustered"/>
        <c:varyColors val="0"/>
        <c:ser>
          <c:idx val="0"/>
          <c:order val="0"/>
          <c:tx>
            <c:strRef>
              <c:f>'Chart data'!$S$48</c:f>
              <c:strCache>
                <c:ptCount val="1"/>
                <c:pt idx="0">
                  <c:v>Default price-quality path</c:v>
                </c:pt>
              </c:strCache>
            </c:strRef>
          </c:tx>
          <c:spPr>
            <a:solidFill>
              <a:srgbClr val="3E8A92"/>
            </a:solidFill>
          </c:spPr>
          <c:invertIfNegative val="0"/>
          <c:cat>
            <c:strRef>
              <c:f>'Chart data'!$R$49:$R$77</c:f>
              <c:strCache>
                <c:ptCount val="29"/>
                <c:pt idx="0">
                  <c:v>Scanpower</c:v>
                </c:pt>
                <c:pt idx="1">
                  <c:v>Electra</c:v>
                </c:pt>
                <c:pt idx="2">
                  <c:v>Network Tasman</c:v>
                </c:pt>
                <c:pt idx="3">
                  <c:v>Alpine Energy</c:v>
                </c:pt>
                <c:pt idx="4">
                  <c:v>Wellington Electricity</c:v>
                </c:pt>
                <c:pt idx="5">
                  <c:v>Nelson Electricity</c:v>
                </c:pt>
                <c:pt idx="6">
                  <c:v>MainPower</c:v>
                </c:pt>
                <c:pt idx="7">
                  <c:v>Counties Power</c:v>
                </c:pt>
                <c:pt idx="8">
                  <c:v>OtagoNet</c:v>
                </c:pt>
                <c:pt idx="9">
                  <c:v>Orion NZ</c:v>
                </c:pt>
                <c:pt idx="10">
                  <c:v>Powerco</c:v>
                </c:pt>
                <c:pt idx="11">
                  <c:v>Vector Lines</c:v>
                </c:pt>
                <c:pt idx="12">
                  <c:v>Electricity Ashburton</c:v>
                </c:pt>
                <c:pt idx="13">
                  <c:v>Waipa Networks</c:v>
                </c:pt>
                <c:pt idx="14">
                  <c:v>Unison Networks</c:v>
                </c:pt>
                <c:pt idx="15">
                  <c:v>Electricity Invercargill</c:v>
                </c:pt>
                <c:pt idx="16">
                  <c:v>Horizon Energy</c:v>
                </c:pt>
                <c:pt idx="17">
                  <c:v>Aurora Energy</c:v>
                </c:pt>
                <c:pt idx="18">
                  <c:v>WEL Networks</c:v>
                </c:pt>
                <c:pt idx="19">
                  <c:v>Northpower</c:v>
                </c:pt>
                <c:pt idx="20">
                  <c:v>Eastland Network</c:v>
                </c:pt>
                <c:pt idx="21">
                  <c:v>Top Energy</c:v>
                </c:pt>
                <c:pt idx="22">
                  <c:v>Centralines</c:v>
                </c:pt>
                <c:pt idx="23">
                  <c:v>The Lines Company</c:v>
                </c:pt>
                <c:pt idx="24">
                  <c:v>The Power Company</c:v>
                </c:pt>
                <c:pt idx="25">
                  <c:v>Buller Electricity</c:v>
                </c:pt>
                <c:pt idx="26">
                  <c:v>Network Waitaki</c:v>
                </c:pt>
                <c:pt idx="27">
                  <c:v>Westpower</c:v>
                </c:pt>
                <c:pt idx="28">
                  <c:v>Marlborough Lines</c:v>
                </c:pt>
              </c:strCache>
            </c:strRef>
          </c:cat>
          <c:val>
            <c:numRef>
              <c:f>'Chart data'!$S$49:$S$77</c:f>
              <c:numCache>
                <c:formatCode>_(* #,##0.00_);_(* \(#,##0.00\);_(* "–"???_);_(* @_)</c:formatCode>
                <c:ptCount val="29"/>
                <c:pt idx="0">
                  <c:v>0</c:v>
                </c:pt>
                <c:pt idx="1">
                  <c:v>0</c:v>
                </c:pt>
                <c:pt idx="2">
                  <c:v>8.3713665604591405</c:v>
                </c:pt>
                <c:pt idx="3">
                  <c:v>8.1641086935997027</c:v>
                </c:pt>
                <c:pt idx="4">
                  <c:v>8.0735775828361511</c:v>
                </c:pt>
                <c:pt idx="5">
                  <c:v>7.8456476330757159</c:v>
                </c:pt>
                <c:pt idx="6">
                  <c:v>0</c:v>
                </c:pt>
                <c:pt idx="7">
                  <c:v>0</c:v>
                </c:pt>
                <c:pt idx="8">
                  <c:v>7.4018034338951129</c:v>
                </c:pt>
                <c:pt idx="9">
                  <c:v>0</c:v>
                </c:pt>
                <c:pt idx="10">
                  <c:v>7.1314582228660592</c:v>
                </c:pt>
                <c:pt idx="11">
                  <c:v>7.0359322428703308</c:v>
                </c:pt>
                <c:pt idx="12">
                  <c:v>6.8603917956352216</c:v>
                </c:pt>
                <c:pt idx="13">
                  <c:v>0</c:v>
                </c:pt>
                <c:pt idx="14">
                  <c:v>6.783410608768464</c:v>
                </c:pt>
                <c:pt idx="15">
                  <c:v>6.7422375082969666</c:v>
                </c:pt>
                <c:pt idx="16">
                  <c:v>6.554950177669526</c:v>
                </c:pt>
                <c:pt idx="17">
                  <c:v>6.5177473425865173</c:v>
                </c:pt>
                <c:pt idx="18">
                  <c:v>0</c:v>
                </c:pt>
                <c:pt idx="19">
                  <c:v>0</c:v>
                </c:pt>
                <c:pt idx="20">
                  <c:v>6.1593458056449908</c:v>
                </c:pt>
                <c:pt idx="21">
                  <c:v>5.8486852049827576</c:v>
                </c:pt>
                <c:pt idx="22">
                  <c:v>5.5034896731376639</c:v>
                </c:pt>
                <c:pt idx="23">
                  <c:v>5.3291299939155587</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0-96DD-422D-A8C7-F9FD82D510DC}"/>
            </c:ext>
          </c:extLst>
        </c:ser>
        <c:ser>
          <c:idx val="1"/>
          <c:order val="1"/>
          <c:tx>
            <c:strRef>
              <c:f>'Chart data'!$T$48</c:f>
              <c:strCache>
                <c:ptCount val="1"/>
                <c:pt idx="0">
                  <c:v>Information disclosure only</c:v>
                </c:pt>
              </c:strCache>
            </c:strRef>
          </c:tx>
          <c:spPr>
            <a:solidFill>
              <a:srgbClr val="B0A978"/>
            </a:solidFill>
          </c:spPr>
          <c:invertIfNegative val="0"/>
          <c:cat>
            <c:strRef>
              <c:f>'Chart data'!$R$49:$R$77</c:f>
              <c:strCache>
                <c:ptCount val="29"/>
                <c:pt idx="0">
                  <c:v>Scanpower</c:v>
                </c:pt>
                <c:pt idx="1">
                  <c:v>Electra</c:v>
                </c:pt>
                <c:pt idx="2">
                  <c:v>Network Tasman</c:v>
                </c:pt>
                <c:pt idx="3">
                  <c:v>Alpine Energy</c:v>
                </c:pt>
                <c:pt idx="4">
                  <c:v>Wellington Electricity</c:v>
                </c:pt>
                <c:pt idx="5">
                  <c:v>Nelson Electricity</c:v>
                </c:pt>
                <c:pt idx="6">
                  <c:v>MainPower</c:v>
                </c:pt>
                <c:pt idx="7">
                  <c:v>Counties Power</c:v>
                </c:pt>
                <c:pt idx="8">
                  <c:v>OtagoNet</c:v>
                </c:pt>
                <c:pt idx="9">
                  <c:v>Orion NZ</c:v>
                </c:pt>
                <c:pt idx="10">
                  <c:v>Powerco</c:v>
                </c:pt>
                <c:pt idx="11">
                  <c:v>Vector Lines</c:v>
                </c:pt>
                <c:pt idx="12">
                  <c:v>Electricity Ashburton</c:v>
                </c:pt>
                <c:pt idx="13">
                  <c:v>Waipa Networks</c:v>
                </c:pt>
                <c:pt idx="14">
                  <c:v>Unison Networks</c:v>
                </c:pt>
                <c:pt idx="15">
                  <c:v>Electricity Invercargill</c:v>
                </c:pt>
                <c:pt idx="16">
                  <c:v>Horizon Energy</c:v>
                </c:pt>
                <c:pt idx="17">
                  <c:v>Aurora Energy</c:v>
                </c:pt>
                <c:pt idx="18">
                  <c:v>WEL Networks</c:v>
                </c:pt>
                <c:pt idx="19">
                  <c:v>Northpower</c:v>
                </c:pt>
                <c:pt idx="20">
                  <c:v>Eastland Network</c:v>
                </c:pt>
                <c:pt idx="21">
                  <c:v>Top Energy</c:v>
                </c:pt>
                <c:pt idx="22">
                  <c:v>Centralines</c:v>
                </c:pt>
                <c:pt idx="23">
                  <c:v>The Lines Company</c:v>
                </c:pt>
                <c:pt idx="24">
                  <c:v>The Power Company</c:v>
                </c:pt>
                <c:pt idx="25">
                  <c:v>Buller Electricity</c:v>
                </c:pt>
                <c:pt idx="26">
                  <c:v>Network Waitaki</c:v>
                </c:pt>
                <c:pt idx="27">
                  <c:v>Westpower</c:v>
                </c:pt>
                <c:pt idx="28">
                  <c:v>Marlborough Lines</c:v>
                </c:pt>
              </c:strCache>
            </c:strRef>
          </c:cat>
          <c:val>
            <c:numRef>
              <c:f>'Chart data'!$T$49:$T$77</c:f>
              <c:numCache>
                <c:formatCode>_(* #,##0.00_);_(* \(#,##0.00\);_(* "–"???_);_(* @_)</c:formatCode>
                <c:ptCount val="29"/>
                <c:pt idx="0">
                  <c:v>8.6973342299461383</c:v>
                </c:pt>
                <c:pt idx="1">
                  <c:v>8.5058596730232239</c:v>
                </c:pt>
                <c:pt idx="2">
                  <c:v>0</c:v>
                </c:pt>
                <c:pt idx="3">
                  <c:v>0</c:v>
                </c:pt>
                <c:pt idx="4">
                  <c:v>0</c:v>
                </c:pt>
                <c:pt idx="5">
                  <c:v>0</c:v>
                </c:pt>
                <c:pt idx="6">
                  <c:v>7.7743104100227391</c:v>
                </c:pt>
                <c:pt idx="7">
                  <c:v>7.5588443875312814</c:v>
                </c:pt>
                <c:pt idx="8">
                  <c:v>0</c:v>
                </c:pt>
                <c:pt idx="9">
                  <c:v>0</c:v>
                </c:pt>
                <c:pt idx="10">
                  <c:v>0</c:v>
                </c:pt>
                <c:pt idx="11">
                  <c:v>0</c:v>
                </c:pt>
                <c:pt idx="12">
                  <c:v>0</c:v>
                </c:pt>
                <c:pt idx="13">
                  <c:v>6.8549028038978568</c:v>
                </c:pt>
                <c:pt idx="14">
                  <c:v>0</c:v>
                </c:pt>
                <c:pt idx="15">
                  <c:v>0</c:v>
                </c:pt>
                <c:pt idx="16">
                  <c:v>0</c:v>
                </c:pt>
                <c:pt idx="17">
                  <c:v>0</c:v>
                </c:pt>
                <c:pt idx="18">
                  <c:v>6.4597216248512277</c:v>
                </c:pt>
                <c:pt idx="19">
                  <c:v>6.1612531542778033</c:v>
                </c:pt>
                <c:pt idx="20">
                  <c:v>0</c:v>
                </c:pt>
                <c:pt idx="21">
                  <c:v>0</c:v>
                </c:pt>
                <c:pt idx="22">
                  <c:v>0</c:v>
                </c:pt>
                <c:pt idx="23">
                  <c:v>0</c:v>
                </c:pt>
                <c:pt idx="24">
                  <c:v>4.8088034987449637</c:v>
                </c:pt>
                <c:pt idx="25">
                  <c:v>4.5875385403633118</c:v>
                </c:pt>
                <c:pt idx="26">
                  <c:v>3.9169111847877525</c:v>
                </c:pt>
                <c:pt idx="27">
                  <c:v>3.4027919173240662</c:v>
                </c:pt>
                <c:pt idx="28">
                  <c:v>2.643084824085236</c:v>
                </c:pt>
              </c:numCache>
            </c:numRef>
          </c:val>
          <c:extLst xmlns:c16r2="http://schemas.microsoft.com/office/drawing/2015/06/chart">
            <c:ext xmlns:c16="http://schemas.microsoft.com/office/drawing/2014/chart" uri="{C3380CC4-5D6E-409C-BE32-E72D297353CC}">
              <c16:uniqueId val="{00000001-96DD-422D-A8C7-F9FD82D510DC}"/>
            </c:ext>
          </c:extLst>
        </c:ser>
        <c:ser>
          <c:idx val="2"/>
          <c:order val="2"/>
          <c:tx>
            <c:strRef>
              <c:f>'Chart data'!$U$48</c:f>
              <c:strCache>
                <c:ptCount val="1"/>
                <c:pt idx="0">
                  <c:v>Customised price-quality path</c:v>
                </c:pt>
              </c:strCache>
            </c:strRef>
          </c:tx>
          <c:spPr>
            <a:solidFill>
              <a:srgbClr val="D97E55"/>
            </a:solidFill>
          </c:spPr>
          <c:invertIfNegative val="0"/>
          <c:cat>
            <c:strRef>
              <c:f>'Chart data'!$R$49:$R$77</c:f>
              <c:strCache>
                <c:ptCount val="29"/>
                <c:pt idx="0">
                  <c:v>Scanpower</c:v>
                </c:pt>
                <c:pt idx="1">
                  <c:v>Electra</c:v>
                </c:pt>
                <c:pt idx="2">
                  <c:v>Network Tasman</c:v>
                </c:pt>
                <c:pt idx="3">
                  <c:v>Alpine Energy</c:v>
                </c:pt>
                <c:pt idx="4">
                  <c:v>Wellington Electricity</c:v>
                </c:pt>
                <c:pt idx="5">
                  <c:v>Nelson Electricity</c:v>
                </c:pt>
                <c:pt idx="6">
                  <c:v>MainPower</c:v>
                </c:pt>
                <c:pt idx="7">
                  <c:v>Counties Power</c:v>
                </c:pt>
                <c:pt idx="8">
                  <c:v>OtagoNet</c:v>
                </c:pt>
                <c:pt idx="9">
                  <c:v>Orion NZ</c:v>
                </c:pt>
                <c:pt idx="10">
                  <c:v>Powerco</c:v>
                </c:pt>
                <c:pt idx="11">
                  <c:v>Vector Lines</c:v>
                </c:pt>
                <c:pt idx="12">
                  <c:v>Electricity Ashburton</c:v>
                </c:pt>
                <c:pt idx="13">
                  <c:v>Waipa Networks</c:v>
                </c:pt>
                <c:pt idx="14">
                  <c:v>Unison Networks</c:v>
                </c:pt>
                <c:pt idx="15">
                  <c:v>Electricity Invercargill</c:v>
                </c:pt>
                <c:pt idx="16">
                  <c:v>Horizon Energy</c:v>
                </c:pt>
                <c:pt idx="17">
                  <c:v>Aurora Energy</c:v>
                </c:pt>
                <c:pt idx="18">
                  <c:v>WEL Networks</c:v>
                </c:pt>
                <c:pt idx="19">
                  <c:v>Northpower</c:v>
                </c:pt>
                <c:pt idx="20">
                  <c:v>Eastland Network</c:v>
                </c:pt>
                <c:pt idx="21">
                  <c:v>Top Energy</c:v>
                </c:pt>
                <c:pt idx="22">
                  <c:v>Centralines</c:v>
                </c:pt>
                <c:pt idx="23">
                  <c:v>The Lines Company</c:v>
                </c:pt>
                <c:pt idx="24">
                  <c:v>The Power Company</c:v>
                </c:pt>
                <c:pt idx="25">
                  <c:v>Buller Electricity</c:v>
                </c:pt>
                <c:pt idx="26">
                  <c:v>Network Waitaki</c:v>
                </c:pt>
                <c:pt idx="27">
                  <c:v>Westpower</c:v>
                </c:pt>
                <c:pt idx="28">
                  <c:v>Marlborough Lines</c:v>
                </c:pt>
              </c:strCache>
            </c:strRef>
          </c:cat>
          <c:val>
            <c:numRef>
              <c:f>'Chart data'!$U$49:$U$77</c:f>
              <c:numCache>
                <c:formatCode>_(* #,##0.00_);_(* \(#,##0.00\);_(* "–"???_);_(* @_)</c:formatCode>
                <c:ptCount val="29"/>
                <c:pt idx="0">
                  <c:v>0</c:v>
                </c:pt>
                <c:pt idx="1">
                  <c:v>0</c:v>
                </c:pt>
                <c:pt idx="2">
                  <c:v>0</c:v>
                </c:pt>
                <c:pt idx="3">
                  <c:v>0</c:v>
                </c:pt>
                <c:pt idx="4">
                  <c:v>0</c:v>
                </c:pt>
                <c:pt idx="5">
                  <c:v>0</c:v>
                </c:pt>
                <c:pt idx="6">
                  <c:v>0</c:v>
                </c:pt>
                <c:pt idx="7">
                  <c:v>0</c:v>
                </c:pt>
                <c:pt idx="8">
                  <c:v>0</c:v>
                </c:pt>
                <c:pt idx="9">
                  <c:v>7.1431246399879464</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2-96DD-422D-A8C7-F9FD82D510DC}"/>
            </c:ext>
          </c:extLst>
        </c:ser>
        <c:dLbls>
          <c:showLegendKey val="0"/>
          <c:showVal val="0"/>
          <c:showCatName val="0"/>
          <c:showSerName val="0"/>
          <c:showPercent val="0"/>
          <c:showBubbleSize val="0"/>
        </c:dLbls>
        <c:gapWidth val="150"/>
        <c:overlap val="100"/>
        <c:axId val="172425984"/>
        <c:axId val="172427520"/>
      </c:barChart>
      <c:catAx>
        <c:axId val="172425984"/>
        <c:scaling>
          <c:orientation val="maxMin"/>
        </c:scaling>
        <c:delete val="0"/>
        <c:axPos val="l"/>
        <c:numFmt formatCode="General" sourceLinked="1"/>
        <c:majorTickMark val="out"/>
        <c:minorTickMark val="none"/>
        <c:tickLblPos val="low"/>
        <c:txPr>
          <a:bodyPr/>
          <a:lstStyle/>
          <a:p>
            <a:pPr>
              <a:defRPr sz="800"/>
            </a:pPr>
            <a:endParaRPr lang="en-US"/>
          </a:p>
        </c:txPr>
        <c:crossAx val="172427520"/>
        <c:crosses val="autoZero"/>
        <c:auto val="1"/>
        <c:lblAlgn val="ctr"/>
        <c:lblOffset val="100"/>
        <c:noMultiLvlLbl val="0"/>
      </c:catAx>
      <c:valAx>
        <c:axId val="172427520"/>
        <c:scaling>
          <c:orientation val="minMax"/>
        </c:scaling>
        <c:delete val="0"/>
        <c:axPos val="b"/>
        <c:majorGridlines>
          <c:spPr>
            <a:ln w="6350">
              <a:solidFill>
                <a:schemeClr val="accent1"/>
              </a:solidFill>
            </a:ln>
          </c:spPr>
        </c:majorGridlines>
        <c:numFmt formatCode="#,##0" sourceLinked="0"/>
        <c:majorTickMark val="out"/>
        <c:minorTickMark val="none"/>
        <c:tickLblPos val="nextTo"/>
        <c:spPr>
          <a:ln>
            <a:noFill/>
          </a:ln>
        </c:spPr>
        <c:txPr>
          <a:bodyPr/>
          <a:lstStyle/>
          <a:p>
            <a:pPr>
              <a:defRPr sz="800"/>
            </a:pPr>
            <a:endParaRPr lang="en-US"/>
          </a:p>
        </c:txPr>
        <c:crossAx val="172425984"/>
        <c:crosses val="max"/>
        <c:crossBetween val="between"/>
        <c:majorUnit val="1"/>
      </c:valAx>
    </c:plotArea>
    <c:legend>
      <c:legendPos val="r"/>
      <c:layout>
        <c:manualLayout>
          <c:xMode val="edge"/>
          <c:yMode val="edge"/>
          <c:x val="0.64117533459085596"/>
          <c:y val="0.7866333333333333"/>
          <c:w val="0.32643941435372315"/>
          <c:h val="0.13969160583941606"/>
        </c:manualLayout>
      </c:layout>
      <c:overlay val="0"/>
      <c:spPr>
        <a:solidFill>
          <a:schemeClr val="bg1"/>
        </a:solidFill>
      </c:spPr>
      <c:txPr>
        <a:bodyPr/>
        <a:lstStyle/>
        <a:p>
          <a:pPr>
            <a:defRPr sz="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0.38274747474747473"/>
          <c:y val="2.2460506785411366E-2"/>
          <c:w val="0.5943448773448774"/>
          <c:h val="0.92679071246819333"/>
        </c:manualLayout>
      </c:layout>
      <c:barChart>
        <c:barDir val="bar"/>
        <c:grouping val="stacked"/>
        <c:varyColors val="0"/>
        <c:ser>
          <c:idx val="0"/>
          <c:order val="0"/>
          <c:tx>
            <c:v>Real return</c:v>
          </c:tx>
          <c:spPr>
            <a:solidFill>
              <a:srgbClr val="3E8A92"/>
            </a:solidFill>
          </c:spPr>
          <c:invertIfNegative val="0"/>
          <c:cat>
            <c:strRef>
              <c:f>'Chart data'!$F$67:$F$82</c:f>
              <c:strCache>
                <c:ptCount val="16"/>
                <c:pt idx="0">
                  <c:v>Network Tasman</c:v>
                </c:pt>
                <c:pt idx="1">
                  <c:v>Alpine Energy</c:v>
                </c:pt>
                <c:pt idx="2">
                  <c:v>Wellington Electricity</c:v>
                </c:pt>
                <c:pt idx="3">
                  <c:v>Nelson Electricity</c:v>
                </c:pt>
                <c:pt idx="4">
                  <c:v>OtagoNet</c:v>
                </c:pt>
                <c:pt idx="5">
                  <c:v>Powerco</c:v>
                </c:pt>
                <c:pt idx="6">
                  <c:v>Vector Lines</c:v>
                </c:pt>
                <c:pt idx="7">
                  <c:v>Electricity Ashburton</c:v>
                </c:pt>
                <c:pt idx="8">
                  <c:v>Unison Networks</c:v>
                </c:pt>
                <c:pt idx="9">
                  <c:v>Electricity Invercargill</c:v>
                </c:pt>
                <c:pt idx="10">
                  <c:v>Horizon Energy</c:v>
                </c:pt>
                <c:pt idx="11">
                  <c:v>Aurora Energy</c:v>
                </c:pt>
                <c:pt idx="12">
                  <c:v>Eastland Network</c:v>
                </c:pt>
                <c:pt idx="13">
                  <c:v>Top Energy</c:v>
                </c:pt>
                <c:pt idx="14">
                  <c:v>Centralines</c:v>
                </c:pt>
                <c:pt idx="15">
                  <c:v>The Lines Company</c:v>
                </c:pt>
              </c:strCache>
            </c:strRef>
          </c:cat>
          <c:val>
            <c:numRef>
              <c:f>'Chart data'!$G$67:$G$82</c:f>
              <c:numCache>
                <c:formatCode>_(* #,##0.00%_);_(* \(#,##0.00%\);_(* "–"???_);_(* @_)</c:formatCode>
                <c:ptCount val="16"/>
                <c:pt idx="0">
                  <c:v>8.2150527834892309E-2</c:v>
                </c:pt>
                <c:pt idx="1">
                  <c:v>7.9900494217872639E-2</c:v>
                </c:pt>
                <c:pt idx="2">
                  <c:v>7.8780016303062458E-2</c:v>
                </c:pt>
                <c:pt idx="3">
                  <c:v>7.6093688607215909E-2</c:v>
                </c:pt>
                <c:pt idx="4">
                  <c:v>7.1564164757728574E-2</c:v>
                </c:pt>
                <c:pt idx="5">
                  <c:v>6.8571266531944272E-2</c:v>
                </c:pt>
                <c:pt idx="6">
                  <c:v>6.7197403311729451E-2</c:v>
                </c:pt>
                <c:pt idx="7">
                  <c:v>6.4917042851448059E-2</c:v>
                </c:pt>
                <c:pt idx="8">
                  <c:v>6.4868494868278503E-2</c:v>
                </c:pt>
                <c:pt idx="9">
                  <c:v>6.4339944720268258E-2</c:v>
                </c:pt>
                <c:pt idx="10">
                  <c:v>6.2577810883522017E-2</c:v>
                </c:pt>
                <c:pt idx="11">
                  <c:v>6.175639331340789E-2</c:v>
                </c:pt>
                <c:pt idx="12">
                  <c:v>5.8199992775917059E-2</c:v>
                </c:pt>
                <c:pt idx="13">
                  <c:v>5.452627241611481E-2</c:v>
                </c:pt>
                <c:pt idx="14">
                  <c:v>5.1118347048759463E-2</c:v>
                </c:pt>
                <c:pt idx="15">
                  <c:v>4.988501369953155E-2</c:v>
                </c:pt>
              </c:numCache>
            </c:numRef>
          </c:val>
          <c:extLst xmlns:c16r2="http://schemas.microsoft.com/office/drawing/2015/06/chart">
            <c:ext xmlns:c16="http://schemas.microsoft.com/office/drawing/2014/chart" uri="{C3380CC4-5D6E-409C-BE32-E72D297353CC}">
              <c16:uniqueId val="{00000000-E1EE-43A0-880B-9CA86FA36BAC}"/>
            </c:ext>
          </c:extLst>
        </c:ser>
        <c:ser>
          <c:idx val="1"/>
          <c:order val="1"/>
          <c:tx>
            <c:v>Revaluations</c:v>
          </c:tx>
          <c:spPr>
            <a:solidFill>
              <a:schemeClr val="accent1">
                <a:lumMod val="75000"/>
              </a:schemeClr>
            </a:solidFill>
          </c:spPr>
          <c:invertIfNegative val="0"/>
          <c:cat>
            <c:strRef>
              <c:f>'Chart data'!$F$67:$F$82</c:f>
              <c:strCache>
                <c:ptCount val="16"/>
                <c:pt idx="0">
                  <c:v>Network Tasman</c:v>
                </c:pt>
                <c:pt idx="1">
                  <c:v>Alpine Energy</c:v>
                </c:pt>
                <c:pt idx="2">
                  <c:v>Wellington Electricity</c:v>
                </c:pt>
                <c:pt idx="3">
                  <c:v>Nelson Electricity</c:v>
                </c:pt>
                <c:pt idx="4">
                  <c:v>OtagoNet</c:v>
                </c:pt>
                <c:pt idx="5">
                  <c:v>Powerco</c:v>
                </c:pt>
                <c:pt idx="6">
                  <c:v>Vector Lines</c:v>
                </c:pt>
                <c:pt idx="7">
                  <c:v>Electricity Ashburton</c:v>
                </c:pt>
                <c:pt idx="8">
                  <c:v>Unison Networks</c:v>
                </c:pt>
                <c:pt idx="9">
                  <c:v>Electricity Invercargill</c:v>
                </c:pt>
                <c:pt idx="10">
                  <c:v>Horizon Energy</c:v>
                </c:pt>
                <c:pt idx="11">
                  <c:v>Aurora Energy</c:v>
                </c:pt>
                <c:pt idx="12">
                  <c:v>Eastland Network</c:v>
                </c:pt>
                <c:pt idx="13">
                  <c:v>Top Energy</c:v>
                </c:pt>
                <c:pt idx="14">
                  <c:v>Centralines</c:v>
                </c:pt>
                <c:pt idx="15">
                  <c:v>The Lines Company</c:v>
                </c:pt>
              </c:strCache>
            </c:strRef>
          </c:cat>
          <c:val>
            <c:numRef>
              <c:f>'Chart data'!$H$67:$H$82</c:f>
              <c:numCache>
                <c:formatCode>_(* #,##0.00%_);_(* \(#,##0.00%\);_(* "–"???_);_(* @_)</c:formatCode>
                <c:ptCount val="16"/>
                <c:pt idx="0">
                  <c:v>1.5631377696990966E-3</c:v>
                </c:pt>
                <c:pt idx="1">
                  <c:v>1.7405927181243896E-3</c:v>
                </c:pt>
                <c:pt idx="2">
                  <c:v>1.9557595252990543E-3</c:v>
                </c:pt>
                <c:pt idx="3">
                  <c:v>2.3627877235412511E-3</c:v>
                </c:pt>
                <c:pt idx="4">
                  <c:v>2.4538695812225519E-3</c:v>
                </c:pt>
                <c:pt idx="5">
                  <c:v>2.7433156967163175E-3</c:v>
                </c:pt>
                <c:pt idx="6">
                  <c:v>3.161919116973859E-3</c:v>
                </c:pt>
                <c:pt idx="7">
                  <c:v>3.686875104904157E-3</c:v>
                </c:pt>
                <c:pt idx="8">
                  <c:v>2.9656112194061369E-3</c:v>
                </c:pt>
                <c:pt idx="9">
                  <c:v>3.0824303627014073E-3</c:v>
                </c:pt>
                <c:pt idx="10">
                  <c:v>2.9716908931732445E-3</c:v>
                </c:pt>
                <c:pt idx="11">
                  <c:v>3.4210801124572843E-3</c:v>
                </c:pt>
                <c:pt idx="12">
                  <c:v>3.3934652805328457E-3</c:v>
                </c:pt>
                <c:pt idx="13">
                  <c:v>3.9605796337127686E-3</c:v>
                </c:pt>
                <c:pt idx="14">
                  <c:v>3.916549682617179E-3</c:v>
                </c:pt>
                <c:pt idx="15">
                  <c:v>3.4062862396240412E-3</c:v>
                </c:pt>
              </c:numCache>
            </c:numRef>
          </c:val>
          <c:extLst xmlns:c16r2="http://schemas.microsoft.com/office/drawing/2015/06/chart">
            <c:ext xmlns:c16="http://schemas.microsoft.com/office/drawing/2014/chart" uri="{C3380CC4-5D6E-409C-BE32-E72D297353CC}">
              <c16:uniqueId val="{00000001-E1EE-43A0-880B-9CA86FA36BAC}"/>
            </c:ext>
          </c:extLst>
        </c:ser>
        <c:ser>
          <c:idx val="2"/>
          <c:order val="2"/>
          <c:spPr>
            <a:noFill/>
          </c:spPr>
          <c:invertIfNegative val="0"/>
          <c:dLbls>
            <c:numFmt formatCode="0.00%" sourceLinked="0"/>
            <c:spPr>
              <a:noFill/>
              <a:ln>
                <a:noFill/>
              </a:ln>
              <a:effectLst/>
            </c:spPr>
            <c:txPr>
              <a:bodyPr/>
              <a:lstStyle/>
              <a:p>
                <a:pPr>
                  <a:defRPr sz="800"/>
                </a:pPr>
                <a:endParaRPr lang="en-US"/>
              </a:p>
            </c:tx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'Chart data'!$F$67:$F$82</c:f>
              <c:strCache>
                <c:ptCount val="16"/>
                <c:pt idx="0">
                  <c:v>Network Tasman</c:v>
                </c:pt>
                <c:pt idx="1">
                  <c:v>Alpine Energy</c:v>
                </c:pt>
                <c:pt idx="2">
                  <c:v>Wellington Electricity</c:v>
                </c:pt>
                <c:pt idx="3">
                  <c:v>Nelson Electricity</c:v>
                </c:pt>
                <c:pt idx="4">
                  <c:v>OtagoNet</c:v>
                </c:pt>
                <c:pt idx="5">
                  <c:v>Powerco</c:v>
                </c:pt>
                <c:pt idx="6">
                  <c:v>Vector Lines</c:v>
                </c:pt>
                <c:pt idx="7">
                  <c:v>Electricity Ashburton</c:v>
                </c:pt>
                <c:pt idx="8">
                  <c:v>Unison Networks</c:v>
                </c:pt>
                <c:pt idx="9">
                  <c:v>Electricity Invercargill</c:v>
                </c:pt>
                <c:pt idx="10">
                  <c:v>Horizon Energy</c:v>
                </c:pt>
                <c:pt idx="11">
                  <c:v>Aurora Energy</c:v>
                </c:pt>
                <c:pt idx="12">
                  <c:v>Eastland Network</c:v>
                </c:pt>
                <c:pt idx="13">
                  <c:v>Top Energy</c:v>
                </c:pt>
                <c:pt idx="14">
                  <c:v>Centralines</c:v>
                </c:pt>
                <c:pt idx="15">
                  <c:v>The Lines Company</c:v>
                </c:pt>
              </c:strCache>
            </c:strRef>
          </c:cat>
          <c:val>
            <c:numRef>
              <c:f>'Chart data'!$I$67:$I$82</c:f>
              <c:numCache>
                <c:formatCode>_(* #,##0.00%_);_(* \(#,##0.00%\);_(* "–"???_);_(* @_)</c:formatCode>
                <c:ptCount val="16"/>
                <c:pt idx="0">
                  <c:v>8.3713665604591411E-2</c:v>
                </c:pt>
                <c:pt idx="1">
                  <c:v>8.1641086935997031E-2</c:v>
                </c:pt>
                <c:pt idx="2">
                  <c:v>8.0735775828361514E-2</c:v>
                </c:pt>
                <c:pt idx="3">
                  <c:v>7.8456476330757155E-2</c:v>
                </c:pt>
                <c:pt idx="4">
                  <c:v>7.4018034338951127E-2</c:v>
                </c:pt>
                <c:pt idx="5">
                  <c:v>7.1314582228660592E-2</c:v>
                </c:pt>
                <c:pt idx="6">
                  <c:v>7.0359322428703311E-2</c:v>
                </c:pt>
                <c:pt idx="7">
                  <c:v>6.860391795635222E-2</c:v>
                </c:pt>
                <c:pt idx="8">
                  <c:v>6.7834106087684642E-2</c:v>
                </c:pt>
                <c:pt idx="9">
                  <c:v>6.7422375082969666E-2</c:v>
                </c:pt>
                <c:pt idx="10">
                  <c:v>6.554950177669526E-2</c:v>
                </c:pt>
                <c:pt idx="11">
                  <c:v>6.5177473425865176E-2</c:v>
                </c:pt>
                <c:pt idx="12">
                  <c:v>6.1593458056449904E-2</c:v>
                </c:pt>
                <c:pt idx="13">
                  <c:v>5.8486852049827578E-2</c:v>
                </c:pt>
                <c:pt idx="14">
                  <c:v>5.503489673137664E-2</c:v>
                </c:pt>
                <c:pt idx="15">
                  <c:v>5.3291299939155594E-2</c:v>
                </c:pt>
              </c:numCache>
            </c:numRef>
          </c:val>
          <c:extLst xmlns:c16r2="http://schemas.microsoft.com/office/drawing/2015/06/chart">
            <c:ext xmlns:c16="http://schemas.microsoft.com/office/drawing/2014/chart" uri="{C3380CC4-5D6E-409C-BE32-E72D297353CC}">
              <c16:uniqueId val="{00000002-E1EE-43A0-880B-9CA86FA36BAC}"/>
            </c:ext>
          </c:extLst>
        </c:ser>
        <c:dLbls>
          <c:showLegendKey val="0"/>
          <c:showVal val="0"/>
          <c:showCatName val="0"/>
          <c:showSerName val="0"/>
          <c:showPercent val="0"/>
          <c:showBubbleSize val="0"/>
        </c:dLbls>
        <c:gapWidth val="150"/>
        <c:overlap val="100"/>
        <c:axId val="172470272"/>
        <c:axId val="172471808"/>
      </c:barChart>
      <c:catAx>
        <c:axId val="172470272"/>
        <c:scaling>
          <c:orientation val="maxMin"/>
        </c:scaling>
        <c:delete val="0"/>
        <c:axPos val="l"/>
        <c:numFmt formatCode="General" sourceLinked="1"/>
        <c:majorTickMark val="out"/>
        <c:minorTickMark val="none"/>
        <c:tickLblPos val="low"/>
        <c:txPr>
          <a:bodyPr/>
          <a:lstStyle/>
          <a:p>
            <a:pPr>
              <a:defRPr sz="800"/>
            </a:pPr>
            <a:endParaRPr lang="en-US"/>
          </a:p>
        </c:txPr>
        <c:crossAx val="172471808"/>
        <c:crosses val="autoZero"/>
        <c:auto val="1"/>
        <c:lblAlgn val="ctr"/>
        <c:lblOffset val="100"/>
        <c:noMultiLvlLbl val="0"/>
      </c:catAx>
      <c:valAx>
        <c:axId val="172471808"/>
        <c:scaling>
          <c:orientation val="minMax"/>
          <c:max val="0.1"/>
          <c:min val="0"/>
        </c:scaling>
        <c:delete val="1"/>
        <c:axPos val="b"/>
        <c:numFmt formatCode="0.00%" sourceLinked="0"/>
        <c:majorTickMark val="out"/>
        <c:minorTickMark val="none"/>
        <c:tickLblPos val="nextTo"/>
        <c:crossAx val="172470272"/>
        <c:crosses val="max"/>
        <c:crossBetween val="between"/>
        <c:majorUnit val="7.3400000000000007E-2"/>
      </c:valAx>
    </c:plotArea>
    <c:legend>
      <c:legendPos val="b"/>
      <c:layout>
        <c:manualLayout>
          <c:xMode val="edge"/>
          <c:yMode val="edge"/>
          <c:x val="0.38765440115440114"/>
          <c:y val="0.95932649491094146"/>
          <c:w val="0.55914285714285727"/>
          <c:h val="4.0673505089058523E-2"/>
        </c:manualLayout>
      </c:layout>
      <c:overlay val="0"/>
      <c:txPr>
        <a:bodyPr/>
        <a:lstStyle/>
        <a:p>
          <a:pPr>
            <a:defRPr sz="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0.35983982683982685"/>
          <c:y val="2.1934637404580154E-2"/>
          <c:w val="0.64016017316017315"/>
          <c:h val="0.95613072519083975"/>
        </c:manualLayout>
      </c:layout>
      <c:barChart>
        <c:barDir val="bar"/>
        <c:grouping val="clustered"/>
        <c:varyColors val="0"/>
        <c:ser>
          <c:idx val="0"/>
          <c:order val="0"/>
          <c:spPr>
            <a:solidFill>
              <a:srgbClr val="3E8A92"/>
            </a:solidFill>
          </c:spPr>
          <c:invertIfNegative val="0"/>
          <c:dLbls>
            <c:numFmt formatCode="0.00%" sourceLinked="0"/>
            <c:spPr>
              <a:noFill/>
              <a:ln>
                <a:noFill/>
              </a:ln>
              <a:effectLst/>
            </c:spPr>
            <c:txPr>
              <a:bodyPr/>
              <a:lstStyle/>
              <a:p>
                <a:pPr>
                  <a:defRPr sz="800"/>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'Chart data'!$J$67:$J$82</c:f>
              <c:strCache>
                <c:ptCount val="16"/>
                <c:pt idx="0">
                  <c:v>Network Tasman</c:v>
                </c:pt>
                <c:pt idx="1">
                  <c:v>Alpine Energy</c:v>
                </c:pt>
                <c:pt idx="2">
                  <c:v>Wellington Electricity</c:v>
                </c:pt>
                <c:pt idx="3">
                  <c:v>Nelson Electricity</c:v>
                </c:pt>
                <c:pt idx="4">
                  <c:v>OtagoNet</c:v>
                </c:pt>
                <c:pt idx="5">
                  <c:v>Powerco</c:v>
                </c:pt>
                <c:pt idx="6">
                  <c:v>Vector Lines</c:v>
                </c:pt>
                <c:pt idx="7">
                  <c:v>Electricity Ashburton</c:v>
                </c:pt>
                <c:pt idx="8">
                  <c:v>Unison Networks</c:v>
                </c:pt>
                <c:pt idx="9">
                  <c:v>Electricity Invercargill</c:v>
                </c:pt>
                <c:pt idx="10">
                  <c:v>Horizon Energy</c:v>
                </c:pt>
                <c:pt idx="11">
                  <c:v>Aurora Energy</c:v>
                </c:pt>
                <c:pt idx="12">
                  <c:v>Eastland Network</c:v>
                </c:pt>
                <c:pt idx="13">
                  <c:v>Top Energy</c:v>
                </c:pt>
                <c:pt idx="14">
                  <c:v>Centralines</c:v>
                </c:pt>
                <c:pt idx="15">
                  <c:v>The Lines Company</c:v>
                </c:pt>
              </c:strCache>
            </c:strRef>
          </c:cat>
          <c:val>
            <c:numRef>
              <c:f>'Chart data'!$K$67:$K$82</c:f>
              <c:numCache>
                <c:formatCode>_(* #,##0.00%_);_(* \(#,##0.00%\);_(* "–"???_);_(* @_)</c:formatCode>
                <c:ptCount val="16"/>
                <c:pt idx="0">
                  <c:v>8.9505278348923079E-3</c:v>
                </c:pt>
                <c:pt idx="1">
                  <c:v>6.7004942178726379E-3</c:v>
                </c:pt>
                <c:pt idx="2">
                  <c:v>5.5800163030624572E-3</c:v>
                </c:pt>
                <c:pt idx="3">
                  <c:v>2.8936886072159079E-3</c:v>
                </c:pt>
                <c:pt idx="4">
                  <c:v>-1.6358352422714273E-3</c:v>
                </c:pt>
                <c:pt idx="5">
                  <c:v>-4.6287334680557291E-3</c:v>
                </c:pt>
                <c:pt idx="6">
                  <c:v>-6.0025966882705506E-3</c:v>
                </c:pt>
                <c:pt idx="7">
                  <c:v>-8.2829571485519421E-3</c:v>
                </c:pt>
                <c:pt idx="8">
                  <c:v>-8.3315051317214978E-3</c:v>
                </c:pt>
                <c:pt idx="9">
                  <c:v>-8.8600552797317433E-3</c:v>
                </c:pt>
                <c:pt idx="10">
                  <c:v>-1.0622189116477984E-2</c:v>
                </c:pt>
                <c:pt idx="11">
                  <c:v>-1.1443606686592112E-2</c:v>
                </c:pt>
                <c:pt idx="12">
                  <c:v>-1.5000007224082942E-2</c:v>
                </c:pt>
                <c:pt idx="13">
                  <c:v>-1.8673727583885191E-2</c:v>
                </c:pt>
                <c:pt idx="14">
                  <c:v>-2.2081652951240538E-2</c:v>
                </c:pt>
                <c:pt idx="15">
                  <c:v>-2.3314986300468452E-2</c:v>
                </c:pt>
              </c:numCache>
            </c:numRef>
          </c:val>
          <c:extLst xmlns:c16r2="http://schemas.microsoft.com/office/drawing/2015/06/chart">
            <c:ext xmlns:c16="http://schemas.microsoft.com/office/drawing/2014/chart" uri="{C3380CC4-5D6E-409C-BE32-E72D297353CC}">
              <c16:uniqueId val="{00000000-CEAC-431B-9BE5-95409FBB0917}"/>
            </c:ext>
          </c:extLst>
        </c:ser>
        <c:dLbls>
          <c:showLegendKey val="0"/>
          <c:showVal val="0"/>
          <c:showCatName val="0"/>
          <c:showSerName val="0"/>
          <c:showPercent val="0"/>
          <c:showBubbleSize val="0"/>
        </c:dLbls>
        <c:gapWidth val="150"/>
        <c:axId val="172558208"/>
        <c:axId val="172559744"/>
      </c:barChart>
      <c:catAx>
        <c:axId val="172558208"/>
        <c:scaling>
          <c:orientation val="maxMin"/>
        </c:scaling>
        <c:delete val="0"/>
        <c:axPos val="l"/>
        <c:numFmt formatCode="General" sourceLinked="1"/>
        <c:majorTickMark val="out"/>
        <c:minorTickMark val="none"/>
        <c:tickLblPos val="low"/>
        <c:txPr>
          <a:bodyPr/>
          <a:lstStyle/>
          <a:p>
            <a:pPr>
              <a:defRPr sz="800"/>
            </a:pPr>
            <a:endParaRPr lang="en-US"/>
          </a:p>
        </c:txPr>
        <c:crossAx val="172559744"/>
        <c:crosses val="autoZero"/>
        <c:auto val="1"/>
        <c:lblAlgn val="ctr"/>
        <c:lblOffset val="100"/>
        <c:noMultiLvlLbl val="0"/>
      </c:catAx>
      <c:valAx>
        <c:axId val="172559744"/>
        <c:scaling>
          <c:orientation val="minMax"/>
        </c:scaling>
        <c:delete val="1"/>
        <c:axPos val="b"/>
        <c:numFmt formatCode="#,##0.0" sourceLinked="0"/>
        <c:majorTickMark val="out"/>
        <c:minorTickMark val="none"/>
        <c:tickLblPos val="nextTo"/>
        <c:crossAx val="172558208"/>
        <c:crosses val="max"/>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0.35983982683982685"/>
          <c:y val="2.2460506785411366E-2"/>
          <c:w val="0.64016017316017315"/>
          <c:h val="0.95507898642917732"/>
        </c:manualLayout>
      </c:layout>
      <c:barChart>
        <c:barDir val="bar"/>
        <c:grouping val="clustered"/>
        <c:varyColors val="0"/>
        <c:ser>
          <c:idx val="0"/>
          <c:order val="0"/>
          <c:spPr>
            <a:solidFill>
              <a:srgbClr val="3E8A92"/>
            </a:solidFill>
          </c:spPr>
          <c:invertIfNegative val="0"/>
          <c:cat>
            <c:strRef>
              <c:f>'Chart data'!$AL$49:$AL$64</c:f>
              <c:strCache>
                <c:ptCount val="16"/>
                <c:pt idx="0">
                  <c:v>Vector Lines</c:v>
                </c:pt>
                <c:pt idx="1">
                  <c:v>Eastland Network</c:v>
                </c:pt>
                <c:pt idx="2">
                  <c:v>Horizon Energy</c:v>
                </c:pt>
                <c:pt idx="3">
                  <c:v>Nelson Electricity</c:v>
                </c:pt>
                <c:pt idx="4">
                  <c:v>Powerco</c:v>
                </c:pt>
                <c:pt idx="5">
                  <c:v>Aurora Energy</c:v>
                </c:pt>
                <c:pt idx="6">
                  <c:v>Electricity Invercargill</c:v>
                </c:pt>
                <c:pt idx="7">
                  <c:v>Wellington Electricity</c:v>
                </c:pt>
                <c:pt idx="8">
                  <c:v>OtagoNet</c:v>
                </c:pt>
                <c:pt idx="9">
                  <c:v>Electricity Ashburton</c:v>
                </c:pt>
                <c:pt idx="10">
                  <c:v>Network Tasman</c:v>
                </c:pt>
                <c:pt idx="11">
                  <c:v>The Lines Company</c:v>
                </c:pt>
                <c:pt idx="12">
                  <c:v>Unison Networks</c:v>
                </c:pt>
                <c:pt idx="13">
                  <c:v>Top Energy</c:v>
                </c:pt>
                <c:pt idx="14">
                  <c:v>Centralines</c:v>
                </c:pt>
                <c:pt idx="15">
                  <c:v>Alpine Energy</c:v>
                </c:pt>
              </c:strCache>
            </c:strRef>
          </c:cat>
          <c:val>
            <c:numRef>
              <c:f>'Chart data'!$AM$49:$AM$64</c:f>
              <c:numCache>
                <c:formatCode>_(* #,##0.00_);_(* \(#,##0.00\);_(* "–"???_);_(* @_)</c:formatCode>
                <c:ptCount val="16"/>
                <c:pt idx="0">
                  <c:v>-1.0003978013992336</c:v>
                </c:pt>
                <c:pt idx="1">
                  <c:v>-0.53287804126739502</c:v>
                </c:pt>
                <c:pt idx="2">
                  <c:v>-0.38635790348053067</c:v>
                </c:pt>
                <c:pt idx="3">
                  <c:v>-0.19037306308746427</c:v>
                </c:pt>
                <c:pt idx="4">
                  <c:v>6.0205459594726563E-2</c:v>
                </c:pt>
                <c:pt idx="5">
                  <c:v>0.12572765350341886</c:v>
                </c:pt>
                <c:pt idx="6">
                  <c:v>0.31539261341094882</c:v>
                </c:pt>
                <c:pt idx="7">
                  <c:v>0.310533046722413</c:v>
                </c:pt>
                <c:pt idx="8">
                  <c:v>0.46807587146759211</c:v>
                </c:pt>
                <c:pt idx="9">
                  <c:v>0.52647113800048739</c:v>
                </c:pt>
                <c:pt idx="10">
                  <c:v>1.1063563823699933</c:v>
                </c:pt>
                <c:pt idx="11">
                  <c:v>1.3645350933074987</c:v>
                </c:pt>
                <c:pt idx="12">
                  <c:v>1.3552409410476676</c:v>
                </c:pt>
                <c:pt idx="13">
                  <c:v>2.3245739936828649</c:v>
                </c:pt>
                <c:pt idx="14">
                  <c:v>2.3801636695861812</c:v>
                </c:pt>
                <c:pt idx="15">
                  <c:v>4.9063098430633536</c:v>
                </c:pt>
              </c:numCache>
            </c:numRef>
          </c:val>
          <c:extLst xmlns:c16r2="http://schemas.microsoft.com/office/drawing/2015/06/chart">
            <c:ext xmlns:c16="http://schemas.microsoft.com/office/drawing/2014/chart" uri="{C3380CC4-5D6E-409C-BE32-E72D297353CC}">
              <c16:uniqueId val="{00000000-C6AF-471E-92F2-E6B3B2DDD1B0}"/>
            </c:ext>
          </c:extLst>
        </c:ser>
        <c:dLbls>
          <c:showLegendKey val="0"/>
          <c:showVal val="0"/>
          <c:showCatName val="0"/>
          <c:showSerName val="0"/>
          <c:showPercent val="0"/>
          <c:showBubbleSize val="0"/>
        </c:dLbls>
        <c:gapWidth val="150"/>
        <c:axId val="172596224"/>
        <c:axId val="172598016"/>
      </c:barChart>
      <c:catAx>
        <c:axId val="172596224"/>
        <c:scaling>
          <c:orientation val="maxMin"/>
        </c:scaling>
        <c:delete val="0"/>
        <c:axPos val="l"/>
        <c:numFmt formatCode="General" sourceLinked="1"/>
        <c:majorTickMark val="out"/>
        <c:minorTickMark val="none"/>
        <c:tickLblPos val="low"/>
        <c:txPr>
          <a:bodyPr/>
          <a:lstStyle/>
          <a:p>
            <a:pPr>
              <a:defRPr sz="800"/>
            </a:pPr>
            <a:endParaRPr lang="en-US"/>
          </a:p>
        </c:txPr>
        <c:crossAx val="172598016"/>
        <c:crosses val="autoZero"/>
        <c:auto val="1"/>
        <c:lblAlgn val="ctr"/>
        <c:lblOffset val="100"/>
        <c:noMultiLvlLbl val="0"/>
      </c:catAx>
      <c:valAx>
        <c:axId val="172598016"/>
        <c:scaling>
          <c:orientation val="minMax"/>
        </c:scaling>
        <c:delete val="0"/>
        <c:axPos val="b"/>
        <c:majorGridlines>
          <c:spPr>
            <a:ln>
              <a:solidFill>
                <a:schemeClr val="accent1"/>
              </a:solidFill>
            </a:ln>
          </c:spPr>
        </c:majorGridlines>
        <c:numFmt formatCode="#,##0" sourceLinked="0"/>
        <c:majorTickMark val="out"/>
        <c:minorTickMark val="none"/>
        <c:tickLblPos val="nextTo"/>
        <c:spPr>
          <a:ln>
            <a:noFill/>
          </a:ln>
        </c:spPr>
        <c:txPr>
          <a:bodyPr/>
          <a:lstStyle/>
          <a:p>
            <a:pPr>
              <a:defRPr sz="800"/>
            </a:pPr>
            <a:endParaRPr lang="en-US"/>
          </a:p>
        </c:txPr>
        <c:crossAx val="172596224"/>
        <c:crosses val="max"/>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8.4540343915343916E-2"/>
          <c:y val="1.3672338846480067E-2"/>
          <c:w val="0.84377050264550268"/>
          <c:h val="0.91882978159457163"/>
        </c:manualLayout>
      </c:layout>
      <c:barChart>
        <c:barDir val="bar"/>
        <c:grouping val="clustered"/>
        <c:varyColors val="0"/>
        <c:ser>
          <c:idx val="0"/>
          <c:order val="0"/>
          <c:spPr>
            <a:solidFill>
              <a:srgbClr val="3E8A92"/>
            </a:solidFill>
          </c:spPr>
          <c:invertIfNegative val="0"/>
          <c:cat>
            <c:strRef>
              <c:f>'Chart data'!$BC$5:$BC$20</c:f>
              <c:strCache>
                <c:ptCount val="16"/>
                <c:pt idx="0">
                  <c:v>Network Tasman</c:v>
                </c:pt>
                <c:pt idx="1">
                  <c:v>Nelson Electricity</c:v>
                </c:pt>
                <c:pt idx="2">
                  <c:v>Alpine Energy</c:v>
                </c:pt>
                <c:pt idx="3">
                  <c:v>Electricity Ashburton</c:v>
                </c:pt>
                <c:pt idx="4">
                  <c:v>Wellington Electricity</c:v>
                </c:pt>
                <c:pt idx="5">
                  <c:v>OtagoNet</c:v>
                </c:pt>
                <c:pt idx="6">
                  <c:v>Unison Networks</c:v>
                </c:pt>
                <c:pt idx="7">
                  <c:v>Electricity Invercargill</c:v>
                </c:pt>
                <c:pt idx="8">
                  <c:v>Eastland Network</c:v>
                </c:pt>
                <c:pt idx="9">
                  <c:v>Powerco</c:v>
                </c:pt>
                <c:pt idx="10">
                  <c:v>Top Energy</c:v>
                </c:pt>
                <c:pt idx="11">
                  <c:v>The Lines Company</c:v>
                </c:pt>
                <c:pt idx="12">
                  <c:v>Centralines</c:v>
                </c:pt>
                <c:pt idx="13">
                  <c:v>Vector Lines</c:v>
                </c:pt>
                <c:pt idx="14">
                  <c:v>Horizon Energy</c:v>
                </c:pt>
                <c:pt idx="15">
                  <c:v>Aurora Energy</c:v>
                </c:pt>
              </c:strCache>
            </c:strRef>
          </c:cat>
          <c:val>
            <c:numRef>
              <c:f>'Chart data'!$BD$5:$BD$20</c:f>
              <c:numCache>
                <c:formatCode>_(* #,##0.00_);_(* \(#,##0.00\);_(* "–"???_);_(* @_)</c:formatCode>
                <c:ptCount val="16"/>
                <c:pt idx="0">
                  <c:v>2.4197262930870114</c:v>
                </c:pt>
                <c:pt idx="1">
                  <c:v>2.0794320511817936</c:v>
                </c:pt>
                <c:pt idx="2">
                  <c:v>1.52287129640579</c:v>
                </c:pt>
                <c:pt idx="3">
                  <c:v>0.55968646287918133</c:v>
                </c:pt>
                <c:pt idx="4">
                  <c:v>0.45975093126297217</c:v>
                </c:pt>
                <c:pt idx="5">
                  <c:v>0.45639638185501408</c:v>
                </c:pt>
                <c:pt idx="6">
                  <c:v>-7.0422482490517524E-3</c:v>
                </c:pt>
                <c:pt idx="7">
                  <c:v>-4.5071799755095121E-2</c:v>
                </c:pt>
                <c:pt idx="8">
                  <c:v>-0.10132249116897629</c:v>
                </c:pt>
                <c:pt idx="9">
                  <c:v>-0.12344475507735986</c:v>
                </c:pt>
                <c:pt idx="10">
                  <c:v>-0.27165885686873992</c:v>
                </c:pt>
                <c:pt idx="11">
                  <c:v>-0.27760442018509224</c:v>
                </c:pt>
                <c:pt idx="12">
                  <c:v>-0.30159409761428524</c:v>
                </c:pt>
                <c:pt idx="13">
                  <c:v>-0.30282254934310693</c:v>
                </c:pt>
                <c:pt idx="14">
                  <c:v>-0.50996418714523628</c:v>
                </c:pt>
                <c:pt idx="15">
                  <c:v>-0.76756652116775559</c:v>
                </c:pt>
              </c:numCache>
            </c:numRef>
          </c:val>
          <c:extLst xmlns:c16r2="http://schemas.microsoft.com/office/drawing/2015/06/chart">
            <c:ext xmlns:c16="http://schemas.microsoft.com/office/drawing/2014/chart" uri="{C3380CC4-5D6E-409C-BE32-E72D297353CC}">
              <c16:uniqueId val="{00000000-92B6-4C2B-9F60-447C0BEC8FC5}"/>
            </c:ext>
          </c:extLst>
        </c:ser>
        <c:dLbls>
          <c:showLegendKey val="0"/>
          <c:showVal val="0"/>
          <c:showCatName val="0"/>
          <c:showSerName val="0"/>
          <c:showPercent val="0"/>
          <c:showBubbleSize val="0"/>
        </c:dLbls>
        <c:gapWidth val="150"/>
        <c:axId val="172188032"/>
        <c:axId val="172189568"/>
      </c:barChart>
      <c:catAx>
        <c:axId val="172188032"/>
        <c:scaling>
          <c:orientation val="maxMin"/>
        </c:scaling>
        <c:delete val="0"/>
        <c:axPos val="l"/>
        <c:numFmt formatCode="General" sourceLinked="1"/>
        <c:majorTickMark val="out"/>
        <c:minorTickMark val="none"/>
        <c:tickLblPos val="low"/>
        <c:txPr>
          <a:bodyPr/>
          <a:lstStyle/>
          <a:p>
            <a:pPr>
              <a:defRPr sz="800"/>
            </a:pPr>
            <a:endParaRPr lang="en-US"/>
          </a:p>
        </c:txPr>
        <c:crossAx val="172189568"/>
        <c:crosses val="autoZero"/>
        <c:auto val="1"/>
        <c:lblAlgn val="ctr"/>
        <c:lblOffset val="100"/>
        <c:noMultiLvlLbl val="0"/>
      </c:catAx>
      <c:valAx>
        <c:axId val="172189568"/>
        <c:scaling>
          <c:orientation val="minMax"/>
          <c:max val="3"/>
          <c:min val="-2"/>
        </c:scaling>
        <c:delete val="0"/>
        <c:axPos val="b"/>
        <c:majorGridlines>
          <c:spPr>
            <a:ln>
              <a:solidFill>
                <a:schemeClr val="bg1">
                  <a:lumMod val="85000"/>
                </a:schemeClr>
              </a:solidFill>
            </a:ln>
          </c:spPr>
        </c:majorGridlines>
        <c:numFmt formatCode="#,##0" sourceLinked="0"/>
        <c:majorTickMark val="out"/>
        <c:minorTickMark val="none"/>
        <c:tickLblPos val="nextTo"/>
        <c:spPr>
          <a:ln>
            <a:noFill/>
          </a:ln>
        </c:spPr>
        <c:txPr>
          <a:bodyPr/>
          <a:lstStyle/>
          <a:p>
            <a:pPr>
              <a:defRPr sz="800"/>
            </a:pPr>
            <a:endParaRPr lang="en-US"/>
          </a:p>
        </c:txPr>
        <c:crossAx val="172188032"/>
        <c:crosses val="max"/>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8.4540343915343916E-2"/>
          <c:y val="1.3672338846480067E-2"/>
          <c:w val="0.84377050264550268"/>
          <c:h val="0.91882978159457163"/>
        </c:manualLayout>
      </c:layout>
      <c:barChart>
        <c:barDir val="bar"/>
        <c:grouping val="clustered"/>
        <c:varyColors val="0"/>
        <c:ser>
          <c:idx val="0"/>
          <c:order val="0"/>
          <c:spPr>
            <a:solidFill>
              <a:srgbClr val="3E8A92"/>
            </a:solidFill>
          </c:spPr>
          <c:invertIfNegative val="0"/>
          <c:cat>
            <c:strRef>
              <c:f>'Chart data'!$AH$27:$AH$42</c:f>
              <c:strCache>
                <c:ptCount val="16"/>
                <c:pt idx="0">
                  <c:v>OtagoNet</c:v>
                </c:pt>
                <c:pt idx="1">
                  <c:v>Aurora Energy</c:v>
                </c:pt>
                <c:pt idx="2">
                  <c:v>Nelson Electricity</c:v>
                </c:pt>
                <c:pt idx="3">
                  <c:v>Unison Networks</c:v>
                </c:pt>
                <c:pt idx="4">
                  <c:v>Horizon Energy</c:v>
                </c:pt>
                <c:pt idx="5">
                  <c:v>Wellington Electricity</c:v>
                </c:pt>
                <c:pt idx="6">
                  <c:v>Powerco</c:v>
                </c:pt>
                <c:pt idx="7">
                  <c:v>Top Energy</c:v>
                </c:pt>
                <c:pt idx="8">
                  <c:v>Eastland Network</c:v>
                </c:pt>
                <c:pt idx="9">
                  <c:v>Vector Lines</c:v>
                </c:pt>
                <c:pt idx="10">
                  <c:v>Centralines</c:v>
                </c:pt>
                <c:pt idx="11">
                  <c:v>Electricity Invercargill</c:v>
                </c:pt>
                <c:pt idx="12">
                  <c:v>Electricity Ashburton</c:v>
                </c:pt>
                <c:pt idx="13">
                  <c:v>Alpine Energy</c:v>
                </c:pt>
                <c:pt idx="14">
                  <c:v>Network Tasman</c:v>
                </c:pt>
                <c:pt idx="15">
                  <c:v>The Lines Company</c:v>
                </c:pt>
              </c:strCache>
            </c:strRef>
          </c:cat>
          <c:val>
            <c:numRef>
              <c:f>'Chart data'!$AI$27:$AI$42</c:f>
              <c:numCache>
                <c:formatCode>_(* #,##0.00_);_(* \(#,##0.00\);_(* "–"???_);_(* @_)</c:formatCode>
                <c:ptCount val="16"/>
                <c:pt idx="0">
                  <c:v>0.41530251502990811</c:v>
                </c:pt>
                <c:pt idx="1">
                  <c:v>0.28808712959289817</c:v>
                </c:pt>
                <c:pt idx="2">
                  <c:v>0.15077352523803622</c:v>
                </c:pt>
                <c:pt idx="3">
                  <c:v>7.6581835746766025E-2</c:v>
                </c:pt>
                <c:pt idx="4">
                  <c:v>-1.1324882507324219E-4</c:v>
                </c:pt>
                <c:pt idx="5">
                  <c:v>-1.3017654418947089E-2</c:v>
                </c:pt>
                <c:pt idx="6">
                  <c:v>-3.4484863281251776E-2</c:v>
                </c:pt>
                <c:pt idx="7">
                  <c:v>-0.11087238788604559</c:v>
                </c:pt>
                <c:pt idx="8">
                  <c:v>-0.1134687662124616</c:v>
                </c:pt>
                <c:pt idx="9">
                  <c:v>-0.12367963790893821</c:v>
                </c:pt>
                <c:pt idx="10">
                  <c:v>-0.15141069889068515</c:v>
                </c:pt>
                <c:pt idx="11">
                  <c:v>-0.17888963222503751</c:v>
                </c:pt>
                <c:pt idx="12">
                  <c:v>-0.29084742069244207</c:v>
                </c:pt>
                <c:pt idx="13">
                  <c:v>-0.30718207359313876</c:v>
                </c:pt>
                <c:pt idx="14">
                  <c:v>-0.84370315074920832</c:v>
                </c:pt>
                <c:pt idx="15">
                  <c:v>-2.7623593807220477</c:v>
                </c:pt>
              </c:numCache>
            </c:numRef>
          </c:val>
          <c:extLst xmlns:c16r2="http://schemas.microsoft.com/office/drawing/2015/06/chart">
            <c:ext xmlns:c16="http://schemas.microsoft.com/office/drawing/2014/chart" uri="{C3380CC4-5D6E-409C-BE32-E72D297353CC}">
              <c16:uniqueId val="{00000000-DA29-483F-9F6D-912DC038F0D4}"/>
            </c:ext>
          </c:extLst>
        </c:ser>
        <c:dLbls>
          <c:showLegendKey val="0"/>
          <c:showVal val="0"/>
          <c:showCatName val="0"/>
          <c:showSerName val="0"/>
          <c:showPercent val="0"/>
          <c:showBubbleSize val="0"/>
        </c:dLbls>
        <c:gapWidth val="150"/>
        <c:axId val="172209664"/>
        <c:axId val="172211200"/>
      </c:barChart>
      <c:catAx>
        <c:axId val="172209664"/>
        <c:scaling>
          <c:orientation val="maxMin"/>
        </c:scaling>
        <c:delete val="0"/>
        <c:axPos val="l"/>
        <c:numFmt formatCode="General" sourceLinked="1"/>
        <c:majorTickMark val="out"/>
        <c:minorTickMark val="none"/>
        <c:tickLblPos val="low"/>
        <c:txPr>
          <a:bodyPr/>
          <a:lstStyle/>
          <a:p>
            <a:pPr>
              <a:defRPr sz="800"/>
            </a:pPr>
            <a:endParaRPr lang="en-US"/>
          </a:p>
        </c:txPr>
        <c:crossAx val="172211200"/>
        <c:crosses val="autoZero"/>
        <c:auto val="1"/>
        <c:lblAlgn val="ctr"/>
        <c:lblOffset val="100"/>
        <c:noMultiLvlLbl val="0"/>
      </c:catAx>
      <c:valAx>
        <c:axId val="172211200"/>
        <c:scaling>
          <c:orientation val="minMax"/>
          <c:max val="2"/>
          <c:min val="-3"/>
        </c:scaling>
        <c:delete val="0"/>
        <c:axPos val="b"/>
        <c:majorGridlines>
          <c:spPr>
            <a:ln>
              <a:solidFill>
                <a:schemeClr val="bg1">
                  <a:lumMod val="85000"/>
                </a:schemeClr>
              </a:solidFill>
            </a:ln>
          </c:spPr>
        </c:majorGridlines>
        <c:numFmt formatCode="#,##0" sourceLinked="0"/>
        <c:majorTickMark val="out"/>
        <c:minorTickMark val="none"/>
        <c:tickLblPos val="nextTo"/>
        <c:spPr>
          <a:ln>
            <a:noFill/>
          </a:ln>
        </c:spPr>
        <c:txPr>
          <a:bodyPr/>
          <a:lstStyle/>
          <a:p>
            <a:pPr>
              <a:defRPr sz="800"/>
            </a:pPr>
            <a:endParaRPr lang="en-US"/>
          </a:p>
        </c:txPr>
        <c:crossAx val="172209664"/>
        <c:crosses val="max"/>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0.35983982683982685"/>
          <c:y val="2.2460506785411366E-2"/>
          <c:w val="0.64016017316017315"/>
          <c:h val="0.95507898642917732"/>
        </c:manualLayout>
      </c:layout>
      <c:barChart>
        <c:barDir val="bar"/>
        <c:grouping val="clustered"/>
        <c:varyColors val="0"/>
        <c:ser>
          <c:idx val="0"/>
          <c:order val="0"/>
          <c:spPr>
            <a:solidFill>
              <a:srgbClr val="3E8A92"/>
            </a:solidFill>
          </c:spPr>
          <c:invertIfNegative val="0"/>
          <c:cat>
            <c:strRef>
              <c:f>'Chart data'!$Q$27:$Q$42</c:f>
              <c:strCache>
                <c:ptCount val="16"/>
                <c:pt idx="0">
                  <c:v>Centralines</c:v>
                </c:pt>
                <c:pt idx="1">
                  <c:v>Aurora Energy</c:v>
                </c:pt>
                <c:pt idx="2">
                  <c:v>Powerco</c:v>
                </c:pt>
                <c:pt idx="3">
                  <c:v>Alpine Energy</c:v>
                </c:pt>
                <c:pt idx="4">
                  <c:v>Unison Networks</c:v>
                </c:pt>
                <c:pt idx="5">
                  <c:v>OtagoNet</c:v>
                </c:pt>
                <c:pt idx="6">
                  <c:v>Network Tasman</c:v>
                </c:pt>
                <c:pt idx="7">
                  <c:v>Horizon Energy</c:v>
                </c:pt>
                <c:pt idx="8">
                  <c:v>Wellington Electricity</c:v>
                </c:pt>
                <c:pt idx="9">
                  <c:v>Electricity Ashburton</c:v>
                </c:pt>
                <c:pt idx="10">
                  <c:v>Eastland Network</c:v>
                </c:pt>
                <c:pt idx="11">
                  <c:v>Electricity Invercargill</c:v>
                </c:pt>
                <c:pt idx="12">
                  <c:v>Vector Lines</c:v>
                </c:pt>
                <c:pt idx="13">
                  <c:v>The Lines Company</c:v>
                </c:pt>
                <c:pt idx="14">
                  <c:v>Nelson Electricity</c:v>
                </c:pt>
                <c:pt idx="15">
                  <c:v>Top Energy</c:v>
                </c:pt>
              </c:strCache>
            </c:strRef>
          </c:cat>
          <c:val>
            <c:numRef>
              <c:f>'Chart data'!$R$27:$R$42</c:f>
              <c:numCache>
                <c:formatCode>_(* #,##0.00_);_(* \(#,##0.00\);_(* "–"???_);_(* @_)</c:formatCode>
                <c:ptCount val="16"/>
                <c:pt idx="0">
                  <c:v>0.17897605895996005</c:v>
                </c:pt>
                <c:pt idx="1">
                  <c:v>0.55737435817718595</c:v>
                </c:pt>
                <c:pt idx="2">
                  <c:v>1.3941526412963867E-2</c:v>
                </c:pt>
                <c:pt idx="3">
                  <c:v>5.4538249969455777E-3</c:v>
                </c:pt>
                <c:pt idx="4">
                  <c:v>8.1325769424437588E-2</c:v>
                </c:pt>
                <c:pt idx="5">
                  <c:v>0.26712596416473389</c:v>
                </c:pt>
                <c:pt idx="6">
                  <c:v>0.17281353473663419</c:v>
                </c:pt>
                <c:pt idx="7">
                  <c:v>6.8181753158568448E-2</c:v>
                </c:pt>
                <c:pt idx="8">
                  <c:v>1.9779205322267401E-2</c:v>
                </c:pt>
                <c:pt idx="9">
                  <c:v>3.0457973480225498E-2</c:v>
                </c:pt>
                <c:pt idx="10">
                  <c:v>-7.4139833450318271E-2</c:v>
                </c:pt>
                <c:pt idx="11">
                  <c:v>-5.6958794593811035E-2</c:v>
                </c:pt>
                <c:pt idx="12">
                  <c:v>-0.12364625930786399</c:v>
                </c:pt>
                <c:pt idx="13">
                  <c:v>-2.1050572395323819E-2</c:v>
                </c:pt>
                <c:pt idx="14">
                  <c:v>0.28035402297973544</c:v>
                </c:pt>
                <c:pt idx="15">
                  <c:v>0.26267707347869962</c:v>
                </c:pt>
              </c:numCache>
            </c:numRef>
          </c:val>
          <c:extLst xmlns:c16r2="http://schemas.microsoft.com/office/drawing/2015/06/chart">
            <c:ext xmlns:c16="http://schemas.microsoft.com/office/drawing/2014/chart" uri="{C3380CC4-5D6E-409C-BE32-E72D297353CC}">
              <c16:uniqueId val="{00000000-C6AF-471E-92F2-E6B3B2DDD1B0}"/>
            </c:ext>
          </c:extLst>
        </c:ser>
        <c:dLbls>
          <c:showLegendKey val="0"/>
          <c:showVal val="0"/>
          <c:showCatName val="0"/>
          <c:showSerName val="0"/>
          <c:showPercent val="0"/>
          <c:showBubbleSize val="0"/>
        </c:dLbls>
        <c:gapWidth val="150"/>
        <c:axId val="172628608"/>
        <c:axId val="172634496"/>
      </c:barChart>
      <c:catAx>
        <c:axId val="172628608"/>
        <c:scaling>
          <c:orientation val="maxMin"/>
        </c:scaling>
        <c:delete val="0"/>
        <c:axPos val="l"/>
        <c:numFmt formatCode="General" sourceLinked="1"/>
        <c:majorTickMark val="out"/>
        <c:minorTickMark val="none"/>
        <c:tickLblPos val="low"/>
        <c:txPr>
          <a:bodyPr/>
          <a:lstStyle/>
          <a:p>
            <a:pPr>
              <a:defRPr sz="800"/>
            </a:pPr>
            <a:endParaRPr lang="en-US"/>
          </a:p>
        </c:txPr>
        <c:crossAx val="172634496"/>
        <c:crosses val="autoZero"/>
        <c:auto val="1"/>
        <c:lblAlgn val="ctr"/>
        <c:lblOffset val="100"/>
        <c:noMultiLvlLbl val="0"/>
      </c:catAx>
      <c:valAx>
        <c:axId val="172634496"/>
        <c:scaling>
          <c:orientation val="minMax"/>
        </c:scaling>
        <c:delete val="0"/>
        <c:axPos val="b"/>
        <c:majorGridlines>
          <c:spPr>
            <a:ln>
              <a:solidFill>
                <a:schemeClr val="accent1"/>
              </a:solidFill>
            </a:ln>
          </c:spPr>
        </c:majorGridlines>
        <c:numFmt formatCode="#,##0.0" sourceLinked="0"/>
        <c:majorTickMark val="out"/>
        <c:minorTickMark val="none"/>
        <c:tickLblPos val="nextTo"/>
        <c:spPr>
          <a:ln>
            <a:noFill/>
          </a:ln>
        </c:spPr>
        <c:txPr>
          <a:bodyPr/>
          <a:lstStyle/>
          <a:p>
            <a:pPr>
              <a:defRPr sz="800"/>
            </a:pPr>
            <a:endParaRPr lang="en-US"/>
          </a:p>
        </c:txPr>
        <c:crossAx val="172628608"/>
        <c:crosses val="max"/>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0.35983982683982685"/>
          <c:y val="2.2460506785411366E-2"/>
          <c:w val="0.63478550077245421"/>
          <c:h val="0.95507898642917732"/>
        </c:manualLayout>
      </c:layout>
      <c:barChart>
        <c:barDir val="bar"/>
        <c:grouping val="clustered"/>
        <c:varyColors val="0"/>
        <c:ser>
          <c:idx val="0"/>
          <c:order val="0"/>
          <c:spPr>
            <a:solidFill>
              <a:srgbClr val="3E8A92"/>
            </a:solidFill>
          </c:spPr>
          <c:invertIfNegative val="0"/>
          <c:cat>
            <c:strRef>
              <c:f>'Chart data'!$J$27:$J$42</c:f>
              <c:strCache>
                <c:ptCount val="16"/>
                <c:pt idx="0">
                  <c:v>Unison Networks</c:v>
                </c:pt>
                <c:pt idx="1">
                  <c:v>Wellington Electricity</c:v>
                </c:pt>
                <c:pt idx="2">
                  <c:v>Horizon Energy</c:v>
                </c:pt>
                <c:pt idx="3">
                  <c:v>Aurora Energy</c:v>
                </c:pt>
                <c:pt idx="4">
                  <c:v>Vector Lines</c:v>
                </c:pt>
                <c:pt idx="5">
                  <c:v>OtagoNet</c:v>
                </c:pt>
                <c:pt idx="6">
                  <c:v>Electricity Invercargill</c:v>
                </c:pt>
                <c:pt idx="7">
                  <c:v>Powerco</c:v>
                </c:pt>
                <c:pt idx="8">
                  <c:v>Nelson Electricity</c:v>
                </c:pt>
                <c:pt idx="9">
                  <c:v>Alpine Energy</c:v>
                </c:pt>
                <c:pt idx="10">
                  <c:v>Eastland Network</c:v>
                </c:pt>
                <c:pt idx="11">
                  <c:v>Centralines</c:v>
                </c:pt>
                <c:pt idx="12">
                  <c:v>Electricity Ashburton</c:v>
                </c:pt>
                <c:pt idx="13">
                  <c:v>Network Tasman</c:v>
                </c:pt>
                <c:pt idx="14">
                  <c:v>Top Energy</c:v>
                </c:pt>
                <c:pt idx="15">
                  <c:v>The Lines Company</c:v>
                </c:pt>
              </c:strCache>
            </c:strRef>
          </c:cat>
          <c:val>
            <c:numRef>
              <c:f>'Chart data'!$K$27:$K$42</c:f>
              <c:numCache>
                <c:formatCode>_(* #,##0.00_);_(* \(#,##0.00\);_(* "–"???_);_(* @_)</c:formatCode>
                <c:ptCount val="16"/>
                <c:pt idx="0">
                  <c:v>-2.4614334106446201E-2</c:v>
                </c:pt>
                <c:pt idx="1">
                  <c:v>-2.8914809226992411E-2</c:v>
                </c:pt>
                <c:pt idx="2">
                  <c:v>-4.8277378082275391E-2</c:v>
                </c:pt>
                <c:pt idx="3">
                  <c:v>-5.7494044303894043E-2</c:v>
                </c:pt>
                <c:pt idx="4">
                  <c:v>-1.1819601058977725E-3</c:v>
                </c:pt>
                <c:pt idx="5">
                  <c:v>-6.3893198966981757E-2</c:v>
                </c:pt>
                <c:pt idx="6">
                  <c:v>-0.12234807014465243</c:v>
                </c:pt>
                <c:pt idx="7">
                  <c:v>-6.3530206680299628E-2</c:v>
                </c:pt>
                <c:pt idx="8">
                  <c:v>-0.12739121913910001</c:v>
                </c:pt>
                <c:pt idx="9">
                  <c:v>-0.23985803127288818</c:v>
                </c:pt>
                <c:pt idx="10">
                  <c:v>-3.9558410644530362E-2</c:v>
                </c:pt>
                <c:pt idx="11">
                  <c:v>-0.30297100543975652</c:v>
                </c:pt>
                <c:pt idx="12">
                  <c:v>-0.31748056411743253</c:v>
                </c:pt>
                <c:pt idx="13">
                  <c:v>-1.0148864984512365</c:v>
                </c:pt>
                <c:pt idx="14">
                  <c:v>-1.1259663105010969</c:v>
                </c:pt>
                <c:pt idx="15">
                  <c:v>-1.7416477203369141</c:v>
                </c:pt>
              </c:numCache>
            </c:numRef>
          </c:val>
          <c:extLst xmlns:c16r2="http://schemas.microsoft.com/office/drawing/2015/06/chart">
            <c:ext xmlns:c16="http://schemas.microsoft.com/office/drawing/2014/chart" uri="{C3380CC4-5D6E-409C-BE32-E72D297353CC}">
              <c16:uniqueId val="{00000000-9A0E-48F4-A803-1E62351C91E2}"/>
            </c:ext>
          </c:extLst>
        </c:ser>
        <c:dLbls>
          <c:showLegendKey val="0"/>
          <c:showVal val="0"/>
          <c:showCatName val="0"/>
          <c:showSerName val="0"/>
          <c:showPercent val="0"/>
          <c:showBubbleSize val="0"/>
        </c:dLbls>
        <c:gapWidth val="150"/>
        <c:axId val="172666880"/>
        <c:axId val="172668416"/>
      </c:barChart>
      <c:catAx>
        <c:axId val="172666880"/>
        <c:scaling>
          <c:orientation val="maxMin"/>
        </c:scaling>
        <c:delete val="0"/>
        <c:axPos val="l"/>
        <c:numFmt formatCode="General" sourceLinked="1"/>
        <c:majorTickMark val="cross"/>
        <c:minorTickMark val="none"/>
        <c:tickLblPos val="low"/>
        <c:txPr>
          <a:bodyPr/>
          <a:lstStyle/>
          <a:p>
            <a:pPr>
              <a:defRPr sz="800"/>
            </a:pPr>
            <a:endParaRPr lang="en-US"/>
          </a:p>
        </c:txPr>
        <c:crossAx val="172668416"/>
        <c:crosses val="autoZero"/>
        <c:auto val="1"/>
        <c:lblAlgn val="ctr"/>
        <c:lblOffset val="100"/>
        <c:noMultiLvlLbl val="0"/>
      </c:catAx>
      <c:valAx>
        <c:axId val="172668416"/>
        <c:scaling>
          <c:orientation val="minMax"/>
          <c:max val="0"/>
          <c:min val="-2"/>
        </c:scaling>
        <c:delete val="0"/>
        <c:axPos val="b"/>
        <c:majorGridlines>
          <c:spPr>
            <a:ln w="6350">
              <a:solidFill>
                <a:schemeClr val="bg1">
                  <a:lumMod val="85000"/>
                </a:schemeClr>
              </a:solidFill>
            </a:ln>
          </c:spPr>
        </c:majorGridlines>
        <c:numFmt formatCode="#,##0.0" sourceLinked="0"/>
        <c:majorTickMark val="out"/>
        <c:minorTickMark val="none"/>
        <c:tickLblPos val="nextTo"/>
        <c:spPr>
          <a:ln w="6350">
            <a:noFill/>
          </a:ln>
        </c:spPr>
        <c:txPr>
          <a:bodyPr/>
          <a:lstStyle/>
          <a:p>
            <a:pPr>
              <a:defRPr sz="800"/>
            </a:pPr>
            <a:endParaRPr lang="en-US"/>
          </a:p>
        </c:txPr>
        <c:crossAx val="172666880"/>
        <c:crosses val="max"/>
        <c:crossBetween val="between"/>
        <c:majorUnit val="0.5"/>
      </c:valAx>
    </c:plotArea>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1197963462114402E-2"/>
          <c:y val="2.9483633887882648E-2"/>
          <c:w val="0.98382424877707897"/>
          <c:h val="0.84127323998793901"/>
        </c:manualLayout>
      </c:layout>
      <c:barChart>
        <c:barDir val="col"/>
        <c:grouping val="stacked"/>
        <c:varyColors val="0"/>
        <c:ser>
          <c:idx val="0"/>
          <c:order val="0"/>
          <c:spPr>
            <a:noFill/>
            <a:ln>
              <a:noFill/>
            </a:ln>
          </c:spPr>
          <c:invertIfNegative val="0"/>
          <c:cat>
            <c:strRef>
              <c:f>Waterfall!$B$7:$P$7</c:f>
              <c:strCache>
                <c:ptCount val="15"/>
                <c:pt idx="0">
                  <c:v>Expected nominal return (incl asset revaluations)</c:v>
                </c:pt>
                <c:pt idx="1">
                  <c:v>IRR definition changes</c:v>
                </c:pt>
                <c:pt idx="2">
                  <c:v>Forecast asset revaluations</c:v>
                </c:pt>
                <c:pt idx="3">
                  <c:v>Expected real return (excl forecast asset revaluations)</c:v>
                </c:pt>
                <c:pt idx="4">
                  <c:v>Total revenue effects</c:v>
                </c:pt>
                <c:pt idx="5">
                  <c:v>Net additions prior to 1 April 2012</c:v>
                </c:pt>
                <c:pt idx="6">
                  <c:v>Input price inflators 2013–15</c:v>
                </c:pt>
                <c:pt idx="7">
                  <c:v>Operating expenditure 2013–15</c:v>
                </c:pt>
                <c:pt idx="8">
                  <c:v>Commissioned assets 2013–15</c:v>
                </c:pt>
                <c:pt idx="9">
                  <c:v>Asset disposals 2013–15</c:v>
                </c:pt>
                <c:pt idx="10">
                  <c:v>Discretionary rebates</c:v>
                </c:pt>
                <c:pt idx="11">
                  <c:v>Further cost effects</c:v>
                </c:pt>
                <c:pt idx="12">
                  <c:v>Disclosed real return (excl actual asset revaluations)</c:v>
                </c:pt>
                <c:pt idx="13">
                  <c:v>Actual asset revaluations</c:v>
                </c:pt>
                <c:pt idx="14">
                  <c:v>Disclosed nominal return (incl actual asset revaluations)</c:v>
                </c:pt>
              </c:strCache>
            </c:strRef>
          </c:cat>
          <c:val>
            <c:numRef>
              <c:f>Waterfall!$B$12:$P$12</c:f>
              <c:numCache>
                <c:formatCode>_(* #,##0.00%_);_(* \(#,##0.00%\);_(* "–"???_);_(* @_)</c:formatCode>
                <c:ptCount val="15"/>
                <c:pt idx="0">
                  <c:v>0</c:v>
                </c:pt>
                <c:pt idx="1">
                  <c:v>8.744231760501861E-2</c:v>
                </c:pt>
                <c:pt idx="2">
                  <c:v>7.3174986243247989E-2</c:v>
                </c:pt>
                <c:pt idx="3">
                  <c:v>0</c:v>
                </c:pt>
                <c:pt idx="4">
                  <c:v>6.8075880408287062E-2</c:v>
                </c:pt>
                <c:pt idx="5">
                  <c:v>6.8075880408287062E-2</c:v>
                </c:pt>
                <c:pt idx="6">
                  <c:v>6.991260349750518E-2</c:v>
                </c:pt>
                <c:pt idx="7">
                  <c:v>6.9279208779335022E-2</c:v>
                </c:pt>
                <c:pt idx="8">
                  <c:v>6.9279208779335022E-2</c:v>
                </c:pt>
                <c:pt idx="9">
                  <c:v>6.9426718354225161E-2</c:v>
                </c:pt>
                <c:pt idx="10">
                  <c:v>6.9426718354225161E-2</c:v>
                </c:pt>
                <c:pt idx="11">
                  <c:v>6.7514356970787073E-2</c:v>
                </c:pt>
                <c:pt idx="12">
                  <c:v>0</c:v>
                </c:pt>
                <c:pt idx="13">
                  <c:v>6.7514356970787073E-2</c:v>
                </c:pt>
                <c:pt idx="14">
                  <c:v>0</c:v>
                </c:pt>
              </c:numCache>
            </c:numRef>
          </c:val>
          <c:extLst xmlns:c16r2="http://schemas.microsoft.com/office/drawing/2015/06/chart">
            <c:ext xmlns:c16="http://schemas.microsoft.com/office/drawing/2014/chart" uri="{C3380CC4-5D6E-409C-BE32-E72D297353CC}">
              <c16:uniqueId val="{00000000-C3CC-424B-B97F-6DC4EFB422DD}"/>
            </c:ext>
          </c:extLst>
        </c:ser>
        <c:ser>
          <c:idx val="1"/>
          <c:order val="1"/>
          <c:spPr>
            <a:solidFill>
              <a:srgbClr val="5FB0B9"/>
            </a:solidFill>
          </c:spPr>
          <c:invertIfNegative val="0"/>
          <c:dPt>
            <c:idx val="0"/>
            <c:invertIfNegative val="0"/>
            <c:bubble3D val="0"/>
            <c:spPr>
              <a:solidFill>
                <a:srgbClr val="3E8A92"/>
              </a:solidFill>
            </c:spPr>
            <c:extLst xmlns:c16r2="http://schemas.microsoft.com/office/drawing/2015/06/chart">
              <c:ext xmlns:c16="http://schemas.microsoft.com/office/drawing/2014/chart" uri="{C3380CC4-5D6E-409C-BE32-E72D297353CC}">
                <c16:uniqueId val="{00000002-C3CC-424B-B97F-6DC4EFB422DD}"/>
              </c:ext>
            </c:extLst>
          </c:dPt>
          <c:dPt>
            <c:idx val="2"/>
            <c:invertIfNegative val="0"/>
            <c:bubble3D val="0"/>
            <c:extLst xmlns:c16r2="http://schemas.microsoft.com/office/drawing/2015/06/chart">
              <c:ext xmlns:c16="http://schemas.microsoft.com/office/drawing/2014/chart" uri="{C3380CC4-5D6E-409C-BE32-E72D297353CC}">
                <c16:uniqueId val="{00000004-C3CC-424B-B97F-6DC4EFB422DD}"/>
              </c:ext>
            </c:extLst>
          </c:dPt>
          <c:dPt>
            <c:idx val="3"/>
            <c:invertIfNegative val="0"/>
            <c:bubble3D val="0"/>
            <c:spPr>
              <a:solidFill>
                <a:srgbClr val="3E8A92"/>
              </a:solidFill>
            </c:spPr>
          </c:dPt>
          <c:dPt>
            <c:idx val="10"/>
            <c:invertIfNegative val="0"/>
            <c:bubble3D val="0"/>
            <c:extLst xmlns:c16r2="http://schemas.microsoft.com/office/drawing/2015/06/chart">
              <c:ext xmlns:c16="http://schemas.microsoft.com/office/drawing/2014/chart" uri="{C3380CC4-5D6E-409C-BE32-E72D297353CC}">
                <c16:uniqueId val="{00000005-C3CC-424B-B97F-6DC4EFB422DD}"/>
              </c:ext>
            </c:extLst>
          </c:dPt>
          <c:dPt>
            <c:idx val="11"/>
            <c:invertIfNegative val="0"/>
            <c:bubble3D val="0"/>
            <c:extLst xmlns:c16r2="http://schemas.microsoft.com/office/drawing/2015/06/chart">
              <c:ext xmlns:c16="http://schemas.microsoft.com/office/drawing/2014/chart" uri="{C3380CC4-5D6E-409C-BE32-E72D297353CC}">
                <c16:uniqueId val="{00000007-C3CC-424B-B97F-6DC4EFB422DD}"/>
              </c:ext>
            </c:extLst>
          </c:dPt>
          <c:dPt>
            <c:idx val="12"/>
            <c:invertIfNegative val="0"/>
            <c:bubble3D val="0"/>
            <c:spPr>
              <a:solidFill>
                <a:srgbClr val="3E8A92"/>
              </a:solidFill>
            </c:spPr>
            <c:extLst xmlns:c16r2="http://schemas.microsoft.com/office/drawing/2015/06/chart">
              <c:ext xmlns:c16="http://schemas.microsoft.com/office/drawing/2014/chart" uri="{C3380CC4-5D6E-409C-BE32-E72D297353CC}">
                <c16:uniqueId val="{00000008-C3CC-424B-B97F-6DC4EFB422DD}"/>
              </c:ext>
            </c:extLst>
          </c:dPt>
          <c:dPt>
            <c:idx val="13"/>
            <c:invertIfNegative val="0"/>
            <c:bubble3D val="0"/>
            <c:extLst xmlns:c16r2="http://schemas.microsoft.com/office/drawing/2015/06/chart">
              <c:ext xmlns:c16="http://schemas.microsoft.com/office/drawing/2014/chart" uri="{C3380CC4-5D6E-409C-BE32-E72D297353CC}">
                <c16:uniqueId val="{0000000A-C3CC-424B-B97F-6DC4EFB422DD}"/>
              </c:ext>
            </c:extLst>
          </c:dPt>
          <c:dPt>
            <c:idx val="14"/>
            <c:invertIfNegative val="0"/>
            <c:bubble3D val="0"/>
            <c:spPr>
              <a:solidFill>
                <a:srgbClr val="3E8A92"/>
              </a:solidFill>
            </c:spPr>
          </c:dPt>
          <c:cat>
            <c:strRef>
              <c:f>Waterfall!$B$7:$P$7</c:f>
              <c:strCache>
                <c:ptCount val="15"/>
                <c:pt idx="0">
                  <c:v>Expected nominal return (incl asset revaluations)</c:v>
                </c:pt>
                <c:pt idx="1">
                  <c:v>IRR definition changes</c:v>
                </c:pt>
                <c:pt idx="2">
                  <c:v>Forecast asset revaluations</c:v>
                </c:pt>
                <c:pt idx="3">
                  <c:v>Expected real return (excl forecast asset revaluations)</c:v>
                </c:pt>
                <c:pt idx="4">
                  <c:v>Total revenue effects</c:v>
                </c:pt>
                <c:pt idx="5">
                  <c:v>Net additions prior to 1 April 2012</c:v>
                </c:pt>
                <c:pt idx="6">
                  <c:v>Input price inflators 2013–15</c:v>
                </c:pt>
                <c:pt idx="7">
                  <c:v>Operating expenditure 2013–15</c:v>
                </c:pt>
                <c:pt idx="8">
                  <c:v>Commissioned assets 2013–15</c:v>
                </c:pt>
                <c:pt idx="9">
                  <c:v>Asset disposals 2013–15</c:v>
                </c:pt>
                <c:pt idx="10">
                  <c:v>Discretionary rebates</c:v>
                </c:pt>
                <c:pt idx="11">
                  <c:v>Further cost effects</c:v>
                </c:pt>
                <c:pt idx="12">
                  <c:v>Disclosed real return (excl actual asset revaluations)</c:v>
                </c:pt>
                <c:pt idx="13">
                  <c:v>Actual asset revaluations</c:v>
                </c:pt>
                <c:pt idx="14">
                  <c:v>Disclosed nominal return (incl actual asset revaluations)</c:v>
                </c:pt>
              </c:strCache>
            </c:strRef>
          </c:cat>
          <c:val>
            <c:numRef>
              <c:f>Waterfall!$B$13:$P$13</c:f>
              <c:numCache>
                <c:formatCode>_(* #,##0.00%_);_(* \(#,##0.00%\);_(* "–"???_);_(* @_)</c:formatCode>
                <c:ptCount val="15"/>
                <c:pt idx="0">
                  <c:v>8.77E-2</c:v>
                </c:pt>
                <c:pt idx="1">
                  <c:v>2.5768239498139001E-4</c:v>
                </c:pt>
                <c:pt idx="2">
                  <c:v>1.4267331361770622E-2</c:v>
                </c:pt>
                <c:pt idx="3">
                  <c:v>7.3174986243247989E-2</c:v>
                </c:pt>
                <c:pt idx="4">
                  <c:v>5.0991058349609264E-3</c:v>
                </c:pt>
                <c:pt idx="5">
                  <c:v>1.8367230892181174E-3</c:v>
                </c:pt>
                <c:pt idx="6">
                  <c:v>6.8346261978151357E-4</c:v>
                </c:pt>
                <c:pt idx="7">
                  <c:v>1.3168573379516713E-3</c:v>
                </c:pt>
                <c:pt idx="8">
                  <c:v>1.8491148948668323E-4</c:v>
                </c:pt>
                <c:pt idx="9">
                  <c:v>3.7401914596543739E-5</c:v>
                </c:pt>
                <c:pt idx="10">
                  <c:v>7.0537924766539417E-4</c:v>
                </c:pt>
                <c:pt idx="11">
                  <c:v>2.6177406311034823E-3</c:v>
                </c:pt>
                <c:pt idx="12">
                  <c:v>6.7514356970787073E-2</c:v>
                </c:pt>
                <c:pt idx="13">
                  <c:v>2.9393196105956948E-3</c:v>
                </c:pt>
                <c:pt idx="14">
                  <c:v>7.0453676581382768E-2</c:v>
                </c:pt>
              </c:numCache>
            </c:numRef>
          </c:val>
          <c:extLst xmlns:c16r2="http://schemas.microsoft.com/office/drawing/2015/06/chart">
            <c:ext xmlns:c16="http://schemas.microsoft.com/office/drawing/2014/chart" uri="{C3380CC4-5D6E-409C-BE32-E72D297353CC}">
              <c16:uniqueId val="{0000000B-C3CC-424B-B97F-6DC4EFB422DD}"/>
            </c:ext>
          </c:extLst>
        </c:ser>
        <c:ser>
          <c:idx val="2"/>
          <c:order val="2"/>
          <c:spPr>
            <a:noFill/>
          </c:spPr>
          <c:invertIfNegative val="0"/>
          <c:dPt>
            <c:idx val="1"/>
            <c:invertIfNegative val="0"/>
            <c:bubble3D val="0"/>
            <c:spPr>
              <a:solidFill>
                <a:srgbClr val="5FB0B9"/>
              </a:solidFill>
            </c:spPr>
          </c:dPt>
          <c:dLbls>
            <c:numFmt formatCode="0.00%" sourceLinked="0"/>
            <c:spPr>
              <a:noFill/>
              <a:ln>
                <a:noFill/>
              </a:ln>
              <a:effectLst/>
            </c:sp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15:showLeaderLines val="0"/>
              </c:ext>
            </c:extLst>
          </c:dLbls>
          <c:cat>
            <c:strRef>
              <c:f>Waterfall!$B$7:$P$7</c:f>
              <c:strCache>
                <c:ptCount val="15"/>
                <c:pt idx="0">
                  <c:v>Expected nominal return (incl asset revaluations)</c:v>
                </c:pt>
                <c:pt idx="1">
                  <c:v>IRR definition changes</c:v>
                </c:pt>
                <c:pt idx="2">
                  <c:v>Forecast asset revaluations</c:v>
                </c:pt>
                <c:pt idx="3">
                  <c:v>Expected real return (excl forecast asset revaluations)</c:v>
                </c:pt>
                <c:pt idx="4">
                  <c:v>Total revenue effects</c:v>
                </c:pt>
                <c:pt idx="5">
                  <c:v>Net additions prior to 1 April 2012</c:v>
                </c:pt>
                <c:pt idx="6">
                  <c:v>Input price inflators 2013–15</c:v>
                </c:pt>
                <c:pt idx="7">
                  <c:v>Operating expenditure 2013–15</c:v>
                </c:pt>
                <c:pt idx="8">
                  <c:v>Commissioned assets 2013–15</c:v>
                </c:pt>
                <c:pt idx="9">
                  <c:v>Asset disposals 2013–15</c:v>
                </c:pt>
                <c:pt idx="10">
                  <c:v>Discretionary rebates</c:v>
                </c:pt>
                <c:pt idx="11">
                  <c:v>Further cost effects</c:v>
                </c:pt>
                <c:pt idx="12">
                  <c:v>Disclosed real return (excl actual asset revaluations)</c:v>
                </c:pt>
                <c:pt idx="13">
                  <c:v>Actual asset revaluations</c:v>
                </c:pt>
                <c:pt idx="14">
                  <c:v>Disclosed nominal return (incl actual asset revaluations)</c:v>
                </c:pt>
              </c:strCache>
            </c:strRef>
          </c:cat>
          <c:val>
            <c:numRef>
              <c:f>Waterfall!$B$13:$P$13</c:f>
              <c:numCache>
                <c:formatCode>_(* #,##0.00%_);_(* \(#,##0.00%\);_(* "–"???_);_(* @_)</c:formatCode>
                <c:ptCount val="15"/>
                <c:pt idx="0">
                  <c:v>8.77E-2</c:v>
                </c:pt>
                <c:pt idx="1">
                  <c:v>2.5768239498139001E-4</c:v>
                </c:pt>
                <c:pt idx="2">
                  <c:v>1.4267331361770622E-2</c:v>
                </c:pt>
                <c:pt idx="3">
                  <c:v>7.3174986243247989E-2</c:v>
                </c:pt>
                <c:pt idx="4">
                  <c:v>5.0991058349609264E-3</c:v>
                </c:pt>
                <c:pt idx="5">
                  <c:v>1.8367230892181174E-3</c:v>
                </c:pt>
                <c:pt idx="6">
                  <c:v>6.8346261978151357E-4</c:v>
                </c:pt>
                <c:pt idx="7">
                  <c:v>1.3168573379516713E-3</c:v>
                </c:pt>
                <c:pt idx="8">
                  <c:v>1.8491148948668323E-4</c:v>
                </c:pt>
                <c:pt idx="9">
                  <c:v>3.7401914596543739E-5</c:v>
                </c:pt>
                <c:pt idx="10">
                  <c:v>7.0537924766539417E-4</c:v>
                </c:pt>
                <c:pt idx="11">
                  <c:v>2.6177406311034823E-3</c:v>
                </c:pt>
                <c:pt idx="12">
                  <c:v>6.7514356970787073E-2</c:v>
                </c:pt>
                <c:pt idx="13">
                  <c:v>2.9393196105956948E-3</c:v>
                </c:pt>
                <c:pt idx="14">
                  <c:v>7.0453676581382768E-2</c:v>
                </c:pt>
              </c:numCache>
            </c:numRef>
          </c:val>
          <c:extLst xmlns:c16r2="http://schemas.microsoft.com/office/drawing/2015/06/chart">
            <c:ext xmlns:c15="http://schemas.microsoft.com/office/drawing/2012/chart" uri="{02D57815-91ED-43cb-92C2-25804820EDAC}">
              <c15:datalabelsRange>
                <c15:f>Waterfall!$B$9:$O$9</c15:f>
                <c15:dlblRangeCache>
                  <c:ptCount val="14"/>
                  <c:pt idx="0">
                    <c:v> 8.74% </c:v>
                  </c:pt>
                  <c:pt idx="1">
                    <c:v> (1.43%)</c:v>
                  </c:pt>
                  <c:pt idx="2">
                    <c:v> 7.32% </c:v>
                  </c:pt>
                  <c:pt idx="3">
                    <c:v> (0.73%)</c:v>
                  </c:pt>
                  <c:pt idx="4">
                    <c:v> 0.18% </c:v>
                  </c:pt>
                  <c:pt idx="5">
                    <c:v> 0.07% </c:v>
                  </c:pt>
                  <c:pt idx="6">
                    <c:v> 0.09% </c:v>
                  </c:pt>
                  <c:pt idx="7">
                    <c:v> 0.02% </c:v>
                  </c:pt>
                  <c:pt idx="8">
                    <c:v> (0.00%)</c:v>
                  </c:pt>
                  <c:pt idx="9">
                    <c:v> (0.15%)</c:v>
                  </c:pt>
                  <c:pt idx="10">
                    <c:v> (0.04%)</c:v>
                  </c:pt>
                  <c:pt idx="11">
                    <c:v> 6.75% </c:v>
                  </c:pt>
                  <c:pt idx="12">
                    <c:v> 0.29% </c:v>
                  </c:pt>
                  <c:pt idx="13">
                    <c:v> 7.05% </c:v>
                  </c:pt>
                </c15:dlblRangeCache>
              </c15:datalabelsRange>
            </c:ext>
            <c:ext xmlns:c16="http://schemas.microsoft.com/office/drawing/2014/chart" uri="{C3380CC4-5D6E-409C-BE32-E72D297353CC}">
              <c16:uniqueId val="{0000000C-C3CC-424B-B97F-6DC4EFB422DD}"/>
            </c:ext>
          </c:extLst>
        </c:ser>
        <c:dLbls>
          <c:showLegendKey val="0"/>
          <c:showVal val="0"/>
          <c:showCatName val="0"/>
          <c:showSerName val="0"/>
          <c:showPercent val="0"/>
          <c:showBubbleSize val="0"/>
        </c:dLbls>
        <c:gapWidth val="50"/>
        <c:overlap val="100"/>
        <c:axId val="171122048"/>
        <c:axId val="171123840"/>
      </c:barChart>
      <c:catAx>
        <c:axId val="171122048"/>
        <c:scaling>
          <c:orientation val="minMax"/>
        </c:scaling>
        <c:delete val="0"/>
        <c:axPos val="b"/>
        <c:numFmt formatCode="General" sourceLinked="1"/>
        <c:majorTickMark val="none"/>
        <c:minorTickMark val="none"/>
        <c:tickLblPos val="nextTo"/>
        <c:txPr>
          <a:bodyPr rot="0" vert="horz" anchor="t" anchorCtr="0"/>
          <a:lstStyle/>
          <a:p>
            <a:pPr>
              <a:defRPr sz="700"/>
            </a:pPr>
            <a:endParaRPr lang="en-US"/>
          </a:p>
        </c:txPr>
        <c:crossAx val="171123840"/>
        <c:crosses val="autoZero"/>
        <c:auto val="1"/>
        <c:lblAlgn val="ctr"/>
        <c:lblOffset val="100"/>
        <c:noMultiLvlLbl val="0"/>
      </c:catAx>
      <c:valAx>
        <c:axId val="171123840"/>
        <c:scaling>
          <c:orientation val="minMax"/>
          <c:max val="0.1"/>
          <c:min val="0"/>
        </c:scaling>
        <c:delete val="1"/>
        <c:axPos val="l"/>
        <c:numFmt formatCode="0%" sourceLinked="0"/>
        <c:majorTickMark val="none"/>
        <c:minorTickMark val="none"/>
        <c:tickLblPos val="nextTo"/>
        <c:crossAx val="171122048"/>
        <c:crosses val="autoZero"/>
        <c:crossBetween val="between"/>
        <c:majorUnit val="2.0000000000000004E-2"/>
      </c:valAx>
    </c:plotArea>
    <c:plotVisOnly val="1"/>
    <c:dispBlanksAs val="gap"/>
    <c:showDLblsOverMax val="0"/>
  </c:chart>
  <c:spPr>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0.35983982683982685"/>
          <c:y val="2.2460506785411366E-2"/>
          <c:w val="0.64016017316017315"/>
          <c:h val="0.95507898642917732"/>
        </c:manualLayout>
      </c:layout>
      <c:barChart>
        <c:barDir val="bar"/>
        <c:grouping val="clustered"/>
        <c:varyColors val="0"/>
        <c:ser>
          <c:idx val="0"/>
          <c:order val="0"/>
          <c:spPr>
            <a:solidFill>
              <a:srgbClr val="3E8A92"/>
            </a:solidFill>
          </c:spPr>
          <c:invertIfNegative val="0"/>
          <c:cat>
            <c:strRef>
              <c:f>'Chart data'!$J$5:$J$20</c:f>
              <c:strCache>
                <c:ptCount val="16"/>
                <c:pt idx="0">
                  <c:v>Nelson Electricity</c:v>
                </c:pt>
                <c:pt idx="1">
                  <c:v>Alpine Energy</c:v>
                </c:pt>
                <c:pt idx="2">
                  <c:v>Network Tasman</c:v>
                </c:pt>
                <c:pt idx="3">
                  <c:v>Horizon Energy</c:v>
                </c:pt>
                <c:pt idx="4">
                  <c:v>OtagoNet</c:v>
                </c:pt>
                <c:pt idx="5">
                  <c:v>Unison Networks</c:v>
                </c:pt>
                <c:pt idx="6">
                  <c:v>Wellington Electricity</c:v>
                </c:pt>
                <c:pt idx="7">
                  <c:v>Aurora Energy</c:v>
                </c:pt>
                <c:pt idx="8">
                  <c:v>Top Energy</c:v>
                </c:pt>
                <c:pt idx="9">
                  <c:v>Electricity Invercargill</c:v>
                </c:pt>
                <c:pt idx="10">
                  <c:v>Powerco</c:v>
                </c:pt>
                <c:pt idx="11">
                  <c:v>Vector Lines</c:v>
                </c:pt>
                <c:pt idx="12">
                  <c:v>The Lines Company</c:v>
                </c:pt>
                <c:pt idx="13">
                  <c:v>Eastland Network</c:v>
                </c:pt>
                <c:pt idx="14">
                  <c:v>Electricity Ashburton</c:v>
                </c:pt>
                <c:pt idx="15">
                  <c:v>Centralines</c:v>
                </c:pt>
              </c:strCache>
            </c:strRef>
          </c:cat>
          <c:val>
            <c:numRef>
              <c:f>'Chart data'!$K$5:$K$20</c:f>
              <c:numCache>
                <c:formatCode>_(* #,##0.00_);_(* \(#,##0.00\);_(* "–"???_);_(* @_)</c:formatCode>
                <c:ptCount val="16"/>
                <c:pt idx="0">
                  <c:v>2.1963870525360107</c:v>
                </c:pt>
                <c:pt idx="1">
                  <c:v>1.6382724046707109</c:v>
                </c:pt>
                <c:pt idx="2">
                  <c:v>0.39359807968139826</c:v>
                </c:pt>
                <c:pt idx="3">
                  <c:v>0.3695523738861084</c:v>
                </c:pt>
                <c:pt idx="4">
                  <c:v>0.39663434028625666</c:v>
                </c:pt>
                <c:pt idx="5">
                  <c:v>0.42869269847869962</c:v>
                </c:pt>
                <c:pt idx="6">
                  <c:v>0.30392706394195557</c:v>
                </c:pt>
                <c:pt idx="7">
                  <c:v>9.609103202819913E-2</c:v>
                </c:pt>
                <c:pt idx="8">
                  <c:v>0.28347671031951904</c:v>
                </c:pt>
                <c:pt idx="9">
                  <c:v>0.28726518154144198</c:v>
                </c:pt>
                <c:pt idx="10">
                  <c:v>3.9873719215395731E-2</c:v>
                </c:pt>
                <c:pt idx="11">
                  <c:v>8.3029866218568671E-2</c:v>
                </c:pt>
                <c:pt idx="12">
                  <c:v>-9.6422433853176059E-3</c:v>
                </c:pt>
                <c:pt idx="13">
                  <c:v>-0.13583064079284757</c:v>
                </c:pt>
                <c:pt idx="14">
                  <c:v>0.15510499477386475</c:v>
                </c:pt>
                <c:pt idx="15">
                  <c:v>-0.19282758235931041</c:v>
                </c:pt>
              </c:numCache>
            </c:numRef>
          </c:val>
          <c:extLst xmlns:c16r2="http://schemas.microsoft.com/office/drawing/2015/06/chart">
            <c:ext xmlns:c16="http://schemas.microsoft.com/office/drawing/2014/chart" uri="{C3380CC4-5D6E-409C-BE32-E72D297353CC}">
              <c16:uniqueId val="{00000000-C6AF-471E-92F2-E6B3B2DDD1B0}"/>
            </c:ext>
          </c:extLst>
        </c:ser>
        <c:dLbls>
          <c:showLegendKey val="0"/>
          <c:showVal val="0"/>
          <c:showCatName val="0"/>
          <c:showSerName val="0"/>
          <c:showPercent val="0"/>
          <c:showBubbleSize val="0"/>
        </c:dLbls>
        <c:gapWidth val="150"/>
        <c:axId val="172971136"/>
        <c:axId val="172972672"/>
      </c:barChart>
      <c:catAx>
        <c:axId val="172971136"/>
        <c:scaling>
          <c:orientation val="maxMin"/>
        </c:scaling>
        <c:delete val="0"/>
        <c:axPos val="l"/>
        <c:numFmt formatCode="General" sourceLinked="1"/>
        <c:majorTickMark val="out"/>
        <c:minorTickMark val="none"/>
        <c:tickLblPos val="low"/>
        <c:txPr>
          <a:bodyPr/>
          <a:lstStyle/>
          <a:p>
            <a:pPr>
              <a:defRPr sz="800"/>
            </a:pPr>
            <a:endParaRPr lang="en-US"/>
          </a:p>
        </c:txPr>
        <c:crossAx val="172972672"/>
        <c:crosses val="autoZero"/>
        <c:auto val="1"/>
        <c:lblAlgn val="ctr"/>
        <c:lblOffset val="100"/>
        <c:noMultiLvlLbl val="0"/>
      </c:catAx>
      <c:valAx>
        <c:axId val="172972672"/>
        <c:scaling>
          <c:orientation val="minMax"/>
        </c:scaling>
        <c:delete val="0"/>
        <c:axPos val="b"/>
        <c:majorGridlines>
          <c:spPr>
            <a:ln>
              <a:solidFill>
                <a:schemeClr val="accent1"/>
              </a:solidFill>
            </a:ln>
          </c:spPr>
        </c:majorGridlines>
        <c:numFmt formatCode="#,##0" sourceLinked="0"/>
        <c:majorTickMark val="out"/>
        <c:minorTickMark val="none"/>
        <c:tickLblPos val="nextTo"/>
        <c:spPr>
          <a:ln>
            <a:noFill/>
          </a:ln>
        </c:spPr>
        <c:txPr>
          <a:bodyPr/>
          <a:lstStyle/>
          <a:p>
            <a:pPr>
              <a:defRPr sz="800"/>
            </a:pPr>
            <a:endParaRPr lang="en-US"/>
          </a:p>
        </c:txPr>
        <c:crossAx val="172971136"/>
        <c:crosses val="max"/>
        <c:crossBetween val="between"/>
        <c:majorUnit val="1"/>
      </c:valAx>
    </c:plotArea>
    <c:plotVisOnly val="1"/>
    <c:dispBlanksAs val="gap"/>
    <c:showDLblsOverMax val="0"/>
  </c:chart>
  <c:spPr>
    <a:ln>
      <a:no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023090277777787E-2"/>
          <c:y val="2.9094653262681788E-2"/>
          <c:w val="0.9130663194444445"/>
          <c:h val="0.91457288006063686"/>
        </c:manualLayout>
      </c:layout>
      <c:barChart>
        <c:barDir val="col"/>
        <c:grouping val="stacked"/>
        <c:varyColors val="0"/>
        <c:ser>
          <c:idx val="0"/>
          <c:order val="0"/>
          <c:tx>
            <c:strRef>
              <c:f>'Chart data'!$AS$75</c:f>
              <c:strCache>
                <c:ptCount val="1"/>
                <c:pt idx="0">
                  <c:v>Bottom</c:v>
                </c:pt>
              </c:strCache>
            </c:strRef>
          </c:tx>
          <c:spPr>
            <a:noFill/>
            <a:ln>
              <a:noFill/>
            </a:ln>
          </c:spPr>
          <c:invertIfNegative val="0"/>
          <c:errBars>
            <c:errBarType val="minus"/>
            <c:errValType val="cust"/>
            <c:noEndCap val="0"/>
            <c:plus>
              <c:numLit>
                <c:formatCode>General</c:formatCode>
                <c:ptCount val="1"/>
                <c:pt idx="0">
                  <c:v>1</c:v>
                </c:pt>
              </c:numLit>
            </c:plus>
            <c:minus>
              <c:numRef>
                <c:f>'Chart data'!$AT$78:$AV$78</c:f>
                <c:numCache>
                  <c:formatCode>General</c:formatCode>
                  <c:ptCount val="3"/>
                  <c:pt idx="0">
                    <c:v>2.2509600222110737E-2</c:v>
                  </c:pt>
                  <c:pt idx="1">
                    <c:v>1.0151807963848111E-2</c:v>
                  </c:pt>
                  <c:pt idx="2">
                    <c:v>1.0990169644355771E-2</c:v>
                  </c:pt>
                </c:numCache>
              </c:numRef>
            </c:minus>
            <c:spPr>
              <a:ln w="19050"/>
            </c:spPr>
          </c:errBars>
          <c:cat>
            <c:strRef>
              <c:f>'Chart data'!$AT$48:$AV$48</c:f>
              <c:strCache>
                <c:ptCount val="3"/>
                <c:pt idx="0">
                  <c:v>No reset</c:v>
                </c:pt>
                <c:pt idx="1">
                  <c:v>Reset</c:v>
                </c:pt>
                <c:pt idx="2">
                  <c:v>Actual</c:v>
                </c:pt>
              </c:strCache>
            </c:strRef>
          </c:cat>
          <c:val>
            <c:numRef>
              <c:f>'Chart data'!$AT$75:$AV$75</c:f>
              <c:numCache>
                <c:formatCode>_(* #,##0.0%_);_(* \(#,##0.0%\);_(* "–"??_);_(* @_)</c:formatCode>
                <c:ptCount val="3"/>
                <c:pt idx="0">
                  <c:v>5.6029067933559412E-2</c:v>
                </c:pt>
                <c:pt idx="1">
                  <c:v>6.74729123711586E-2</c:v>
                </c:pt>
                <c:pt idx="2">
                  <c:v>6.4281469583511358E-2</c:v>
                </c:pt>
              </c:numCache>
            </c:numRef>
          </c:val>
          <c:extLst xmlns:c16r2="http://schemas.microsoft.com/office/drawing/2015/06/chart">
            <c:ext xmlns:c16="http://schemas.microsoft.com/office/drawing/2014/chart" uri="{C3380CC4-5D6E-409C-BE32-E72D297353CC}">
              <c16:uniqueId val="{00000000-4122-402C-B7AE-9065E1F7957B}"/>
            </c:ext>
          </c:extLst>
        </c:ser>
        <c:ser>
          <c:idx val="1"/>
          <c:order val="1"/>
          <c:tx>
            <c:strRef>
              <c:f>'Chart data'!$AS$76</c:f>
              <c:strCache>
                <c:ptCount val="1"/>
                <c:pt idx="0">
                  <c:v>2Q Box</c:v>
                </c:pt>
              </c:strCache>
            </c:strRef>
          </c:tx>
          <c:spPr>
            <a:solidFill>
              <a:schemeClr val="bg1">
                <a:lumMod val="85000"/>
              </a:schemeClr>
            </a:solidFill>
            <a:ln>
              <a:solidFill>
                <a:schemeClr val="tx1"/>
              </a:solidFill>
            </a:ln>
          </c:spPr>
          <c:invertIfNegative val="0"/>
          <c:cat>
            <c:strRef>
              <c:f>'Chart data'!$AT$48:$AV$48</c:f>
              <c:strCache>
                <c:ptCount val="3"/>
                <c:pt idx="0">
                  <c:v>No reset</c:v>
                </c:pt>
                <c:pt idx="1">
                  <c:v>Reset</c:v>
                </c:pt>
                <c:pt idx="2">
                  <c:v>Actual</c:v>
                </c:pt>
              </c:strCache>
            </c:strRef>
          </c:cat>
          <c:val>
            <c:numRef>
              <c:f>'Chart data'!$AT$76:$AV$76</c:f>
              <c:numCache>
                <c:formatCode>_(* #,##0.0%_);_(* \(#,##0.0%\);_(* "–"??_);_(* @_)</c:formatCode>
                <c:ptCount val="3"/>
                <c:pt idx="0">
                  <c:v>1.0709272325038932E-2</c:v>
                </c:pt>
                <c:pt idx="1">
                  <c:v>2.8343304991722135E-3</c:v>
                </c:pt>
                <c:pt idx="2">
                  <c:v>3.9375424385070801E-3</c:v>
                </c:pt>
              </c:numCache>
            </c:numRef>
          </c:val>
          <c:extLst xmlns:c16r2="http://schemas.microsoft.com/office/drawing/2015/06/chart">
            <c:ext xmlns:c16="http://schemas.microsoft.com/office/drawing/2014/chart" uri="{C3380CC4-5D6E-409C-BE32-E72D297353CC}">
              <c16:uniqueId val="{00000001-4122-402C-B7AE-9065E1F7957B}"/>
            </c:ext>
          </c:extLst>
        </c:ser>
        <c:ser>
          <c:idx val="2"/>
          <c:order val="2"/>
          <c:tx>
            <c:strRef>
              <c:f>'Chart data'!$AS$77</c:f>
              <c:strCache>
                <c:ptCount val="1"/>
                <c:pt idx="0">
                  <c:v>3Q Box</c:v>
                </c:pt>
              </c:strCache>
            </c:strRef>
          </c:tx>
          <c:spPr>
            <a:solidFill>
              <a:schemeClr val="bg1">
                <a:lumMod val="85000"/>
              </a:schemeClr>
            </a:solidFill>
            <a:ln>
              <a:solidFill>
                <a:schemeClr val="tx1"/>
              </a:solidFill>
            </a:ln>
          </c:spPr>
          <c:invertIfNegative val="0"/>
          <c:errBars>
            <c:errBarType val="plus"/>
            <c:errValType val="cust"/>
            <c:noEndCap val="0"/>
            <c:plus>
              <c:numRef>
                <c:f>'Chart data'!$AT$79:$AV$79</c:f>
                <c:numCache>
                  <c:formatCode>General</c:formatCode>
                  <c:ptCount val="3"/>
                  <c:pt idx="0">
                    <c:v>9.5359310507774353E-3</c:v>
                  </c:pt>
                  <c:pt idx="1">
                    <c:v>1.7687645554542511E-2</c:v>
                  </c:pt>
                  <c:pt idx="2">
                    <c:v>8.5860207676887595E-3</c:v>
                  </c:pt>
                </c:numCache>
              </c:numRef>
            </c:plus>
            <c:minus>
              <c:numLit>
                <c:formatCode>General</c:formatCode>
                <c:ptCount val="1"/>
                <c:pt idx="0">
                  <c:v>1</c:v>
                </c:pt>
              </c:numLit>
            </c:minus>
            <c:spPr>
              <a:ln w="19050"/>
            </c:spPr>
          </c:errBars>
          <c:cat>
            <c:strRef>
              <c:f>'Chart data'!$AT$48:$AV$48</c:f>
              <c:strCache>
                <c:ptCount val="3"/>
                <c:pt idx="0">
                  <c:v>No reset</c:v>
                </c:pt>
                <c:pt idx="1">
                  <c:v>Reset</c:v>
                </c:pt>
                <c:pt idx="2">
                  <c:v>Actual</c:v>
                </c:pt>
              </c:strCache>
            </c:strRef>
          </c:cat>
          <c:val>
            <c:numRef>
              <c:f>'Chart data'!$AT$77:$AV$77</c:f>
              <c:numCache>
                <c:formatCode>_(* #,##0.0%_);_(* \(#,##0.0%\);_(* "–"??_);_(* @_)</c:formatCode>
                <c:ptCount val="3"/>
                <c:pt idx="0">
                  <c:v>6.2482193112373269E-3</c:v>
                </c:pt>
                <c:pt idx="1">
                  <c:v>5.5911660194397084E-3</c:v>
                </c:pt>
                <c:pt idx="2">
                  <c:v>6.9086328148841997E-3</c:v>
                </c:pt>
              </c:numCache>
            </c:numRef>
          </c:val>
          <c:extLst xmlns:c16r2="http://schemas.microsoft.com/office/drawing/2015/06/chart">
            <c:ext xmlns:c16="http://schemas.microsoft.com/office/drawing/2014/chart" uri="{C3380CC4-5D6E-409C-BE32-E72D297353CC}">
              <c16:uniqueId val="{00000002-4122-402C-B7AE-9065E1F7957B}"/>
            </c:ext>
          </c:extLst>
        </c:ser>
        <c:dLbls>
          <c:showLegendKey val="0"/>
          <c:showVal val="0"/>
          <c:showCatName val="0"/>
          <c:showSerName val="0"/>
          <c:showPercent val="0"/>
          <c:showBubbleSize val="0"/>
        </c:dLbls>
        <c:gapWidth val="98"/>
        <c:overlap val="100"/>
        <c:axId val="172992000"/>
        <c:axId val="172993536"/>
      </c:barChart>
      <c:catAx>
        <c:axId val="172992000"/>
        <c:scaling>
          <c:orientation val="minMax"/>
        </c:scaling>
        <c:delete val="0"/>
        <c:axPos val="b"/>
        <c:numFmt formatCode="General" sourceLinked="0"/>
        <c:majorTickMark val="none"/>
        <c:minorTickMark val="none"/>
        <c:tickLblPos val="nextTo"/>
        <c:txPr>
          <a:bodyPr/>
          <a:lstStyle/>
          <a:p>
            <a:pPr>
              <a:defRPr sz="1050"/>
            </a:pPr>
            <a:endParaRPr lang="en-US"/>
          </a:p>
        </c:txPr>
        <c:crossAx val="172993536"/>
        <c:crosses val="autoZero"/>
        <c:auto val="1"/>
        <c:lblAlgn val="ctr"/>
        <c:lblOffset val="100"/>
        <c:noMultiLvlLbl val="0"/>
      </c:catAx>
      <c:valAx>
        <c:axId val="172993536"/>
        <c:scaling>
          <c:orientation val="minMax"/>
        </c:scaling>
        <c:delete val="0"/>
        <c:axPos val="l"/>
        <c:majorGridlines>
          <c:spPr>
            <a:ln>
              <a:solidFill>
                <a:schemeClr val="accent1"/>
              </a:solidFill>
            </a:ln>
          </c:spPr>
        </c:majorGridlines>
        <c:numFmt formatCode="0%" sourceLinked="0"/>
        <c:majorTickMark val="none"/>
        <c:minorTickMark val="none"/>
        <c:tickLblPos val="nextTo"/>
        <c:spPr>
          <a:ln>
            <a:noFill/>
          </a:ln>
        </c:spPr>
        <c:txPr>
          <a:bodyPr/>
          <a:lstStyle/>
          <a:p>
            <a:pPr>
              <a:defRPr sz="1050"/>
            </a:pPr>
            <a:endParaRPr lang="en-US"/>
          </a:p>
        </c:txPr>
        <c:crossAx val="17299200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129944264652996E-2"/>
          <c:y val="2.9094653262681788E-2"/>
          <c:w val="0.92179297015462058"/>
          <c:h val="0.92219789132197894"/>
        </c:manualLayout>
      </c:layout>
      <c:barChart>
        <c:barDir val="col"/>
        <c:grouping val="stacked"/>
        <c:varyColors val="0"/>
        <c:ser>
          <c:idx val="0"/>
          <c:order val="0"/>
          <c:tx>
            <c:strRef>
              <c:f>'Chart data'!$AZ$88</c:f>
              <c:strCache>
                <c:ptCount val="1"/>
                <c:pt idx="0">
                  <c:v>Bottom</c:v>
                </c:pt>
              </c:strCache>
            </c:strRef>
          </c:tx>
          <c:spPr>
            <a:noFill/>
            <a:ln>
              <a:noFill/>
            </a:ln>
          </c:spPr>
          <c:invertIfNegative val="0"/>
          <c:errBars>
            <c:errBarType val="minus"/>
            <c:errValType val="cust"/>
            <c:noEndCap val="0"/>
            <c:plus>
              <c:numLit>
                <c:formatCode>General</c:formatCode>
                <c:ptCount val="1"/>
                <c:pt idx="0">
                  <c:v>1</c:v>
                </c:pt>
              </c:numLit>
            </c:plus>
            <c:minus>
              <c:numRef>
                <c:f>'Chart data'!$BA$91:$BB$91</c:f>
                <c:numCache>
                  <c:formatCode>General</c:formatCode>
                  <c:ptCount val="2"/>
                  <c:pt idx="0">
                    <c:v>1.0990169644355771E-2</c:v>
                  </c:pt>
                  <c:pt idx="1">
                    <c:v>1.7767968773841861E-2</c:v>
                  </c:pt>
                </c:numCache>
              </c:numRef>
            </c:minus>
            <c:spPr>
              <a:ln w="19050"/>
            </c:spPr>
          </c:errBars>
          <c:cat>
            <c:strRef>
              <c:f>'Chart data'!$BA$48:$BB$48</c:f>
              <c:strCache>
                <c:ptCount val="2"/>
                <c:pt idx="0">
                  <c:v>Price-quality regulated</c:v>
                </c:pt>
                <c:pt idx="1">
                  <c:v>Information disclosure</c:v>
                </c:pt>
              </c:strCache>
            </c:strRef>
          </c:cat>
          <c:val>
            <c:numRef>
              <c:f>'Chart data'!$BA$88:$BB$88</c:f>
              <c:numCache>
                <c:formatCode>_(* #,##0.0%_);_(* \(#,##0.0%\);_(* "–"??_);_(* @_)</c:formatCode>
                <c:ptCount val="2"/>
                <c:pt idx="0">
                  <c:v>6.4281469583511358E-2</c:v>
                </c:pt>
                <c:pt idx="1">
                  <c:v>4.4198817014694219E-2</c:v>
                </c:pt>
              </c:numCache>
            </c:numRef>
          </c:val>
          <c:extLst xmlns:c16r2="http://schemas.microsoft.com/office/drawing/2015/06/chart">
            <c:ext xmlns:c16="http://schemas.microsoft.com/office/drawing/2014/chart" uri="{C3380CC4-5D6E-409C-BE32-E72D297353CC}">
              <c16:uniqueId val="{00000000-F443-4A43-9EAD-195A3AC280E5}"/>
            </c:ext>
          </c:extLst>
        </c:ser>
        <c:ser>
          <c:idx val="1"/>
          <c:order val="1"/>
          <c:tx>
            <c:strRef>
              <c:f>'Chart data'!$AZ$89</c:f>
              <c:strCache>
                <c:ptCount val="1"/>
                <c:pt idx="0">
                  <c:v>2Q Box</c:v>
                </c:pt>
              </c:strCache>
            </c:strRef>
          </c:tx>
          <c:spPr>
            <a:solidFill>
              <a:schemeClr val="bg1">
                <a:lumMod val="85000"/>
              </a:schemeClr>
            </a:solidFill>
            <a:ln>
              <a:solidFill>
                <a:schemeClr val="tx1"/>
              </a:solidFill>
            </a:ln>
          </c:spPr>
          <c:invertIfNegative val="0"/>
          <c:cat>
            <c:strRef>
              <c:f>'Chart data'!$BA$48:$BB$48</c:f>
              <c:strCache>
                <c:ptCount val="2"/>
                <c:pt idx="0">
                  <c:v>Price-quality regulated</c:v>
                </c:pt>
                <c:pt idx="1">
                  <c:v>Information disclosure</c:v>
                </c:pt>
              </c:strCache>
            </c:strRef>
          </c:cat>
          <c:val>
            <c:numRef>
              <c:f>'Chart data'!$BA$89:$BB$89</c:f>
              <c:numCache>
                <c:formatCode>_(* #,##0.0%_);_(* \(#,##0.0%\);_(* "–"??_);_(* @_)</c:formatCode>
                <c:ptCount val="2"/>
                <c:pt idx="0">
                  <c:v>3.9375424385070801E-3</c:v>
                </c:pt>
                <c:pt idx="1">
                  <c:v>1.8906056880950928E-2</c:v>
                </c:pt>
              </c:numCache>
            </c:numRef>
          </c:val>
          <c:extLst xmlns:c16r2="http://schemas.microsoft.com/office/drawing/2015/06/chart">
            <c:ext xmlns:c16="http://schemas.microsoft.com/office/drawing/2014/chart" uri="{C3380CC4-5D6E-409C-BE32-E72D297353CC}">
              <c16:uniqueId val="{00000001-F443-4A43-9EAD-195A3AC280E5}"/>
            </c:ext>
          </c:extLst>
        </c:ser>
        <c:ser>
          <c:idx val="2"/>
          <c:order val="2"/>
          <c:tx>
            <c:strRef>
              <c:f>'Chart data'!$AZ$90</c:f>
              <c:strCache>
                <c:ptCount val="1"/>
                <c:pt idx="0">
                  <c:v>3Q Box</c:v>
                </c:pt>
              </c:strCache>
            </c:strRef>
          </c:tx>
          <c:spPr>
            <a:solidFill>
              <a:schemeClr val="bg1">
                <a:lumMod val="85000"/>
              </a:schemeClr>
            </a:solidFill>
            <a:ln>
              <a:solidFill>
                <a:schemeClr val="tx1"/>
              </a:solidFill>
            </a:ln>
          </c:spPr>
          <c:invertIfNegative val="0"/>
          <c:errBars>
            <c:errBarType val="plus"/>
            <c:errValType val="cust"/>
            <c:noEndCap val="0"/>
            <c:plus>
              <c:numRef>
                <c:f>'Chart data'!$BA$92:$BB$92</c:f>
                <c:numCache>
                  <c:formatCode>General</c:formatCode>
                  <c:ptCount val="2"/>
                  <c:pt idx="0">
                    <c:v>8.5860207676887595E-3</c:v>
                  </c:pt>
                  <c:pt idx="1">
                    <c:v>1.0846233367919927E-2</c:v>
                  </c:pt>
                </c:numCache>
              </c:numRef>
            </c:plus>
            <c:minus>
              <c:numLit>
                <c:formatCode>General</c:formatCode>
                <c:ptCount val="1"/>
                <c:pt idx="0">
                  <c:v>1</c:v>
                </c:pt>
              </c:numLit>
            </c:minus>
            <c:spPr>
              <a:ln w="19050"/>
            </c:spPr>
          </c:errBars>
          <c:cat>
            <c:strRef>
              <c:f>'Chart data'!$BA$48:$BB$48</c:f>
              <c:strCache>
                <c:ptCount val="2"/>
                <c:pt idx="0">
                  <c:v>Price-quality regulated</c:v>
                </c:pt>
                <c:pt idx="1">
                  <c:v>Information disclosure</c:v>
                </c:pt>
              </c:strCache>
            </c:strRef>
          </c:cat>
          <c:val>
            <c:numRef>
              <c:f>'Chart data'!$BA$90:$BB$90</c:f>
              <c:numCache>
                <c:formatCode>_(* #,##0.0%_);_(* \(#,##0.0%\);_(* "–"??_);_(* @_)</c:formatCode>
                <c:ptCount val="2"/>
                <c:pt idx="0">
                  <c:v>6.9086328148841997E-3</c:v>
                </c:pt>
                <c:pt idx="1">
                  <c:v>1.3022235035896307E-2</c:v>
                </c:pt>
              </c:numCache>
            </c:numRef>
          </c:val>
          <c:extLst xmlns:c16r2="http://schemas.microsoft.com/office/drawing/2015/06/chart">
            <c:ext xmlns:c16="http://schemas.microsoft.com/office/drawing/2014/chart" uri="{C3380CC4-5D6E-409C-BE32-E72D297353CC}">
              <c16:uniqueId val="{00000002-F443-4A43-9EAD-195A3AC280E5}"/>
            </c:ext>
          </c:extLst>
        </c:ser>
        <c:dLbls>
          <c:showLegendKey val="0"/>
          <c:showVal val="0"/>
          <c:showCatName val="0"/>
          <c:showSerName val="0"/>
          <c:showPercent val="0"/>
          <c:showBubbleSize val="0"/>
        </c:dLbls>
        <c:gapWidth val="150"/>
        <c:overlap val="100"/>
        <c:axId val="172304256"/>
        <c:axId val="172305792"/>
      </c:barChart>
      <c:catAx>
        <c:axId val="172304256"/>
        <c:scaling>
          <c:orientation val="minMax"/>
        </c:scaling>
        <c:delete val="0"/>
        <c:axPos val="b"/>
        <c:numFmt formatCode="General" sourceLinked="0"/>
        <c:majorTickMark val="none"/>
        <c:minorTickMark val="none"/>
        <c:tickLblPos val="nextTo"/>
        <c:txPr>
          <a:bodyPr/>
          <a:lstStyle/>
          <a:p>
            <a:pPr>
              <a:defRPr sz="900"/>
            </a:pPr>
            <a:endParaRPr lang="en-US"/>
          </a:p>
        </c:txPr>
        <c:crossAx val="172305792"/>
        <c:crosses val="autoZero"/>
        <c:auto val="1"/>
        <c:lblAlgn val="ctr"/>
        <c:lblOffset val="100"/>
        <c:noMultiLvlLbl val="0"/>
      </c:catAx>
      <c:valAx>
        <c:axId val="172305792"/>
        <c:scaling>
          <c:orientation val="minMax"/>
        </c:scaling>
        <c:delete val="0"/>
        <c:axPos val="l"/>
        <c:majorGridlines>
          <c:spPr>
            <a:ln>
              <a:solidFill>
                <a:schemeClr val="accent1"/>
              </a:solidFill>
            </a:ln>
          </c:spPr>
        </c:majorGridlines>
        <c:numFmt formatCode="0%" sourceLinked="0"/>
        <c:majorTickMark val="none"/>
        <c:minorTickMark val="none"/>
        <c:tickLblPos val="nextTo"/>
        <c:spPr>
          <a:ln>
            <a:noFill/>
          </a:ln>
        </c:spPr>
        <c:txPr>
          <a:bodyPr/>
          <a:lstStyle/>
          <a:p>
            <a:pPr>
              <a:defRPr sz="900"/>
            </a:pPr>
            <a:endParaRPr lang="en-US"/>
          </a:p>
        </c:txPr>
        <c:crossAx val="172304256"/>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marker>
            <c:symbol val="diamond"/>
            <c:size val="8"/>
            <c:spPr>
              <a:solidFill>
                <a:srgbClr val="3E8A92"/>
              </a:solidFill>
            </c:spPr>
          </c:marker>
          <c:xVal>
            <c:numRef>
              <c:f>'Chart data'!$AU$27:$AU$42</c:f>
              <c:numCache>
                <c:formatCode>_(* #,##0.00_);_(* \(#,##0.00\);_(* "–"???_);_(* @_)</c:formatCode>
                <c:ptCount val="16"/>
                <c:pt idx="0">
                  <c:v>0.55642962455749512</c:v>
                </c:pt>
                <c:pt idx="1">
                  <c:v>-0.59806346893310547</c:v>
                </c:pt>
                <c:pt idx="2">
                  <c:v>-0.16186714172363459</c:v>
                </c:pt>
                <c:pt idx="3">
                  <c:v>-0.30574262142181485</c:v>
                </c:pt>
                <c:pt idx="4">
                  <c:v>0.47111749649048207</c:v>
                </c:pt>
                <c:pt idx="5">
                  <c:v>-0.41335582733154386</c:v>
                </c:pt>
                <c:pt idx="6">
                  <c:v>0.12078404426574618</c:v>
                </c:pt>
                <c:pt idx="7">
                  <c:v>-0.95834910869598566</c:v>
                </c:pt>
                <c:pt idx="8">
                  <c:v>-0.12520015239715576</c:v>
                </c:pt>
                <c:pt idx="9">
                  <c:v>9.6574425697325772E-2</c:v>
                </c:pt>
                <c:pt idx="10">
                  <c:v>-0.11184930801391246</c:v>
                </c:pt>
                <c:pt idx="11">
                  <c:v>1.4129638671875009</c:v>
                </c:pt>
                <c:pt idx="12">
                  <c:v>-0.58529675006866011</c:v>
                </c:pt>
                <c:pt idx="13">
                  <c:v>-4.5095086097719062E-2</c:v>
                </c:pt>
                <c:pt idx="14">
                  <c:v>-0.37393271923065186</c:v>
                </c:pt>
                <c:pt idx="15">
                  <c:v>-0.75905323028564453</c:v>
                </c:pt>
              </c:numCache>
            </c:numRef>
          </c:xVal>
          <c:yVal>
            <c:numRef>
              <c:f>'Chart data'!$AT$27:$AT$42</c:f>
              <c:numCache>
                <c:formatCode>_(* #,##0.00_);_(* \(#,##0.00\);_(* "–"???_);_(* @_)</c:formatCode>
                <c:ptCount val="16"/>
                <c:pt idx="0">
                  <c:v>-1.4408522844314575</c:v>
                </c:pt>
                <c:pt idx="1">
                  <c:v>-6.8532228469850409E-2</c:v>
                </c:pt>
                <c:pt idx="2">
                  <c:v>-1.7220705747604388</c:v>
                </c:pt>
                <c:pt idx="3">
                  <c:v>-0.87041854858398615</c:v>
                </c:pt>
                <c:pt idx="4">
                  <c:v>-0.89665710926055997</c:v>
                </c:pt>
                <c:pt idx="5">
                  <c:v>-0.12630105018615723</c:v>
                </c:pt>
                <c:pt idx="6">
                  <c:v>-0.30896544456481845</c:v>
                </c:pt>
                <c:pt idx="7">
                  <c:v>0.54176330566406428</c:v>
                </c:pt>
                <c:pt idx="8">
                  <c:v>-0.56626379489898859</c:v>
                </c:pt>
                <c:pt idx="9">
                  <c:v>-1.1261647939682033</c:v>
                </c:pt>
                <c:pt idx="10">
                  <c:v>-0.12931048870086759</c:v>
                </c:pt>
                <c:pt idx="11">
                  <c:v>-0.55477440357208163</c:v>
                </c:pt>
                <c:pt idx="12">
                  <c:v>-0.2719092369079581</c:v>
                </c:pt>
                <c:pt idx="13">
                  <c:v>-1.0097920894622829</c:v>
                </c:pt>
                <c:pt idx="14">
                  <c:v>0.1979440450668335</c:v>
                </c:pt>
                <c:pt idx="15">
                  <c:v>0.66753685474395663</c:v>
                </c:pt>
              </c:numCache>
            </c:numRef>
          </c:yVal>
          <c:smooth val="0"/>
        </c:ser>
        <c:dLbls>
          <c:showLegendKey val="0"/>
          <c:showVal val="0"/>
          <c:showCatName val="0"/>
          <c:showSerName val="0"/>
          <c:showPercent val="0"/>
          <c:showBubbleSize val="0"/>
        </c:dLbls>
        <c:axId val="172345600"/>
        <c:axId val="172347776"/>
      </c:scatterChart>
      <c:valAx>
        <c:axId val="172345600"/>
        <c:scaling>
          <c:orientation val="minMax"/>
        </c:scaling>
        <c:delete val="0"/>
        <c:axPos val="b"/>
        <c:numFmt formatCode="#,##0" sourceLinked="0"/>
        <c:majorTickMark val="none"/>
        <c:minorTickMark val="none"/>
        <c:tickLblPos val="nextTo"/>
        <c:txPr>
          <a:bodyPr/>
          <a:lstStyle/>
          <a:p>
            <a:pPr>
              <a:defRPr sz="800"/>
            </a:pPr>
            <a:endParaRPr lang="en-US"/>
          </a:p>
        </c:txPr>
        <c:crossAx val="172347776"/>
        <c:crosses val="autoZero"/>
        <c:crossBetween val="midCat"/>
        <c:majorUnit val="1"/>
      </c:valAx>
      <c:valAx>
        <c:axId val="172347776"/>
        <c:scaling>
          <c:orientation val="minMax"/>
          <c:max val="2"/>
          <c:min val="-2"/>
        </c:scaling>
        <c:delete val="0"/>
        <c:axPos val="l"/>
        <c:majorGridlines>
          <c:spPr>
            <a:ln>
              <a:noFill/>
            </a:ln>
          </c:spPr>
        </c:majorGridlines>
        <c:numFmt formatCode="#,##0" sourceLinked="0"/>
        <c:majorTickMark val="none"/>
        <c:minorTickMark val="none"/>
        <c:tickLblPos val="nextTo"/>
        <c:txPr>
          <a:bodyPr/>
          <a:lstStyle/>
          <a:p>
            <a:pPr>
              <a:defRPr sz="800"/>
            </a:pPr>
            <a:endParaRPr lang="en-US"/>
          </a:p>
        </c:txPr>
        <c:crossAx val="172345600"/>
        <c:crosses val="autoZero"/>
        <c:crossBetween val="midCat"/>
        <c:majorUnit val="1"/>
      </c:valAx>
    </c:plotArea>
    <c:plotVisOnly val="1"/>
    <c:dispBlanksAs val="gap"/>
    <c:showDLblsOverMax val="0"/>
  </c:chart>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1197963462114402E-2"/>
          <c:y val="2.9483633887882648E-2"/>
          <c:w val="0.98382424877707897"/>
          <c:h val="0.84127323998793901"/>
        </c:manualLayout>
      </c:layout>
      <c:barChart>
        <c:barDir val="col"/>
        <c:grouping val="stacked"/>
        <c:varyColors val="0"/>
        <c:ser>
          <c:idx val="0"/>
          <c:order val="0"/>
          <c:spPr>
            <a:noFill/>
            <a:ln>
              <a:noFill/>
            </a:ln>
          </c:spPr>
          <c:invertIfNegative val="0"/>
          <c:cat>
            <c:strRef>
              <c:f>Waterfall!$R$7:$AE$7</c:f>
              <c:strCache>
                <c:ptCount val="14"/>
                <c:pt idx="0">
                  <c:v>Expected real return (excl forecast asset revaluations)</c:v>
                </c:pt>
                <c:pt idx="1">
                  <c:v>Changes in demand (delta D)</c:v>
                </c:pt>
                <c:pt idx="2">
                  <c:v>Changes in demand (CPRG)</c:v>
                </c:pt>
                <c:pt idx="3">
                  <c:v>Inflation indexation of revenue limit (CPI–X%)</c:v>
                </c:pt>
                <c:pt idx="4">
                  <c:v>Pricing beneath limit</c:v>
                </c:pt>
                <c:pt idx="5">
                  <c:v>Impact of delay to reset</c:v>
                </c:pt>
                <c:pt idx="6">
                  <c:v>Clawback for delay</c:v>
                </c:pt>
                <c:pt idx="7">
                  <c:v>10% cap</c:v>
                </c:pt>
                <c:pt idx="8">
                  <c:v>NPV adjustment for 10% cap</c:v>
                </c:pt>
                <c:pt idx="9">
                  <c:v>Payments for avoided costs of transmission</c:v>
                </c:pt>
                <c:pt idx="10">
                  <c:v>Other regulatory income</c:v>
                </c:pt>
                <c:pt idx="11">
                  <c:v>Further revenue effects</c:v>
                </c:pt>
                <c:pt idx="12">
                  <c:v>Total cost effects</c:v>
                </c:pt>
                <c:pt idx="13">
                  <c:v>Disclosed real return (excl actual asset revaluations)</c:v>
                </c:pt>
              </c:strCache>
            </c:strRef>
          </c:cat>
          <c:val>
            <c:numRef>
              <c:f>Waterfall!$R$12:$AE$12</c:f>
              <c:numCache>
                <c:formatCode>_(* #,##0.00%_);_(* \(#,##0.00%\);_(* "–"???_);_(* @_)</c:formatCode>
                <c:ptCount val="14"/>
                <c:pt idx="0">
                  <c:v>0</c:v>
                </c:pt>
                <c:pt idx="1">
                  <c:v>7.0406374335288999E-2</c:v>
                </c:pt>
                <c:pt idx="2">
                  <c:v>7.0406374335288999E-2</c:v>
                </c:pt>
                <c:pt idx="3">
                  <c:v>6.9422015547752375E-2</c:v>
                </c:pt>
                <c:pt idx="4">
                  <c:v>6.8004623055458069E-2</c:v>
                </c:pt>
                <c:pt idx="5">
                  <c:v>6.6476717591285706E-2</c:v>
                </c:pt>
                <c:pt idx="6">
                  <c:v>6.6476717591285706E-2</c:v>
                </c:pt>
                <c:pt idx="7">
                  <c:v>6.7029622197151195E-2</c:v>
                </c:pt>
                <c:pt idx="8">
                  <c:v>6.7029622197151195E-2</c:v>
                </c:pt>
                <c:pt idx="9">
                  <c:v>6.7605009675025959E-2</c:v>
                </c:pt>
                <c:pt idx="10">
                  <c:v>6.7912176251411452E-2</c:v>
                </c:pt>
                <c:pt idx="11">
                  <c:v>6.8017444014549261E-2</c:v>
                </c:pt>
                <c:pt idx="12">
                  <c:v>6.7514356970787073E-2</c:v>
                </c:pt>
                <c:pt idx="13">
                  <c:v>0</c:v>
                </c:pt>
              </c:numCache>
            </c:numRef>
          </c:val>
          <c:extLst xmlns:c16r2="http://schemas.microsoft.com/office/drawing/2015/06/chart">
            <c:ext xmlns:c16="http://schemas.microsoft.com/office/drawing/2014/chart" uri="{C3380CC4-5D6E-409C-BE32-E72D297353CC}">
              <c16:uniqueId val="{00000000-1A98-4F5E-AD08-2041F79B26E3}"/>
            </c:ext>
          </c:extLst>
        </c:ser>
        <c:ser>
          <c:idx val="1"/>
          <c:order val="1"/>
          <c:spPr>
            <a:solidFill>
              <a:srgbClr val="5FB0B9"/>
            </a:solidFill>
          </c:spPr>
          <c:invertIfNegative val="0"/>
          <c:dPt>
            <c:idx val="0"/>
            <c:invertIfNegative val="0"/>
            <c:bubble3D val="0"/>
            <c:spPr>
              <a:solidFill>
                <a:srgbClr val="3E8A92"/>
              </a:solidFill>
            </c:spPr>
            <c:extLst xmlns:c16r2="http://schemas.microsoft.com/office/drawing/2015/06/chart">
              <c:ext xmlns:c16="http://schemas.microsoft.com/office/drawing/2014/chart" uri="{C3380CC4-5D6E-409C-BE32-E72D297353CC}">
                <c16:uniqueId val="{00000002-1A98-4F5E-AD08-2041F79B26E3}"/>
              </c:ext>
            </c:extLst>
          </c:dPt>
          <c:dPt>
            <c:idx val="2"/>
            <c:invertIfNegative val="0"/>
            <c:bubble3D val="0"/>
            <c:spPr>
              <a:solidFill>
                <a:srgbClr val="5FB0B9">
                  <a:alpha val="98000"/>
                </a:srgbClr>
              </a:solidFill>
            </c:spPr>
            <c:extLst xmlns:c16r2="http://schemas.microsoft.com/office/drawing/2015/06/chart">
              <c:ext xmlns:c16="http://schemas.microsoft.com/office/drawing/2014/chart" uri="{C3380CC4-5D6E-409C-BE32-E72D297353CC}">
                <c16:uniqueId val="{00000004-1A98-4F5E-AD08-2041F79B26E3}"/>
              </c:ext>
            </c:extLst>
          </c:dPt>
          <c:dPt>
            <c:idx val="10"/>
            <c:invertIfNegative val="0"/>
            <c:bubble3D val="0"/>
            <c:extLst xmlns:c16r2="http://schemas.microsoft.com/office/drawing/2015/06/chart">
              <c:ext xmlns:c16="http://schemas.microsoft.com/office/drawing/2014/chart" uri="{C3380CC4-5D6E-409C-BE32-E72D297353CC}">
                <c16:uniqueId val="{00000005-1A98-4F5E-AD08-2041F79B26E3}"/>
              </c:ext>
            </c:extLst>
          </c:dPt>
          <c:dPt>
            <c:idx val="12"/>
            <c:invertIfNegative val="0"/>
            <c:bubble3D val="0"/>
            <c:extLst xmlns:c16r2="http://schemas.microsoft.com/office/drawing/2015/06/chart">
              <c:ext xmlns:c16="http://schemas.microsoft.com/office/drawing/2014/chart" uri="{C3380CC4-5D6E-409C-BE32-E72D297353CC}">
                <c16:uniqueId val="{00000006-1A98-4F5E-AD08-2041F79B26E3}"/>
              </c:ext>
            </c:extLst>
          </c:dPt>
          <c:dPt>
            <c:idx val="13"/>
            <c:invertIfNegative val="0"/>
            <c:bubble3D val="0"/>
            <c:spPr>
              <a:solidFill>
                <a:srgbClr val="3E8A92"/>
              </a:solidFill>
            </c:spPr>
            <c:extLst xmlns:c16r2="http://schemas.microsoft.com/office/drawing/2015/06/chart">
              <c:ext xmlns:c16="http://schemas.microsoft.com/office/drawing/2014/chart" uri="{C3380CC4-5D6E-409C-BE32-E72D297353CC}">
                <c16:uniqueId val="{00000008-1A98-4F5E-AD08-2041F79B26E3}"/>
              </c:ext>
            </c:extLst>
          </c:dPt>
          <c:dPt>
            <c:idx val="14"/>
            <c:invertIfNegative val="0"/>
            <c:bubble3D val="0"/>
            <c:spPr>
              <a:solidFill>
                <a:srgbClr val="3E8A92"/>
              </a:solidFill>
            </c:spPr>
            <c:extLst xmlns:c16r2="http://schemas.microsoft.com/office/drawing/2015/06/chart">
              <c:ext xmlns:c16="http://schemas.microsoft.com/office/drawing/2014/chart" uri="{C3380CC4-5D6E-409C-BE32-E72D297353CC}">
                <c16:uniqueId val="{0000000A-1A98-4F5E-AD08-2041F79B26E3}"/>
              </c:ext>
            </c:extLst>
          </c:dPt>
          <c:cat>
            <c:strRef>
              <c:f>Waterfall!$R$7:$AE$7</c:f>
              <c:strCache>
                <c:ptCount val="14"/>
                <c:pt idx="0">
                  <c:v>Expected real return (excl forecast asset revaluations)</c:v>
                </c:pt>
                <c:pt idx="1">
                  <c:v>Changes in demand (delta D)</c:v>
                </c:pt>
                <c:pt idx="2">
                  <c:v>Changes in demand (CPRG)</c:v>
                </c:pt>
                <c:pt idx="3">
                  <c:v>Inflation indexation of revenue limit (CPI–X%)</c:v>
                </c:pt>
                <c:pt idx="4">
                  <c:v>Pricing beneath limit</c:v>
                </c:pt>
                <c:pt idx="5">
                  <c:v>Impact of delay to reset</c:v>
                </c:pt>
                <c:pt idx="6">
                  <c:v>Clawback for delay</c:v>
                </c:pt>
                <c:pt idx="7">
                  <c:v>10% cap</c:v>
                </c:pt>
                <c:pt idx="8">
                  <c:v>NPV adjustment for 10% cap</c:v>
                </c:pt>
                <c:pt idx="9">
                  <c:v>Payments for avoided costs of transmission</c:v>
                </c:pt>
                <c:pt idx="10">
                  <c:v>Other regulatory income</c:v>
                </c:pt>
                <c:pt idx="11">
                  <c:v>Further revenue effects</c:v>
                </c:pt>
                <c:pt idx="12">
                  <c:v>Total cost effects</c:v>
                </c:pt>
                <c:pt idx="13">
                  <c:v>Disclosed real return (excl actual asset revaluations)</c:v>
                </c:pt>
              </c:strCache>
            </c:strRef>
          </c:cat>
          <c:val>
            <c:numRef>
              <c:f>Waterfall!$R$13:$AE$13</c:f>
              <c:numCache>
                <c:formatCode>_(* #,##0.00%_);_(* \(#,##0.00%\);_(* "–"???_);_(* @_)</c:formatCode>
                <c:ptCount val="14"/>
                <c:pt idx="0">
                  <c:v>7.3174986243247989E-2</c:v>
                </c:pt>
                <c:pt idx="1">
                  <c:v>2.7686119079589899E-3</c:v>
                </c:pt>
                <c:pt idx="2">
                  <c:v>5.2571296691895919E-4</c:v>
                </c:pt>
                <c:pt idx="3">
                  <c:v>1.5100717544555831E-3</c:v>
                </c:pt>
                <c:pt idx="4">
                  <c:v>1.417392492294306E-3</c:v>
                </c:pt>
                <c:pt idx="5">
                  <c:v>1.5279054641723633E-3</c:v>
                </c:pt>
                <c:pt idx="6">
                  <c:v>1.2355923652648954E-3</c:v>
                </c:pt>
                <c:pt idx="7">
                  <c:v>6.8268775939940574E-4</c:v>
                </c:pt>
                <c:pt idx="8">
                  <c:v>5.7538747787476419E-4</c:v>
                </c:pt>
                <c:pt idx="9">
                  <c:v>3.071665763854925E-4</c:v>
                </c:pt>
                <c:pt idx="10">
                  <c:v>1.0888576507568637E-4</c:v>
                </c:pt>
                <c:pt idx="11">
                  <c:v>3.6180019378773132E-6</c:v>
                </c:pt>
                <c:pt idx="12">
                  <c:v>5.030870437621876E-4</c:v>
                </c:pt>
                <c:pt idx="13">
                  <c:v>6.7514356970787073E-2</c:v>
                </c:pt>
              </c:numCache>
            </c:numRef>
          </c:val>
          <c:extLst xmlns:c16r2="http://schemas.microsoft.com/office/drawing/2015/06/chart">
            <c:ext xmlns:c16="http://schemas.microsoft.com/office/drawing/2014/chart" uri="{C3380CC4-5D6E-409C-BE32-E72D297353CC}">
              <c16:uniqueId val="{0000000B-1A98-4F5E-AD08-2041F79B26E3}"/>
            </c:ext>
          </c:extLst>
        </c:ser>
        <c:ser>
          <c:idx val="2"/>
          <c:order val="2"/>
          <c:spPr>
            <a:noFill/>
          </c:spPr>
          <c:invertIfNegative val="0"/>
          <c:dLbls>
            <c:dLbl>
              <c:idx val="1"/>
              <c:layout>
                <c:manualLayout>
                  <c:x val="0"/>
                  <c:y val="-7.0766801217239887E-3"/>
                </c:manualLayout>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0C-1A98-4F5E-AD08-2041F79B26E3}"/>
                </c:ext>
              </c:extLst>
            </c:dLbl>
            <c:numFmt formatCode="0.00%" sourceLinked="0"/>
            <c:spPr>
              <a:noFill/>
              <a:ln>
                <a:noFill/>
              </a:ln>
              <a:effectLst/>
            </c:sp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15:showLeaderLines val="0"/>
              </c:ext>
            </c:extLst>
          </c:dLbls>
          <c:cat>
            <c:strRef>
              <c:f>Waterfall!$R$7:$AE$7</c:f>
              <c:strCache>
                <c:ptCount val="14"/>
                <c:pt idx="0">
                  <c:v>Expected real return (excl forecast asset revaluations)</c:v>
                </c:pt>
                <c:pt idx="1">
                  <c:v>Changes in demand (delta D)</c:v>
                </c:pt>
                <c:pt idx="2">
                  <c:v>Changes in demand (CPRG)</c:v>
                </c:pt>
                <c:pt idx="3">
                  <c:v>Inflation indexation of revenue limit (CPI–X%)</c:v>
                </c:pt>
                <c:pt idx="4">
                  <c:v>Pricing beneath limit</c:v>
                </c:pt>
                <c:pt idx="5">
                  <c:v>Impact of delay to reset</c:v>
                </c:pt>
                <c:pt idx="6">
                  <c:v>Clawback for delay</c:v>
                </c:pt>
                <c:pt idx="7">
                  <c:v>10% cap</c:v>
                </c:pt>
                <c:pt idx="8">
                  <c:v>NPV adjustment for 10% cap</c:v>
                </c:pt>
                <c:pt idx="9">
                  <c:v>Payments for avoided costs of transmission</c:v>
                </c:pt>
                <c:pt idx="10">
                  <c:v>Other regulatory income</c:v>
                </c:pt>
                <c:pt idx="11">
                  <c:v>Further revenue effects</c:v>
                </c:pt>
                <c:pt idx="12">
                  <c:v>Total cost effects</c:v>
                </c:pt>
                <c:pt idx="13">
                  <c:v>Disclosed real return (excl actual asset revaluations)</c:v>
                </c:pt>
              </c:strCache>
            </c:strRef>
          </c:cat>
          <c:val>
            <c:numRef>
              <c:f>Waterfall!$R$13:$AE$13</c:f>
              <c:numCache>
                <c:formatCode>_(* #,##0.00%_);_(* \(#,##0.00%\);_(* "–"???_);_(* @_)</c:formatCode>
                <c:ptCount val="14"/>
                <c:pt idx="0">
                  <c:v>7.3174986243247989E-2</c:v>
                </c:pt>
                <c:pt idx="1">
                  <c:v>2.7686119079589899E-3</c:v>
                </c:pt>
                <c:pt idx="2">
                  <c:v>5.2571296691895919E-4</c:v>
                </c:pt>
                <c:pt idx="3">
                  <c:v>1.5100717544555831E-3</c:v>
                </c:pt>
                <c:pt idx="4">
                  <c:v>1.417392492294306E-3</c:v>
                </c:pt>
                <c:pt idx="5">
                  <c:v>1.5279054641723633E-3</c:v>
                </c:pt>
                <c:pt idx="6">
                  <c:v>1.2355923652648954E-3</c:v>
                </c:pt>
                <c:pt idx="7">
                  <c:v>6.8268775939940574E-4</c:v>
                </c:pt>
                <c:pt idx="8">
                  <c:v>5.7538747787476419E-4</c:v>
                </c:pt>
                <c:pt idx="9">
                  <c:v>3.071665763854925E-4</c:v>
                </c:pt>
                <c:pt idx="10">
                  <c:v>1.0888576507568637E-4</c:v>
                </c:pt>
                <c:pt idx="11">
                  <c:v>3.6180019378773132E-6</c:v>
                </c:pt>
                <c:pt idx="12">
                  <c:v>5.030870437621876E-4</c:v>
                </c:pt>
                <c:pt idx="13">
                  <c:v>6.7514356970787073E-2</c:v>
                </c:pt>
              </c:numCache>
            </c:numRef>
          </c:val>
          <c:extLst xmlns:c16r2="http://schemas.microsoft.com/office/drawing/2015/06/chart">
            <c:ext xmlns:c15="http://schemas.microsoft.com/office/drawing/2012/chart" uri="{02D57815-91ED-43cb-92C2-25804820EDAC}">
              <c15:datalabelsRange>
                <c15:f>Waterfall!$R$9:$AE$9</c15:f>
                <c15:dlblRangeCache>
                  <c:ptCount val="14"/>
                  <c:pt idx="0">
                    <c:v> 7.32% </c:v>
                  </c:pt>
                  <c:pt idx="1">
                    <c:v> (0.28%)</c:v>
                  </c:pt>
                  <c:pt idx="2">
                    <c:v> 0.05% </c:v>
                  </c:pt>
                  <c:pt idx="3">
                    <c:v> (0.15%)</c:v>
                  </c:pt>
                  <c:pt idx="4">
                    <c:v> (0.14%)</c:v>
                  </c:pt>
                  <c:pt idx="5">
                    <c:v> (0.15%)</c:v>
                  </c:pt>
                  <c:pt idx="6">
                    <c:v> 0.13% </c:v>
                  </c:pt>
                  <c:pt idx="7">
                    <c:v> (0.07%)</c:v>
                  </c:pt>
                  <c:pt idx="8">
                    <c:v> 0.06% </c:v>
                  </c:pt>
                  <c:pt idx="9">
                    <c:v> 0.03% </c:v>
                  </c:pt>
                  <c:pt idx="10">
                    <c:v> (0.21%)</c:v>
                  </c:pt>
                  <c:pt idx="11">
                    <c:v> (0.00%)</c:v>
                  </c:pt>
                  <c:pt idx="12">
                    <c:v> 0.16% </c:v>
                  </c:pt>
                  <c:pt idx="13">
                    <c:v> 6.75% </c:v>
                  </c:pt>
                </c15:dlblRangeCache>
              </c15:datalabelsRange>
            </c:ext>
            <c:ext xmlns:c16="http://schemas.microsoft.com/office/drawing/2014/chart" uri="{C3380CC4-5D6E-409C-BE32-E72D297353CC}">
              <c16:uniqueId val="{0000000D-1A98-4F5E-AD08-2041F79B26E3}"/>
            </c:ext>
          </c:extLst>
        </c:ser>
        <c:dLbls>
          <c:showLegendKey val="0"/>
          <c:showVal val="0"/>
          <c:showCatName val="0"/>
          <c:showSerName val="0"/>
          <c:showPercent val="0"/>
          <c:showBubbleSize val="0"/>
        </c:dLbls>
        <c:gapWidth val="50"/>
        <c:overlap val="100"/>
        <c:axId val="171323776"/>
        <c:axId val="171325312"/>
      </c:barChart>
      <c:catAx>
        <c:axId val="171323776"/>
        <c:scaling>
          <c:orientation val="minMax"/>
        </c:scaling>
        <c:delete val="0"/>
        <c:axPos val="b"/>
        <c:numFmt formatCode="General" sourceLinked="1"/>
        <c:majorTickMark val="none"/>
        <c:minorTickMark val="none"/>
        <c:tickLblPos val="nextTo"/>
        <c:txPr>
          <a:bodyPr rot="0" vert="horz" anchor="t" anchorCtr="0"/>
          <a:lstStyle/>
          <a:p>
            <a:pPr>
              <a:defRPr sz="700"/>
            </a:pPr>
            <a:endParaRPr lang="en-US"/>
          </a:p>
        </c:txPr>
        <c:crossAx val="171325312"/>
        <c:crosses val="autoZero"/>
        <c:auto val="1"/>
        <c:lblAlgn val="ctr"/>
        <c:lblOffset val="100"/>
        <c:noMultiLvlLbl val="0"/>
      </c:catAx>
      <c:valAx>
        <c:axId val="171325312"/>
        <c:scaling>
          <c:orientation val="minMax"/>
          <c:max val="0.1"/>
          <c:min val="0"/>
        </c:scaling>
        <c:delete val="1"/>
        <c:axPos val="l"/>
        <c:numFmt formatCode="0%" sourceLinked="0"/>
        <c:majorTickMark val="none"/>
        <c:minorTickMark val="none"/>
        <c:tickLblPos val="nextTo"/>
        <c:crossAx val="171323776"/>
        <c:crosses val="autoZero"/>
        <c:crossBetween val="between"/>
        <c:majorUnit val="2.0000000000000004E-2"/>
      </c:valAx>
    </c:plotArea>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1197963462114402E-2"/>
          <c:y val="2.9483633887882648E-2"/>
          <c:w val="0.98382424877707897"/>
          <c:h val="0.84127323998793901"/>
        </c:manualLayout>
      </c:layout>
      <c:barChart>
        <c:barDir val="col"/>
        <c:grouping val="stacked"/>
        <c:varyColors val="0"/>
        <c:ser>
          <c:idx val="0"/>
          <c:order val="0"/>
          <c:spPr>
            <a:noFill/>
            <a:ln>
              <a:noFill/>
            </a:ln>
          </c:spPr>
          <c:invertIfNegative val="0"/>
          <c:dLbls>
            <c:dLbl>
              <c:idx val="0"/>
              <c:tx>
                <c:rich>
                  <a:bodyPr/>
                  <a:lstStyle/>
                  <a:p>
                    <a:r>
                      <a:rPr lang="en-US"/>
                      <a:t>A</a:t>
                    </a:r>
                    <a:endParaRPr lang="en-NZ"/>
                  </a:p>
                </c:rich>
              </c:tx>
              <c:dLblPos val="inBase"/>
              <c:showLegendKey val="0"/>
              <c:showVal val="0"/>
              <c:showCatName val="0"/>
              <c:showSerName val="0"/>
              <c:showPercent val="0"/>
              <c:showBubbleSize val="0"/>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955F-46D0-B661-A053F6FF9D54}"/>
                </c:ext>
              </c:extLst>
            </c:dLbl>
            <c:dLbl>
              <c:idx val="1"/>
              <c:tx>
                <c:rich>
                  <a:bodyPr/>
                  <a:lstStyle/>
                  <a:p>
                    <a:r>
                      <a:rPr lang="en-US"/>
                      <a:t>B</a:t>
                    </a:r>
                    <a:endParaRPr lang="en-NZ"/>
                  </a:p>
                </c:rich>
              </c:tx>
              <c:dLblPos val="inBase"/>
              <c:showLegendKey val="0"/>
              <c:showVal val="0"/>
              <c:showCatName val="0"/>
              <c:showSerName val="0"/>
              <c:showPercent val="0"/>
              <c:showBubbleSize val="0"/>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955F-46D0-B661-A053F6FF9D54}"/>
                </c:ext>
              </c:extLst>
            </c:dLbl>
            <c:dLbl>
              <c:idx val="2"/>
              <c:tx>
                <c:rich>
                  <a:bodyPr/>
                  <a:lstStyle/>
                  <a:p>
                    <a:r>
                      <a:rPr lang="en-US"/>
                      <a:t>C</a:t>
                    </a:r>
                    <a:endParaRPr lang="en-NZ"/>
                  </a:p>
                </c:rich>
              </c:tx>
              <c:dLblPos val="inBase"/>
              <c:showLegendKey val="0"/>
              <c:showVal val="0"/>
              <c:showCatName val="0"/>
              <c:showSerName val="0"/>
              <c:showPercent val="0"/>
              <c:showBubbleSize val="0"/>
            </c:dLbl>
            <c:dLbl>
              <c:idx val="3"/>
              <c:tx>
                <c:rich>
                  <a:bodyPr/>
                  <a:lstStyle/>
                  <a:p>
                    <a:r>
                      <a:rPr lang="en-US"/>
                      <a:t>D</a:t>
                    </a:r>
                    <a:endParaRPr lang="en-NZ"/>
                  </a:p>
                </c:rich>
              </c:tx>
              <c:dLblPos val="inBase"/>
              <c:showLegendKey val="0"/>
              <c:showVal val="0"/>
              <c:showCatName val="0"/>
              <c:showSerName val="0"/>
              <c:showPercent val="0"/>
              <c:showBubbleSize val="0"/>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955F-46D0-B661-A053F6FF9D54}"/>
                </c:ext>
              </c:extLst>
            </c:dLbl>
            <c:dLbl>
              <c:idx val="4"/>
              <c:tx>
                <c:rich>
                  <a:bodyPr/>
                  <a:lstStyle/>
                  <a:p>
                    <a:r>
                      <a:rPr lang="en-US"/>
                      <a:t>E</a:t>
                    </a:r>
                    <a:endParaRPr lang="en-NZ"/>
                  </a:p>
                </c:rich>
              </c:tx>
              <c:dLblPos val="inBase"/>
              <c:showLegendKey val="0"/>
              <c:showVal val="0"/>
              <c:showCatName val="0"/>
              <c:showSerName val="0"/>
              <c:showPercent val="0"/>
              <c:showBubbleSize val="0"/>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955F-46D0-B661-A053F6FF9D54}"/>
                </c:ext>
              </c:extLst>
            </c:dLbl>
            <c:dLbl>
              <c:idx val="5"/>
              <c:tx>
                <c:rich>
                  <a:bodyPr/>
                  <a:lstStyle/>
                  <a:p>
                    <a:r>
                      <a:rPr lang="en-US"/>
                      <a:t>F</a:t>
                    </a:r>
                    <a:endParaRPr lang="en-NZ"/>
                  </a:p>
                </c:rich>
              </c:tx>
              <c:dLblPos val="inBase"/>
              <c:showLegendKey val="0"/>
              <c:showVal val="0"/>
              <c:showCatName val="0"/>
              <c:showSerName val="0"/>
              <c:showPercent val="0"/>
              <c:showBubbleSize val="0"/>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955F-46D0-B661-A053F6FF9D54}"/>
                </c:ext>
              </c:extLst>
            </c:dLbl>
            <c:dLbl>
              <c:idx val="6"/>
              <c:tx>
                <c:rich>
                  <a:bodyPr/>
                  <a:lstStyle/>
                  <a:p>
                    <a:r>
                      <a:rPr lang="en-US"/>
                      <a:t>G</a:t>
                    </a:r>
                  </a:p>
                </c:rich>
              </c:tx>
              <c:dLblPos val="inBase"/>
              <c:showLegendKey val="0"/>
              <c:showVal val="0"/>
              <c:showCatName val="0"/>
              <c:showSerName val="0"/>
              <c:showPercent val="0"/>
              <c:showBubbleSize val="0"/>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955F-46D0-B661-A053F6FF9D54}"/>
                </c:ext>
              </c:extLst>
            </c:dLbl>
            <c:dLbl>
              <c:idx val="7"/>
              <c:tx>
                <c:rich>
                  <a:bodyPr/>
                  <a:lstStyle/>
                  <a:p>
                    <a:r>
                      <a:rPr lang="en-US"/>
                      <a:t>H</a:t>
                    </a:r>
                    <a:endParaRPr lang="en-NZ"/>
                  </a:p>
                </c:rich>
              </c:tx>
              <c:dLblPos val="inBase"/>
              <c:showLegendKey val="0"/>
              <c:showVal val="0"/>
              <c:showCatName val="0"/>
              <c:showSerName val="0"/>
              <c:showPercent val="0"/>
              <c:showBubbleSize val="0"/>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955F-46D0-B661-A053F6FF9D54}"/>
                </c:ext>
              </c:extLst>
            </c:dLbl>
            <c:dLbl>
              <c:idx val="8"/>
              <c:tx>
                <c:rich>
                  <a:bodyPr/>
                  <a:lstStyle/>
                  <a:p>
                    <a:r>
                      <a:rPr lang="en-US"/>
                      <a:t>I</a:t>
                    </a:r>
                    <a:endParaRPr lang="en-NZ"/>
                  </a:p>
                </c:rich>
              </c:tx>
              <c:dLblPos val="inBase"/>
              <c:showLegendKey val="0"/>
              <c:showVal val="0"/>
              <c:showCatName val="0"/>
              <c:showSerName val="0"/>
              <c:showPercent val="0"/>
              <c:showBubbleSize val="0"/>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955F-46D0-B661-A053F6FF9D54}"/>
                </c:ext>
              </c:extLst>
            </c:dLbl>
            <c:dLbl>
              <c:idx val="9"/>
              <c:tx>
                <c:rich>
                  <a:bodyPr/>
                  <a:lstStyle/>
                  <a:p>
                    <a:r>
                      <a:rPr lang="en-US"/>
                      <a:t>J</a:t>
                    </a:r>
                    <a:endParaRPr lang="en-NZ"/>
                  </a:p>
                </c:rich>
              </c:tx>
              <c:dLblPos val="inBase"/>
              <c:showLegendKey val="0"/>
              <c:showVal val="0"/>
              <c:showCatName val="0"/>
              <c:showSerName val="0"/>
              <c:showPercent val="0"/>
              <c:showBubbleSize val="0"/>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955F-46D0-B661-A053F6FF9D54}"/>
                </c:ext>
              </c:extLst>
            </c:dLbl>
            <c:dLbl>
              <c:idx val="10"/>
              <c:tx>
                <c:rich>
                  <a:bodyPr/>
                  <a:lstStyle/>
                  <a:p>
                    <a:r>
                      <a:rPr lang="en-US"/>
                      <a:t>K</a:t>
                    </a:r>
                    <a:endParaRPr lang="en-NZ"/>
                  </a:p>
                </c:rich>
              </c:tx>
              <c:dLblPos val="inBase"/>
              <c:showLegendKey val="0"/>
              <c:showVal val="0"/>
              <c:showCatName val="0"/>
              <c:showSerName val="0"/>
              <c:showPercent val="0"/>
              <c:showBubbleSize val="0"/>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955F-46D0-B661-A053F6FF9D54}"/>
                </c:ext>
              </c:extLst>
            </c:dLbl>
            <c:dLbl>
              <c:idx val="11"/>
              <c:tx>
                <c:rich>
                  <a:bodyPr/>
                  <a:lstStyle/>
                  <a:p>
                    <a:r>
                      <a:rPr lang="en-US"/>
                      <a:t>L</a:t>
                    </a:r>
                    <a:endParaRPr lang="en-NZ"/>
                  </a:p>
                </c:rich>
              </c:tx>
              <c:dLblPos val="inBase"/>
              <c:showLegendKey val="0"/>
              <c:showVal val="0"/>
              <c:showCatName val="0"/>
              <c:showSerName val="0"/>
              <c:showPercent val="0"/>
              <c:showBubbleSize val="0"/>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955F-46D0-B661-A053F6FF9D54}"/>
                </c:ext>
              </c:extLst>
            </c:dLbl>
            <c:dLbl>
              <c:idx val="12"/>
              <c:tx>
                <c:rich>
                  <a:bodyPr/>
                  <a:lstStyle/>
                  <a:p>
                    <a:r>
                      <a:rPr lang="en-US"/>
                      <a:t>M</a:t>
                    </a:r>
                  </a:p>
                </c:rich>
              </c:tx>
              <c:dLblPos val="inBase"/>
              <c:showLegendKey val="0"/>
              <c:showVal val="0"/>
              <c:showCatName val="0"/>
              <c:showSerName val="0"/>
              <c:showPercent val="0"/>
              <c:showBubbleSize val="0"/>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955F-46D0-B661-A053F6FF9D54}"/>
                </c:ext>
              </c:extLst>
            </c:dLbl>
            <c:spPr>
              <a:noFill/>
              <a:ln>
                <a:noFill/>
              </a:ln>
              <a:effectLst/>
            </c:spPr>
            <c:txPr>
              <a:bodyPr wrap="square" lIns="38100" tIns="19050" rIns="38100" bIns="19050" anchor="ctr">
                <a:spAutoFit/>
              </a:bodyPr>
              <a:lstStyle/>
              <a:p>
                <a:pPr>
                  <a:defRPr sz="1200" b="1"/>
                </a:pPr>
                <a:endParaRPr lang="en-US"/>
              </a:p>
            </c:txPr>
            <c:dLblPos val="inBase"/>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0"/>
              </c:ext>
            </c:extLst>
          </c:dLbls>
          <c:cat>
            <c:strRef>
              <c:f>Waterfall!$B$64:$N$64</c:f>
              <c:strCache>
                <c:ptCount val="13"/>
                <c:pt idx="0">
                  <c:v> Expected nominal return (incl forecast asset revaluations) </c:v>
                </c:pt>
                <c:pt idx="1">
                  <c:v> Forecast asset revaluations </c:v>
                </c:pt>
                <c:pt idx="2">
                  <c:v> Expected real return (excl forecast asset revaluations) </c:v>
                </c:pt>
                <c:pt idx="3">
                  <c:v> Changes in demand </c:v>
                </c:pt>
                <c:pt idx="4">
                  <c:v> Inflation indexation of revenue limit (CPI-X%) </c:v>
                </c:pt>
                <c:pt idx="5">
                  <c:v> Input price inflators 2013–15 </c:v>
                </c:pt>
                <c:pt idx="6">
                  <c:v> Operating expenditure 2013–15 </c:v>
                </c:pt>
                <c:pt idx="7">
                  <c:v> Commissioned assets 2013–15 </c:v>
                </c:pt>
                <c:pt idx="8">
                  <c:v> Other revenue effects </c:v>
                </c:pt>
                <c:pt idx="9">
                  <c:v> Other cost effects </c:v>
                </c:pt>
                <c:pt idx="10">
                  <c:v> Disclosed real return (excl actual asset revaluations) </c:v>
                </c:pt>
                <c:pt idx="11">
                  <c:v> Actual asset revaluations </c:v>
                </c:pt>
                <c:pt idx="12">
                  <c:v> Disclosed nominal return (incl actual asset revaluations) </c:v>
                </c:pt>
              </c:strCache>
            </c:strRef>
          </c:cat>
          <c:val>
            <c:numRef>
              <c:f>Waterfall!$B$68:$N$68</c:f>
              <c:numCache>
                <c:formatCode>_(* #,##0.00%_);_(* \(#,##0.00%\);_(* "–"???_);_(* @_)</c:formatCode>
                <c:ptCount val="13"/>
                <c:pt idx="0">
                  <c:v>0</c:v>
                </c:pt>
                <c:pt idx="1">
                  <c:v>7.3432668638229379E-2</c:v>
                </c:pt>
                <c:pt idx="2">
                  <c:v>0</c:v>
                </c:pt>
                <c:pt idx="3">
                  <c:v>7.1189769697189348E-2</c:v>
                </c:pt>
                <c:pt idx="4">
                  <c:v>6.9679697942733765E-2</c:v>
                </c:pt>
                <c:pt idx="5">
                  <c:v>6.9679697942733765E-2</c:v>
                </c:pt>
                <c:pt idx="6">
                  <c:v>6.9046303224563607E-2</c:v>
                </c:pt>
                <c:pt idx="7">
                  <c:v>6.9046303224563607E-2</c:v>
                </c:pt>
                <c:pt idx="8">
                  <c:v>6.7826643180847176E-2</c:v>
                </c:pt>
                <c:pt idx="9">
                  <c:v>6.7455920577049272E-2</c:v>
                </c:pt>
                <c:pt idx="10">
                  <c:v>0</c:v>
                </c:pt>
                <c:pt idx="11">
                  <c:v>6.7514356970787073E-2</c:v>
                </c:pt>
                <c:pt idx="12">
                  <c:v>0</c:v>
                </c:pt>
              </c:numCache>
            </c:numRef>
          </c:val>
          <c:extLst xmlns:c16r2="http://schemas.microsoft.com/office/drawing/2015/06/chart">
            <c:ext xmlns:c15="http://schemas.microsoft.com/office/drawing/2012/chart" uri="{02D57815-91ED-43cb-92C2-25804820EDAC}">
              <c15:datalabelsRange>
                <c15:f>Waterfall!$B$76:$N$76</c15:f>
                <c15:dlblRangeCache>
                  <c:ptCount val="13"/>
                  <c:pt idx="0">
                    <c:v> A </c:v>
                  </c:pt>
                  <c:pt idx="1">
                    <c:v> B </c:v>
                  </c:pt>
                  <c:pt idx="2">
                    <c:v> C </c:v>
                  </c:pt>
                  <c:pt idx="3">
                    <c:v> D </c:v>
                  </c:pt>
                  <c:pt idx="4">
                    <c:v> E </c:v>
                  </c:pt>
                  <c:pt idx="5">
                    <c:v> F </c:v>
                  </c:pt>
                  <c:pt idx="6">
                    <c:v> G </c:v>
                  </c:pt>
                  <c:pt idx="7">
                    <c:v> H </c:v>
                  </c:pt>
                  <c:pt idx="8">
                    <c:v> I </c:v>
                  </c:pt>
                  <c:pt idx="9">
                    <c:v> J </c:v>
                  </c:pt>
                  <c:pt idx="10">
                    <c:v> K </c:v>
                  </c:pt>
                  <c:pt idx="11">
                    <c:v> L </c:v>
                  </c:pt>
                  <c:pt idx="12">
                    <c:v> M </c:v>
                  </c:pt>
                </c15:dlblRangeCache>
              </c15:datalabelsRange>
            </c:ext>
            <c:ext xmlns:c16="http://schemas.microsoft.com/office/drawing/2014/chart" uri="{C3380CC4-5D6E-409C-BE32-E72D297353CC}">
              <c16:uniqueId val="{00000000-2BD8-4781-B1C9-53303336E8C3}"/>
            </c:ext>
          </c:extLst>
        </c:ser>
        <c:ser>
          <c:idx val="1"/>
          <c:order val="1"/>
          <c:spPr>
            <a:solidFill>
              <a:srgbClr val="5FB0B9"/>
            </a:solidFill>
          </c:spPr>
          <c:invertIfNegative val="0"/>
          <c:dPt>
            <c:idx val="0"/>
            <c:invertIfNegative val="0"/>
            <c:bubble3D val="0"/>
            <c:spPr>
              <a:solidFill>
                <a:srgbClr val="3E8A92"/>
              </a:solidFill>
            </c:spPr>
            <c:extLst xmlns:c16r2="http://schemas.microsoft.com/office/drawing/2015/06/chart">
              <c:ext xmlns:c16="http://schemas.microsoft.com/office/drawing/2014/chart" uri="{C3380CC4-5D6E-409C-BE32-E72D297353CC}">
                <c16:uniqueId val="{00000002-2BD8-4781-B1C9-53303336E8C3}"/>
              </c:ext>
            </c:extLst>
          </c:dPt>
          <c:dPt>
            <c:idx val="2"/>
            <c:invertIfNegative val="0"/>
            <c:bubble3D val="0"/>
            <c:spPr>
              <a:solidFill>
                <a:srgbClr val="3E8A92"/>
              </a:solidFill>
            </c:spPr>
            <c:extLst xmlns:c16r2="http://schemas.microsoft.com/office/drawing/2015/06/chart">
              <c:ext xmlns:c16="http://schemas.microsoft.com/office/drawing/2014/chart" uri="{C3380CC4-5D6E-409C-BE32-E72D297353CC}">
                <c16:uniqueId val="{00000004-2BD8-4781-B1C9-53303336E8C3}"/>
              </c:ext>
            </c:extLst>
          </c:dPt>
          <c:dPt>
            <c:idx val="10"/>
            <c:invertIfNegative val="0"/>
            <c:bubble3D val="0"/>
            <c:spPr>
              <a:solidFill>
                <a:srgbClr val="3E8A92"/>
              </a:solidFill>
            </c:spPr>
            <c:extLst xmlns:c16r2="http://schemas.microsoft.com/office/drawing/2015/06/chart">
              <c:ext xmlns:c16="http://schemas.microsoft.com/office/drawing/2014/chart" uri="{C3380CC4-5D6E-409C-BE32-E72D297353CC}">
                <c16:uniqueId val="{00000006-2BD8-4781-B1C9-53303336E8C3}"/>
              </c:ext>
            </c:extLst>
          </c:dPt>
          <c:dPt>
            <c:idx val="12"/>
            <c:invertIfNegative val="0"/>
            <c:bubble3D val="0"/>
            <c:spPr>
              <a:solidFill>
                <a:srgbClr val="3E8A92"/>
              </a:solidFill>
            </c:spPr>
            <c:extLst xmlns:c16r2="http://schemas.microsoft.com/office/drawing/2015/06/chart">
              <c:ext xmlns:c16="http://schemas.microsoft.com/office/drawing/2014/chart" uri="{C3380CC4-5D6E-409C-BE32-E72D297353CC}">
                <c16:uniqueId val="{00000008-2BD8-4781-B1C9-53303336E8C3}"/>
              </c:ext>
            </c:extLst>
          </c:dPt>
          <c:cat>
            <c:strRef>
              <c:f>Waterfall!$B$64:$N$64</c:f>
              <c:strCache>
                <c:ptCount val="13"/>
                <c:pt idx="0">
                  <c:v> Expected nominal return (incl forecast asset revaluations) </c:v>
                </c:pt>
                <c:pt idx="1">
                  <c:v> Forecast asset revaluations </c:v>
                </c:pt>
                <c:pt idx="2">
                  <c:v> Expected real return (excl forecast asset revaluations) </c:v>
                </c:pt>
                <c:pt idx="3">
                  <c:v> Changes in demand </c:v>
                </c:pt>
                <c:pt idx="4">
                  <c:v> Inflation indexation of revenue limit (CPI-X%) </c:v>
                </c:pt>
                <c:pt idx="5">
                  <c:v> Input price inflators 2013–15 </c:v>
                </c:pt>
                <c:pt idx="6">
                  <c:v> Operating expenditure 2013–15 </c:v>
                </c:pt>
                <c:pt idx="7">
                  <c:v> Commissioned assets 2013–15 </c:v>
                </c:pt>
                <c:pt idx="8">
                  <c:v> Other revenue effects </c:v>
                </c:pt>
                <c:pt idx="9">
                  <c:v> Other cost effects </c:v>
                </c:pt>
                <c:pt idx="10">
                  <c:v> Disclosed real return (excl actual asset revaluations) </c:v>
                </c:pt>
                <c:pt idx="11">
                  <c:v> Actual asset revaluations </c:v>
                </c:pt>
                <c:pt idx="12">
                  <c:v> Disclosed nominal return (incl actual asset revaluations) </c:v>
                </c:pt>
              </c:strCache>
            </c:strRef>
          </c:cat>
          <c:val>
            <c:numRef>
              <c:f>Waterfall!$B$69:$N$69</c:f>
              <c:numCache>
                <c:formatCode>_(* #,##0.00%_);_(* \(#,##0.00%\);_(* "–"???_);_(* @_)</c:formatCode>
                <c:ptCount val="13"/>
                <c:pt idx="0">
                  <c:v>8.77E-2</c:v>
                </c:pt>
                <c:pt idx="1">
                  <c:v>1.4267331361770622E-2</c:v>
                </c:pt>
                <c:pt idx="2">
                  <c:v>7.3432668638229379E-2</c:v>
                </c:pt>
                <c:pt idx="3">
                  <c:v>2.2428989410400307E-3</c:v>
                </c:pt>
                <c:pt idx="4">
                  <c:v>1.5100717544555831E-3</c:v>
                </c:pt>
                <c:pt idx="5">
                  <c:v>6.8346261978151357E-4</c:v>
                </c:pt>
                <c:pt idx="6">
                  <c:v>1.3168573379516713E-3</c:v>
                </c:pt>
                <c:pt idx="7">
                  <c:v>1.8491148948668323E-4</c:v>
                </c:pt>
                <c:pt idx="8">
                  <c:v>1.4045715332031139E-3</c:v>
                </c:pt>
                <c:pt idx="9">
                  <c:v>3.7072260379790445E-4</c:v>
                </c:pt>
                <c:pt idx="10">
                  <c:v>6.7514356970787073E-2</c:v>
                </c:pt>
                <c:pt idx="11">
                  <c:v>2.9393196105956948E-3</c:v>
                </c:pt>
                <c:pt idx="12">
                  <c:v>7.0453676581382768E-2</c:v>
                </c:pt>
              </c:numCache>
            </c:numRef>
          </c:val>
          <c:extLst xmlns:c16r2="http://schemas.microsoft.com/office/drawing/2015/06/chart">
            <c:ext xmlns:c16="http://schemas.microsoft.com/office/drawing/2014/chart" uri="{C3380CC4-5D6E-409C-BE32-E72D297353CC}">
              <c16:uniqueId val="{00000009-2BD8-4781-B1C9-53303336E8C3}"/>
            </c:ext>
          </c:extLst>
        </c:ser>
        <c:ser>
          <c:idx val="2"/>
          <c:order val="2"/>
          <c:spPr>
            <a:noFill/>
          </c:spPr>
          <c:invertIfNegative val="0"/>
          <c:dLbls>
            <c:numFmt formatCode="0.00%" sourceLinked="0"/>
            <c:spPr>
              <a:noFill/>
              <a:ln>
                <a:noFill/>
              </a:ln>
              <a:effectLst/>
            </c:sp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15:showLeaderLines val="0"/>
              </c:ext>
            </c:extLst>
          </c:dLbls>
          <c:cat>
            <c:strRef>
              <c:f>Waterfall!$B$64:$N$64</c:f>
              <c:strCache>
                <c:ptCount val="13"/>
                <c:pt idx="0">
                  <c:v> Expected nominal return (incl forecast asset revaluations) </c:v>
                </c:pt>
                <c:pt idx="1">
                  <c:v> Forecast asset revaluations </c:v>
                </c:pt>
                <c:pt idx="2">
                  <c:v> Expected real return (excl forecast asset revaluations) </c:v>
                </c:pt>
                <c:pt idx="3">
                  <c:v> Changes in demand </c:v>
                </c:pt>
                <c:pt idx="4">
                  <c:v> Inflation indexation of revenue limit (CPI-X%) </c:v>
                </c:pt>
                <c:pt idx="5">
                  <c:v> Input price inflators 2013–15 </c:v>
                </c:pt>
                <c:pt idx="6">
                  <c:v> Operating expenditure 2013–15 </c:v>
                </c:pt>
                <c:pt idx="7">
                  <c:v> Commissioned assets 2013–15 </c:v>
                </c:pt>
                <c:pt idx="8">
                  <c:v> Other revenue effects </c:v>
                </c:pt>
                <c:pt idx="9">
                  <c:v> Other cost effects </c:v>
                </c:pt>
                <c:pt idx="10">
                  <c:v> Disclosed real return (excl actual asset revaluations) </c:v>
                </c:pt>
                <c:pt idx="11">
                  <c:v> Actual asset revaluations </c:v>
                </c:pt>
                <c:pt idx="12">
                  <c:v> Disclosed nominal return (incl actual asset revaluations) </c:v>
                </c:pt>
              </c:strCache>
            </c:strRef>
          </c:cat>
          <c:val>
            <c:numRef>
              <c:f>Waterfall!$B$69:$N$69</c:f>
              <c:numCache>
                <c:formatCode>_(* #,##0.00%_);_(* \(#,##0.00%\);_(* "–"???_);_(* @_)</c:formatCode>
                <c:ptCount val="13"/>
                <c:pt idx="0">
                  <c:v>8.77E-2</c:v>
                </c:pt>
                <c:pt idx="1">
                  <c:v>1.4267331361770622E-2</c:v>
                </c:pt>
                <c:pt idx="2">
                  <c:v>7.3432668638229379E-2</c:v>
                </c:pt>
                <c:pt idx="3">
                  <c:v>2.2428989410400307E-3</c:v>
                </c:pt>
                <c:pt idx="4">
                  <c:v>1.5100717544555831E-3</c:v>
                </c:pt>
                <c:pt idx="5">
                  <c:v>6.8346261978151357E-4</c:v>
                </c:pt>
                <c:pt idx="6">
                  <c:v>1.3168573379516713E-3</c:v>
                </c:pt>
                <c:pt idx="7">
                  <c:v>1.8491148948668323E-4</c:v>
                </c:pt>
                <c:pt idx="8">
                  <c:v>1.4045715332031139E-3</c:v>
                </c:pt>
                <c:pt idx="9">
                  <c:v>3.7072260379790445E-4</c:v>
                </c:pt>
                <c:pt idx="10">
                  <c:v>6.7514356970787073E-2</c:v>
                </c:pt>
                <c:pt idx="11">
                  <c:v>2.9393196105956948E-3</c:v>
                </c:pt>
                <c:pt idx="12">
                  <c:v>7.0453676581382768E-2</c:v>
                </c:pt>
              </c:numCache>
            </c:numRef>
          </c:val>
          <c:extLst xmlns:c16r2="http://schemas.microsoft.com/office/drawing/2015/06/chart">
            <c:ext xmlns:c15="http://schemas.microsoft.com/office/drawing/2012/chart" uri="{02D57815-91ED-43cb-92C2-25804820EDAC}">
              <c15:datalabelsRange>
                <c15:f>Waterfall!$B$71:$N$71</c15:f>
                <c15:dlblRangeCache>
                  <c:ptCount val="13"/>
                  <c:pt idx="0">
                    <c:v> 8.77% </c:v>
                  </c:pt>
                  <c:pt idx="1">
                    <c:v> (1.43%)</c:v>
                  </c:pt>
                  <c:pt idx="2">
                    <c:v> 7.34% </c:v>
                  </c:pt>
                  <c:pt idx="3">
                    <c:v> (0.22%)</c:v>
                  </c:pt>
                  <c:pt idx="4">
                    <c:v> (0.15%)</c:v>
                  </c:pt>
                  <c:pt idx="5">
                    <c:v> 0.07% </c:v>
                  </c:pt>
                  <c:pt idx="6">
                    <c:v> 0.09% </c:v>
                  </c:pt>
                  <c:pt idx="7">
                    <c:v> 0.02% </c:v>
                  </c:pt>
                  <c:pt idx="8">
                    <c:v> (0.35%)</c:v>
                  </c:pt>
                  <c:pt idx="9">
                    <c:v> (0.04%)</c:v>
                  </c:pt>
                  <c:pt idx="10">
                    <c:v> 6.75% </c:v>
                  </c:pt>
                  <c:pt idx="11">
                    <c:v> 0.29% </c:v>
                  </c:pt>
                  <c:pt idx="12">
                    <c:v> 7.05% </c:v>
                  </c:pt>
                </c15:dlblRangeCache>
              </c15:datalabelsRange>
            </c:ext>
            <c:ext xmlns:c16="http://schemas.microsoft.com/office/drawing/2014/chart" uri="{C3380CC4-5D6E-409C-BE32-E72D297353CC}">
              <c16:uniqueId val="{0000000A-2BD8-4781-B1C9-53303336E8C3}"/>
            </c:ext>
          </c:extLst>
        </c:ser>
        <c:dLbls>
          <c:showLegendKey val="0"/>
          <c:showVal val="0"/>
          <c:showCatName val="0"/>
          <c:showSerName val="0"/>
          <c:showPercent val="0"/>
          <c:showBubbleSize val="0"/>
        </c:dLbls>
        <c:gapWidth val="50"/>
        <c:overlap val="100"/>
        <c:axId val="171666432"/>
        <c:axId val="171692416"/>
      </c:barChart>
      <c:catAx>
        <c:axId val="171666432"/>
        <c:scaling>
          <c:orientation val="minMax"/>
        </c:scaling>
        <c:delete val="0"/>
        <c:axPos val="b"/>
        <c:numFmt formatCode="General" sourceLinked="1"/>
        <c:majorTickMark val="none"/>
        <c:minorTickMark val="none"/>
        <c:tickLblPos val="nextTo"/>
        <c:txPr>
          <a:bodyPr rot="0" vert="horz" anchor="t" anchorCtr="0"/>
          <a:lstStyle/>
          <a:p>
            <a:pPr>
              <a:defRPr sz="700"/>
            </a:pPr>
            <a:endParaRPr lang="en-US"/>
          </a:p>
        </c:txPr>
        <c:crossAx val="171692416"/>
        <c:crosses val="autoZero"/>
        <c:auto val="1"/>
        <c:lblAlgn val="ctr"/>
        <c:lblOffset val="100"/>
        <c:noMultiLvlLbl val="0"/>
      </c:catAx>
      <c:valAx>
        <c:axId val="171692416"/>
        <c:scaling>
          <c:orientation val="minMax"/>
          <c:max val="0.1"/>
          <c:min val="0"/>
        </c:scaling>
        <c:delete val="1"/>
        <c:axPos val="l"/>
        <c:numFmt formatCode="0%" sourceLinked="0"/>
        <c:majorTickMark val="none"/>
        <c:minorTickMark val="none"/>
        <c:tickLblPos val="nextTo"/>
        <c:crossAx val="171666432"/>
        <c:crosses val="autoZero"/>
        <c:crossBetween val="between"/>
        <c:majorUnit val="2.0000000000000004E-2"/>
      </c:valAx>
    </c:plotArea>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0.38274747474747473"/>
          <c:y val="2.2460506785411366E-2"/>
          <c:w val="0.5943448773448774"/>
          <c:h val="0.95507898642917732"/>
        </c:manualLayout>
      </c:layout>
      <c:barChart>
        <c:barDir val="bar"/>
        <c:grouping val="clustered"/>
        <c:varyColors val="0"/>
        <c:ser>
          <c:idx val="0"/>
          <c:order val="0"/>
          <c:spPr>
            <a:solidFill>
              <a:srgbClr val="3E8A92"/>
            </a:solidFill>
          </c:spPr>
          <c:invertIfNegative val="0"/>
          <c:dLbls>
            <c:numFmt formatCode="0.00%" sourceLinked="0"/>
            <c:spPr>
              <a:noFill/>
              <a:ln>
                <a:noFill/>
              </a:ln>
              <a:effectLst/>
            </c:spPr>
            <c:txPr>
              <a:bodyPr/>
              <a:lstStyle/>
              <a:p>
                <a:pPr>
                  <a:defRPr sz="800"/>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'Chart data'!$F$49:$F$64</c:f>
              <c:strCache>
                <c:ptCount val="16"/>
                <c:pt idx="0">
                  <c:v>Network Tasman</c:v>
                </c:pt>
                <c:pt idx="1">
                  <c:v>Alpine Energy</c:v>
                </c:pt>
                <c:pt idx="2">
                  <c:v>Wellington Electricity</c:v>
                </c:pt>
                <c:pt idx="3">
                  <c:v>Nelson Electricity</c:v>
                </c:pt>
                <c:pt idx="4">
                  <c:v>OtagoNet</c:v>
                </c:pt>
                <c:pt idx="5">
                  <c:v>Powerco</c:v>
                </c:pt>
                <c:pt idx="6">
                  <c:v>Vector Lines</c:v>
                </c:pt>
                <c:pt idx="7">
                  <c:v>Electricity Ashburton</c:v>
                </c:pt>
                <c:pt idx="8">
                  <c:v>Unison Networks</c:v>
                </c:pt>
                <c:pt idx="9">
                  <c:v>Electricity Invercargill</c:v>
                </c:pt>
                <c:pt idx="10">
                  <c:v>Horizon Energy</c:v>
                </c:pt>
                <c:pt idx="11">
                  <c:v>Aurora Energy</c:v>
                </c:pt>
                <c:pt idx="12">
                  <c:v>Eastland Network</c:v>
                </c:pt>
                <c:pt idx="13">
                  <c:v>Top Energy</c:v>
                </c:pt>
                <c:pt idx="14">
                  <c:v>Centralines</c:v>
                </c:pt>
                <c:pt idx="15">
                  <c:v>The Lines Company</c:v>
                </c:pt>
              </c:strCache>
            </c:strRef>
          </c:cat>
          <c:val>
            <c:numRef>
              <c:f>'Chart data'!$G$49:$G$64</c:f>
              <c:numCache>
                <c:formatCode>_(* #,##0.00%_);_(* \(#,##0.00%\);_(* "–"???_);_(* @_)</c:formatCode>
                <c:ptCount val="16"/>
                <c:pt idx="0">
                  <c:v>8.3713665604591397E-2</c:v>
                </c:pt>
                <c:pt idx="1">
                  <c:v>8.1641086935997031E-2</c:v>
                </c:pt>
                <c:pt idx="2">
                  <c:v>8.0735775828361514E-2</c:v>
                </c:pt>
                <c:pt idx="3">
                  <c:v>7.8456476330757155E-2</c:v>
                </c:pt>
                <c:pt idx="4">
                  <c:v>7.4018034338951127E-2</c:v>
                </c:pt>
                <c:pt idx="5">
                  <c:v>7.1314582228660592E-2</c:v>
                </c:pt>
                <c:pt idx="6">
                  <c:v>7.0359322428703311E-2</c:v>
                </c:pt>
                <c:pt idx="7">
                  <c:v>6.860391795635222E-2</c:v>
                </c:pt>
                <c:pt idx="8">
                  <c:v>6.7834106087684642E-2</c:v>
                </c:pt>
                <c:pt idx="9">
                  <c:v>6.7422375082969666E-2</c:v>
                </c:pt>
                <c:pt idx="10">
                  <c:v>6.554950177669526E-2</c:v>
                </c:pt>
                <c:pt idx="11">
                  <c:v>6.5177473425865176E-2</c:v>
                </c:pt>
                <c:pt idx="12">
                  <c:v>6.1593458056449904E-2</c:v>
                </c:pt>
                <c:pt idx="13">
                  <c:v>5.8486852049827578E-2</c:v>
                </c:pt>
                <c:pt idx="14">
                  <c:v>5.503489673137664E-2</c:v>
                </c:pt>
                <c:pt idx="15">
                  <c:v>5.3291299939155587E-2</c:v>
                </c:pt>
              </c:numCache>
            </c:numRef>
          </c:val>
          <c:extLst xmlns:c16r2="http://schemas.microsoft.com/office/drawing/2015/06/chart">
            <c:ext xmlns:c16="http://schemas.microsoft.com/office/drawing/2014/chart" uri="{C3380CC4-5D6E-409C-BE32-E72D297353CC}">
              <c16:uniqueId val="{00000000-D7C3-47A4-B117-851A734842C2}"/>
            </c:ext>
          </c:extLst>
        </c:ser>
        <c:dLbls>
          <c:showLegendKey val="0"/>
          <c:showVal val="0"/>
          <c:showCatName val="0"/>
          <c:showSerName val="0"/>
          <c:showPercent val="0"/>
          <c:showBubbleSize val="0"/>
        </c:dLbls>
        <c:gapWidth val="150"/>
        <c:axId val="171765760"/>
        <c:axId val="171767296"/>
      </c:barChart>
      <c:catAx>
        <c:axId val="171765760"/>
        <c:scaling>
          <c:orientation val="maxMin"/>
        </c:scaling>
        <c:delete val="0"/>
        <c:axPos val="l"/>
        <c:numFmt formatCode="General" sourceLinked="1"/>
        <c:majorTickMark val="out"/>
        <c:minorTickMark val="none"/>
        <c:tickLblPos val="low"/>
        <c:txPr>
          <a:bodyPr/>
          <a:lstStyle/>
          <a:p>
            <a:pPr>
              <a:defRPr sz="800"/>
            </a:pPr>
            <a:endParaRPr lang="en-US"/>
          </a:p>
        </c:txPr>
        <c:crossAx val="171767296"/>
        <c:crosses val="autoZero"/>
        <c:auto val="1"/>
        <c:lblAlgn val="ctr"/>
        <c:lblOffset val="100"/>
        <c:noMultiLvlLbl val="0"/>
      </c:catAx>
      <c:valAx>
        <c:axId val="171767296"/>
        <c:scaling>
          <c:orientation val="minMax"/>
        </c:scaling>
        <c:delete val="1"/>
        <c:axPos val="b"/>
        <c:majorGridlines>
          <c:spPr>
            <a:ln w="6350">
              <a:solidFill>
                <a:schemeClr val="accent1"/>
              </a:solidFill>
            </a:ln>
          </c:spPr>
        </c:majorGridlines>
        <c:numFmt formatCode="#,##0.0" sourceLinked="0"/>
        <c:majorTickMark val="out"/>
        <c:minorTickMark val="none"/>
        <c:tickLblPos val="nextTo"/>
        <c:crossAx val="171765760"/>
        <c:crosses val="max"/>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0"/>
          <c:y val="2.1934637404580154E-2"/>
          <c:w val="0.64016017316017315"/>
          <c:h val="0.95613072519083975"/>
        </c:manualLayout>
      </c:layout>
      <c:barChart>
        <c:barDir val="bar"/>
        <c:grouping val="clustered"/>
        <c:varyColors val="0"/>
        <c:ser>
          <c:idx val="0"/>
          <c:order val="0"/>
          <c:spPr>
            <a:solidFill>
              <a:srgbClr val="3E8A92"/>
            </a:solidFill>
          </c:spPr>
          <c:invertIfNegative val="0"/>
          <c:dLbls>
            <c:numFmt formatCode="#,##0.00" sourceLinked="0"/>
            <c:spPr>
              <a:noFill/>
              <a:ln>
                <a:noFill/>
              </a:ln>
              <a:effectLst/>
            </c:spPr>
            <c:txPr>
              <a:bodyPr/>
              <a:lstStyle/>
              <a:p>
                <a:pPr>
                  <a:defRPr sz="800"/>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'Chart data'!$J$49:$J$64</c:f>
              <c:strCache>
                <c:ptCount val="16"/>
                <c:pt idx="0">
                  <c:v>Network Tasman</c:v>
                </c:pt>
                <c:pt idx="1">
                  <c:v>Alpine Energy</c:v>
                </c:pt>
                <c:pt idx="2">
                  <c:v>Wellington Electricity</c:v>
                </c:pt>
                <c:pt idx="3">
                  <c:v>Nelson Electricity</c:v>
                </c:pt>
                <c:pt idx="4">
                  <c:v>OtagoNet</c:v>
                </c:pt>
                <c:pt idx="5">
                  <c:v>Powerco</c:v>
                </c:pt>
                <c:pt idx="6">
                  <c:v>Vector Lines</c:v>
                </c:pt>
                <c:pt idx="7">
                  <c:v>Electricity Ashburton</c:v>
                </c:pt>
                <c:pt idx="8">
                  <c:v>Unison Networks</c:v>
                </c:pt>
                <c:pt idx="9">
                  <c:v>Electricity Invercargill</c:v>
                </c:pt>
                <c:pt idx="10">
                  <c:v>Horizon Energy</c:v>
                </c:pt>
                <c:pt idx="11">
                  <c:v>Aurora Energy</c:v>
                </c:pt>
                <c:pt idx="12">
                  <c:v>Eastland Network</c:v>
                </c:pt>
                <c:pt idx="13">
                  <c:v>Top Energy</c:v>
                </c:pt>
                <c:pt idx="14">
                  <c:v>Centralines</c:v>
                </c:pt>
                <c:pt idx="15">
                  <c:v>The Lines Company</c:v>
                </c:pt>
              </c:strCache>
            </c:strRef>
          </c:cat>
          <c:val>
            <c:numRef>
              <c:f>'Chart data'!$K$49:$K$64</c:f>
              <c:numCache>
                <c:formatCode>_(* #,##0.00_);_(* \(#,##0.00\);_(* "–"???_);_(* @_)</c:formatCode>
                <c:ptCount val="16"/>
                <c:pt idx="0">
                  <c:v>-0.39863343954086028</c:v>
                </c:pt>
                <c:pt idx="1">
                  <c:v>-0.60589130640029687</c:v>
                </c:pt>
                <c:pt idx="2">
                  <c:v>-0.69642241716384867</c:v>
                </c:pt>
                <c:pt idx="3">
                  <c:v>-0.92435236692428457</c:v>
                </c:pt>
                <c:pt idx="4">
                  <c:v>-1.3681965661048872</c:v>
                </c:pt>
                <c:pt idx="5">
                  <c:v>-1.6385417771339408</c:v>
                </c:pt>
                <c:pt idx="6">
                  <c:v>-1.734067757129669</c:v>
                </c:pt>
                <c:pt idx="7">
                  <c:v>-1.909608204364778</c:v>
                </c:pt>
                <c:pt idx="8">
                  <c:v>-1.9865893912315358</c:v>
                </c:pt>
                <c:pt idx="9">
                  <c:v>-2.0277624917030335</c:v>
                </c:pt>
                <c:pt idx="10">
                  <c:v>-2.215049822330474</c:v>
                </c:pt>
                <c:pt idx="11">
                  <c:v>-2.2522526574134822</c:v>
                </c:pt>
                <c:pt idx="12">
                  <c:v>-2.6106541943550097</c:v>
                </c:pt>
                <c:pt idx="13">
                  <c:v>-2.921314795017242</c:v>
                </c:pt>
                <c:pt idx="14">
                  <c:v>-3.2665103268623361</c:v>
                </c:pt>
                <c:pt idx="15">
                  <c:v>-3.4408700060844413</c:v>
                </c:pt>
              </c:numCache>
            </c:numRef>
          </c:val>
          <c:extLst xmlns:c16r2="http://schemas.microsoft.com/office/drawing/2015/06/chart">
            <c:ext xmlns:c16="http://schemas.microsoft.com/office/drawing/2014/chart" uri="{C3380CC4-5D6E-409C-BE32-E72D297353CC}">
              <c16:uniqueId val="{00000000-0832-4141-A233-1907354627E4}"/>
            </c:ext>
          </c:extLst>
        </c:ser>
        <c:dLbls>
          <c:showLegendKey val="0"/>
          <c:showVal val="0"/>
          <c:showCatName val="0"/>
          <c:showSerName val="0"/>
          <c:showPercent val="0"/>
          <c:showBubbleSize val="0"/>
        </c:dLbls>
        <c:gapWidth val="150"/>
        <c:axId val="164242944"/>
        <c:axId val="164244480"/>
      </c:barChart>
      <c:catAx>
        <c:axId val="164242944"/>
        <c:scaling>
          <c:orientation val="maxMin"/>
        </c:scaling>
        <c:delete val="0"/>
        <c:axPos val="l"/>
        <c:numFmt formatCode="General" sourceLinked="1"/>
        <c:majorTickMark val="out"/>
        <c:minorTickMark val="none"/>
        <c:tickLblPos val="high"/>
        <c:txPr>
          <a:bodyPr/>
          <a:lstStyle/>
          <a:p>
            <a:pPr>
              <a:defRPr sz="800"/>
            </a:pPr>
            <a:endParaRPr lang="en-US"/>
          </a:p>
        </c:txPr>
        <c:crossAx val="164244480"/>
        <c:crosses val="autoZero"/>
        <c:auto val="1"/>
        <c:lblAlgn val="ctr"/>
        <c:lblOffset val="100"/>
        <c:noMultiLvlLbl val="0"/>
      </c:catAx>
      <c:valAx>
        <c:axId val="164244480"/>
        <c:scaling>
          <c:orientation val="minMax"/>
          <c:max val="0"/>
          <c:min val="-4.5"/>
        </c:scaling>
        <c:delete val="1"/>
        <c:axPos val="b"/>
        <c:numFmt formatCode="#,##0.0" sourceLinked="0"/>
        <c:majorTickMark val="out"/>
        <c:minorTickMark val="none"/>
        <c:tickLblPos val="nextTo"/>
        <c:crossAx val="164242944"/>
        <c:crosses val="max"/>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0.38274747474747473"/>
          <c:y val="2.2460506785411366E-2"/>
          <c:w val="0.5943448773448774"/>
          <c:h val="0.95507898642917732"/>
        </c:manualLayout>
      </c:layout>
      <c:barChart>
        <c:barDir val="bar"/>
        <c:grouping val="clustered"/>
        <c:varyColors val="0"/>
        <c:ser>
          <c:idx val="0"/>
          <c:order val="0"/>
          <c:spPr>
            <a:solidFill>
              <a:srgbClr val="3E8A92"/>
            </a:solidFill>
          </c:spPr>
          <c:invertIfNegative val="0"/>
          <c:dLbls>
            <c:numFmt formatCode="0.00%" sourceLinked="0"/>
            <c:spPr>
              <a:noFill/>
              <a:ln>
                <a:noFill/>
              </a:ln>
              <a:effectLst/>
            </c:spPr>
            <c:txPr>
              <a:bodyPr/>
              <a:lstStyle/>
              <a:p>
                <a:pPr>
                  <a:defRPr sz="800"/>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'Chart data'!$F$67:$F$82</c:f>
              <c:strCache>
                <c:ptCount val="16"/>
                <c:pt idx="0">
                  <c:v>Network Tasman</c:v>
                </c:pt>
                <c:pt idx="1">
                  <c:v>Alpine Energy</c:v>
                </c:pt>
                <c:pt idx="2">
                  <c:v>Wellington Electricity</c:v>
                </c:pt>
                <c:pt idx="3">
                  <c:v>Nelson Electricity</c:v>
                </c:pt>
                <c:pt idx="4">
                  <c:v>OtagoNet</c:v>
                </c:pt>
                <c:pt idx="5">
                  <c:v>Powerco</c:v>
                </c:pt>
                <c:pt idx="6">
                  <c:v>Vector Lines</c:v>
                </c:pt>
                <c:pt idx="7">
                  <c:v>Electricity Ashburton</c:v>
                </c:pt>
                <c:pt idx="8">
                  <c:v>Unison Networks</c:v>
                </c:pt>
                <c:pt idx="9">
                  <c:v>Electricity Invercargill</c:v>
                </c:pt>
                <c:pt idx="10">
                  <c:v>Horizon Energy</c:v>
                </c:pt>
                <c:pt idx="11">
                  <c:v>Aurora Energy</c:v>
                </c:pt>
                <c:pt idx="12">
                  <c:v>Eastland Network</c:v>
                </c:pt>
                <c:pt idx="13">
                  <c:v>Top Energy</c:v>
                </c:pt>
                <c:pt idx="14">
                  <c:v>Centralines</c:v>
                </c:pt>
                <c:pt idx="15">
                  <c:v>The Lines Company</c:v>
                </c:pt>
              </c:strCache>
            </c:strRef>
          </c:cat>
          <c:val>
            <c:numRef>
              <c:f>'Chart data'!$G$67:$G$82</c:f>
              <c:numCache>
                <c:formatCode>_(* #,##0.00%_);_(* \(#,##0.00%\);_(* "–"???_);_(* @_)</c:formatCode>
                <c:ptCount val="16"/>
                <c:pt idx="0">
                  <c:v>8.2150527834892309E-2</c:v>
                </c:pt>
                <c:pt idx="1">
                  <c:v>7.9900494217872639E-2</c:v>
                </c:pt>
                <c:pt idx="2">
                  <c:v>7.8780016303062458E-2</c:v>
                </c:pt>
                <c:pt idx="3">
                  <c:v>7.6093688607215909E-2</c:v>
                </c:pt>
                <c:pt idx="4">
                  <c:v>7.1564164757728574E-2</c:v>
                </c:pt>
                <c:pt idx="5">
                  <c:v>6.8571266531944272E-2</c:v>
                </c:pt>
                <c:pt idx="6">
                  <c:v>6.7197403311729451E-2</c:v>
                </c:pt>
                <c:pt idx="7">
                  <c:v>6.4917042851448059E-2</c:v>
                </c:pt>
                <c:pt idx="8">
                  <c:v>6.4868494868278503E-2</c:v>
                </c:pt>
                <c:pt idx="9">
                  <c:v>6.4339944720268258E-2</c:v>
                </c:pt>
                <c:pt idx="10">
                  <c:v>6.2577810883522017E-2</c:v>
                </c:pt>
                <c:pt idx="11">
                  <c:v>6.175639331340789E-2</c:v>
                </c:pt>
                <c:pt idx="12">
                  <c:v>5.8199992775917059E-2</c:v>
                </c:pt>
                <c:pt idx="13">
                  <c:v>5.452627241611481E-2</c:v>
                </c:pt>
                <c:pt idx="14">
                  <c:v>5.1118347048759463E-2</c:v>
                </c:pt>
                <c:pt idx="15">
                  <c:v>4.988501369953155E-2</c:v>
                </c:pt>
              </c:numCache>
            </c:numRef>
          </c:val>
          <c:extLst xmlns:c16r2="http://schemas.microsoft.com/office/drawing/2015/06/chart">
            <c:ext xmlns:c16="http://schemas.microsoft.com/office/drawing/2014/chart" uri="{C3380CC4-5D6E-409C-BE32-E72D297353CC}">
              <c16:uniqueId val="{00000000-DAE1-4A84-A5F1-31C0BFA65C32}"/>
            </c:ext>
          </c:extLst>
        </c:ser>
        <c:dLbls>
          <c:showLegendKey val="0"/>
          <c:showVal val="0"/>
          <c:showCatName val="0"/>
          <c:showSerName val="0"/>
          <c:showPercent val="0"/>
          <c:showBubbleSize val="0"/>
        </c:dLbls>
        <c:gapWidth val="150"/>
        <c:axId val="164330496"/>
        <c:axId val="164336384"/>
      </c:barChart>
      <c:catAx>
        <c:axId val="164330496"/>
        <c:scaling>
          <c:orientation val="maxMin"/>
        </c:scaling>
        <c:delete val="0"/>
        <c:axPos val="l"/>
        <c:numFmt formatCode="General" sourceLinked="1"/>
        <c:majorTickMark val="out"/>
        <c:minorTickMark val="none"/>
        <c:tickLblPos val="low"/>
        <c:txPr>
          <a:bodyPr/>
          <a:lstStyle/>
          <a:p>
            <a:pPr>
              <a:defRPr sz="800"/>
            </a:pPr>
            <a:endParaRPr lang="en-US"/>
          </a:p>
        </c:txPr>
        <c:crossAx val="164336384"/>
        <c:crosses val="autoZero"/>
        <c:auto val="1"/>
        <c:lblAlgn val="ctr"/>
        <c:lblOffset val="100"/>
        <c:noMultiLvlLbl val="0"/>
      </c:catAx>
      <c:valAx>
        <c:axId val="164336384"/>
        <c:scaling>
          <c:orientation val="minMax"/>
          <c:max val="0.1"/>
          <c:min val="0"/>
        </c:scaling>
        <c:delete val="1"/>
        <c:axPos val="b"/>
        <c:numFmt formatCode="0.00%" sourceLinked="0"/>
        <c:majorTickMark val="out"/>
        <c:minorTickMark val="none"/>
        <c:tickLblPos val="nextTo"/>
        <c:crossAx val="164330496"/>
        <c:crosses val="max"/>
        <c:crossBetween val="between"/>
        <c:majorUnit val="7.3200000000000015E-2"/>
      </c:valAx>
    </c:plotArea>
    <c:plotVisOnly val="1"/>
    <c:dispBlanksAs val="gap"/>
    <c:showDLblsOverMax val="0"/>
  </c:chart>
  <c:spPr>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0.35983982683982685"/>
          <c:y val="2.2460506785411366E-2"/>
          <c:w val="0.64016017316017315"/>
          <c:h val="0.95507898642917732"/>
        </c:manualLayout>
      </c:layout>
      <c:barChart>
        <c:barDir val="bar"/>
        <c:grouping val="clustered"/>
        <c:varyColors val="0"/>
        <c:ser>
          <c:idx val="0"/>
          <c:order val="0"/>
          <c:spPr>
            <a:solidFill>
              <a:srgbClr val="3E8A92"/>
            </a:solidFill>
          </c:spPr>
          <c:invertIfNegative val="0"/>
          <c:dLbls>
            <c:numFmt formatCode="0.00%" sourceLinked="0"/>
            <c:spPr>
              <a:noFill/>
              <a:ln>
                <a:noFill/>
              </a:ln>
              <a:effectLst/>
            </c:spPr>
            <c:txPr>
              <a:bodyPr/>
              <a:lstStyle/>
              <a:p>
                <a:pPr>
                  <a:defRPr sz="800"/>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'Chart data'!$AO$27:$AO$42</c:f>
              <c:strCache>
                <c:ptCount val="16"/>
                <c:pt idx="0">
                  <c:v>Top Energy</c:v>
                </c:pt>
                <c:pt idx="1">
                  <c:v>Centralines</c:v>
                </c:pt>
                <c:pt idx="2">
                  <c:v>Electricity Ashburton</c:v>
                </c:pt>
                <c:pt idx="3">
                  <c:v>Aurora Energy</c:v>
                </c:pt>
                <c:pt idx="4">
                  <c:v>The Lines Company</c:v>
                </c:pt>
                <c:pt idx="5">
                  <c:v>Eastland Network</c:v>
                </c:pt>
                <c:pt idx="6">
                  <c:v>Vector Lines</c:v>
                </c:pt>
                <c:pt idx="7">
                  <c:v>Electricity Invercargill</c:v>
                </c:pt>
                <c:pt idx="8">
                  <c:v>Horizon Energy</c:v>
                </c:pt>
                <c:pt idx="9">
                  <c:v>Unison Networks</c:v>
                </c:pt>
                <c:pt idx="10">
                  <c:v>Powerco</c:v>
                </c:pt>
                <c:pt idx="11">
                  <c:v>OtagoNet</c:v>
                </c:pt>
                <c:pt idx="12">
                  <c:v>Nelson Electricity</c:v>
                </c:pt>
                <c:pt idx="13">
                  <c:v>Wellington Electricity</c:v>
                </c:pt>
                <c:pt idx="14">
                  <c:v>Alpine Energy</c:v>
                </c:pt>
                <c:pt idx="15">
                  <c:v>Network Tasman</c:v>
                </c:pt>
              </c:strCache>
            </c:strRef>
          </c:cat>
          <c:val>
            <c:numRef>
              <c:f>'Chart data'!$AP$27:$AP$42</c:f>
              <c:numCache>
                <c:formatCode>_(* #,##0.00%_);_(* \(#,##0.00%\);_(* "–"???_);_(* @_)</c:formatCode>
                <c:ptCount val="16"/>
                <c:pt idx="0">
                  <c:v>3.9605796337127686E-3</c:v>
                </c:pt>
                <c:pt idx="1">
                  <c:v>3.9165496826171764E-3</c:v>
                </c:pt>
                <c:pt idx="2">
                  <c:v>3.6868751049041609E-3</c:v>
                </c:pt>
                <c:pt idx="3">
                  <c:v>3.4210801124572865E-3</c:v>
                </c:pt>
                <c:pt idx="4">
                  <c:v>3.4062862396240373E-3</c:v>
                </c:pt>
                <c:pt idx="5">
                  <c:v>3.3934652805328452E-3</c:v>
                </c:pt>
                <c:pt idx="6">
                  <c:v>3.1619191169738603E-3</c:v>
                </c:pt>
                <c:pt idx="7">
                  <c:v>3.0824303627014077E-3</c:v>
                </c:pt>
                <c:pt idx="8">
                  <c:v>2.9716908931732428E-3</c:v>
                </c:pt>
                <c:pt idx="9">
                  <c:v>2.965611219406139E-3</c:v>
                </c:pt>
                <c:pt idx="10">
                  <c:v>2.7433156967163197E-3</c:v>
                </c:pt>
                <c:pt idx="11">
                  <c:v>2.4538695812225536E-3</c:v>
                </c:pt>
                <c:pt idx="12">
                  <c:v>2.3627877235412459E-3</c:v>
                </c:pt>
                <c:pt idx="13">
                  <c:v>1.9557595252990556E-3</c:v>
                </c:pt>
                <c:pt idx="14">
                  <c:v>1.7405927181243924E-3</c:v>
                </c:pt>
                <c:pt idx="15">
                  <c:v>1.5631377696990884E-3</c:v>
                </c:pt>
              </c:numCache>
            </c:numRef>
          </c:val>
          <c:extLst xmlns:c16r2="http://schemas.microsoft.com/office/drawing/2015/06/chart">
            <c:ext xmlns:c16="http://schemas.microsoft.com/office/drawing/2014/chart" uri="{C3380CC4-5D6E-409C-BE32-E72D297353CC}">
              <c16:uniqueId val="{00000000-2393-48FB-8F13-94B0B19C9B83}"/>
            </c:ext>
          </c:extLst>
        </c:ser>
        <c:dLbls>
          <c:showLegendKey val="0"/>
          <c:showVal val="0"/>
          <c:showCatName val="0"/>
          <c:showSerName val="0"/>
          <c:showPercent val="0"/>
          <c:showBubbleSize val="0"/>
        </c:dLbls>
        <c:gapWidth val="150"/>
        <c:axId val="170844544"/>
        <c:axId val="170846080"/>
      </c:barChart>
      <c:catAx>
        <c:axId val="170844544"/>
        <c:scaling>
          <c:orientation val="maxMin"/>
        </c:scaling>
        <c:delete val="0"/>
        <c:axPos val="l"/>
        <c:numFmt formatCode="General" sourceLinked="1"/>
        <c:majorTickMark val="out"/>
        <c:minorTickMark val="none"/>
        <c:tickLblPos val="low"/>
        <c:txPr>
          <a:bodyPr/>
          <a:lstStyle/>
          <a:p>
            <a:pPr>
              <a:defRPr sz="800"/>
            </a:pPr>
            <a:endParaRPr lang="en-US"/>
          </a:p>
        </c:txPr>
        <c:crossAx val="170846080"/>
        <c:crosses val="autoZero"/>
        <c:auto val="1"/>
        <c:lblAlgn val="ctr"/>
        <c:lblOffset val="100"/>
        <c:noMultiLvlLbl val="0"/>
      </c:catAx>
      <c:valAx>
        <c:axId val="170846080"/>
        <c:scaling>
          <c:orientation val="minMax"/>
        </c:scaling>
        <c:delete val="1"/>
        <c:axPos val="b"/>
        <c:numFmt formatCode="#,##0.0" sourceLinked="0"/>
        <c:majorTickMark val="out"/>
        <c:minorTickMark val="none"/>
        <c:tickLblPos val="nextTo"/>
        <c:crossAx val="170844544"/>
        <c:crosses val="max"/>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0.35983982683982685"/>
          <c:y val="2.2460506785411366E-2"/>
          <c:w val="0.63478550077245421"/>
          <c:h val="0.95507898642917732"/>
        </c:manualLayout>
      </c:layout>
      <c:barChart>
        <c:barDir val="bar"/>
        <c:grouping val="clustered"/>
        <c:varyColors val="0"/>
        <c:ser>
          <c:idx val="0"/>
          <c:order val="0"/>
          <c:spPr>
            <a:solidFill>
              <a:srgbClr val="3E8A92"/>
            </a:solidFill>
          </c:spPr>
          <c:invertIfNegative val="0"/>
          <c:cat>
            <c:strRef>
              <c:f>'Chart data'!$C$27:$C$42</c:f>
              <c:strCache>
                <c:ptCount val="16"/>
                <c:pt idx="0">
                  <c:v>Alpine Energy</c:v>
                </c:pt>
                <c:pt idx="1">
                  <c:v>The Lines Company</c:v>
                </c:pt>
                <c:pt idx="2">
                  <c:v>Electricity Ashburton</c:v>
                </c:pt>
                <c:pt idx="3">
                  <c:v>OtagoNet</c:v>
                </c:pt>
                <c:pt idx="4">
                  <c:v>Horizon Energy</c:v>
                </c:pt>
                <c:pt idx="5">
                  <c:v>Centralines</c:v>
                </c:pt>
                <c:pt idx="6">
                  <c:v>Network Tasman</c:v>
                </c:pt>
                <c:pt idx="7">
                  <c:v>Unison Networks</c:v>
                </c:pt>
                <c:pt idx="8">
                  <c:v>Eastland Network</c:v>
                </c:pt>
                <c:pt idx="9">
                  <c:v>Powerco</c:v>
                </c:pt>
                <c:pt idx="10">
                  <c:v>Aurora Energy</c:v>
                </c:pt>
                <c:pt idx="11">
                  <c:v>Electricity Invercargill</c:v>
                </c:pt>
                <c:pt idx="12">
                  <c:v>Vector Lines</c:v>
                </c:pt>
                <c:pt idx="13">
                  <c:v>Wellington Electricity</c:v>
                </c:pt>
                <c:pt idx="14">
                  <c:v>Top Energy</c:v>
                </c:pt>
                <c:pt idx="15">
                  <c:v>Nelson Electricity</c:v>
                </c:pt>
              </c:strCache>
            </c:strRef>
          </c:cat>
          <c:val>
            <c:numRef>
              <c:f>'Chart data'!$D$27:$D$42</c:f>
              <c:numCache>
                <c:formatCode>_(* #,##0.00_);_(* \(#,##0.00\);_(* "–"???_);_(* @_)</c:formatCode>
                <c:ptCount val="16"/>
                <c:pt idx="0">
                  <c:v>0.55642962455749512</c:v>
                </c:pt>
                <c:pt idx="1">
                  <c:v>1.4129638671875009</c:v>
                </c:pt>
                <c:pt idx="2">
                  <c:v>0.47111749649048207</c:v>
                </c:pt>
                <c:pt idx="3">
                  <c:v>9.6574425697325772E-2</c:v>
                </c:pt>
                <c:pt idx="4">
                  <c:v>0.12078404426574618</c:v>
                </c:pt>
                <c:pt idx="5">
                  <c:v>-0.16186714172363459</c:v>
                </c:pt>
                <c:pt idx="6">
                  <c:v>-0.12520015239715576</c:v>
                </c:pt>
                <c:pt idx="7">
                  <c:v>-4.5095086097719062E-2</c:v>
                </c:pt>
                <c:pt idx="8">
                  <c:v>-0.30574262142181485</c:v>
                </c:pt>
                <c:pt idx="9">
                  <c:v>-0.11184930801391246</c:v>
                </c:pt>
                <c:pt idx="10">
                  <c:v>-0.59806346893310547</c:v>
                </c:pt>
                <c:pt idx="11">
                  <c:v>-0.41335582733154386</c:v>
                </c:pt>
                <c:pt idx="12">
                  <c:v>-0.37393271923065186</c:v>
                </c:pt>
                <c:pt idx="13">
                  <c:v>-0.75905323028564453</c:v>
                </c:pt>
                <c:pt idx="14">
                  <c:v>-0.58529675006866011</c:v>
                </c:pt>
                <c:pt idx="15">
                  <c:v>-0.95834910869598566</c:v>
                </c:pt>
              </c:numCache>
            </c:numRef>
          </c:val>
          <c:extLst xmlns:c16r2="http://schemas.microsoft.com/office/drawing/2015/06/chart">
            <c:ext xmlns:c16="http://schemas.microsoft.com/office/drawing/2014/chart" uri="{C3380CC4-5D6E-409C-BE32-E72D297353CC}">
              <c16:uniqueId val="{00000000-9A0E-48F4-A803-1E62351C91E2}"/>
            </c:ext>
          </c:extLst>
        </c:ser>
        <c:dLbls>
          <c:showLegendKey val="0"/>
          <c:showVal val="0"/>
          <c:showCatName val="0"/>
          <c:showSerName val="0"/>
          <c:showPercent val="0"/>
          <c:showBubbleSize val="0"/>
        </c:dLbls>
        <c:gapWidth val="150"/>
        <c:axId val="171607552"/>
        <c:axId val="171609088"/>
      </c:barChart>
      <c:catAx>
        <c:axId val="171607552"/>
        <c:scaling>
          <c:orientation val="maxMin"/>
        </c:scaling>
        <c:delete val="0"/>
        <c:axPos val="l"/>
        <c:numFmt formatCode="General" sourceLinked="1"/>
        <c:majorTickMark val="cross"/>
        <c:minorTickMark val="none"/>
        <c:tickLblPos val="low"/>
        <c:txPr>
          <a:bodyPr/>
          <a:lstStyle/>
          <a:p>
            <a:pPr>
              <a:defRPr sz="800"/>
            </a:pPr>
            <a:endParaRPr lang="en-US"/>
          </a:p>
        </c:txPr>
        <c:crossAx val="171609088"/>
        <c:crosses val="autoZero"/>
        <c:auto val="1"/>
        <c:lblAlgn val="ctr"/>
        <c:lblOffset val="100"/>
        <c:noMultiLvlLbl val="0"/>
      </c:catAx>
      <c:valAx>
        <c:axId val="171609088"/>
        <c:scaling>
          <c:orientation val="minMax"/>
          <c:max val="1.5"/>
          <c:min val="-1.5"/>
        </c:scaling>
        <c:delete val="0"/>
        <c:axPos val="b"/>
        <c:majorGridlines>
          <c:spPr>
            <a:ln w="6350">
              <a:solidFill>
                <a:schemeClr val="bg1">
                  <a:lumMod val="85000"/>
                </a:schemeClr>
              </a:solidFill>
            </a:ln>
          </c:spPr>
        </c:majorGridlines>
        <c:numFmt formatCode="#,##0.0" sourceLinked="0"/>
        <c:majorTickMark val="out"/>
        <c:minorTickMark val="none"/>
        <c:tickLblPos val="nextTo"/>
        <c:spPr>
          <a:ln w="6350">
            <a:noFill/>
          </a:ln>
        </c:spPr>
        <c:txPr>
          <a:bodyPr/>
          <a:lstStyle/>
          <a:p>
            <a:pPr>
              <a:defRPr sz="800"/>
            </a:pPr>
            <a:endParaRPr lang="en-US"/>
          </a:p>
        </c:txPr>
        <c:crossAx val="171607552"/>
        <c:crosses val="max"/>
        <c:crossBetween val="between"/>
        <c:majorUnit val="0.5"/>
      </c:valAx>
    </c:plotArea>
    <c:plotVisOnly val="1"/>
    <c:dispBlanksAs val="gap"/>
    <c:showDLblsOverMax val="0"/>
  </c:chart>
  <c:spPr>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8" Type="http://schemas.openxmlformats.org/officeDocument/2006/relationships/chart" Target="../charts/chart12.xml"/><Relationship Id="rId13" Type="http://schemas.openxmlformats.org/officeDocument/2006/relationships/chart" Target="../charts/chart17.xml"/><Relationship Id="rId18" Type="http://schemas.openxmlformats.org/officeDocument/2006/relationships/chart" Target="../charts/chart22.xml"/><Relationship Id="rId3" Type="http://schemas.openxmlformats.org/officeDocument/2006/relationships/chart" Target="../charts/chart7.xml"/><Relationship Id="rId7" Type="http://schemas.openxmlformats.org/officeDocument/2006/relationships/chart" Target="../charts/chart11.xml"/><Relationship Id="rId12" Type="http://schemas.openxmlformats.org/officeDocument/2006/relationships/chart" Target="../charts/chart16.xml"/><Relationship Id="rId17" Type="http://schemas.openxmlformats.org/officeDocument/2006/relationships/chart" Target="../charts/chart21.xml"/><Relationship Id="rId2" Type="http://schemas.openxmlformats.org/officeDocument/2006/relationships/chart" Target="../charts/chart6.xml"/><Relationship Id="rId16" Type="http://schemas.openxmlformats.org/officeDocument/2006/relationships/chart" Target="../charts/chart20.xml"/><Relationship Id="rId1" Type="http://schemas.openxmlformats.org/officeDocument/2006/relationships/chart" Target="../charts/chart5.xml"/><Relationship Id="rId6" Type="http://schemas.openxmlformats.org/officeDocument/2006/relationships/chart" Target="../charts/chart10.xml"/><Relationship Id="rId11" Type="http://schemas.openxmlformats.org/officeDocument/2006/relationships/chart" Target="../charts/chart15.xml"/><Relationship Id="rId5" Type="http://schemas.openxmlformats.org/officeDocument/2006/relationships/chart" Target="../charts/chart9.xml"/><Relationship Id="rId15" Type="http://schemas.openxmlformats.org/officeDocument/2006/relationships/chart" Target="../charts/chart19.xml"/><Relationship Id="rId10" Type="http://schemas.openxmlformats.org/officeDocument/2006/relationships/chart" Target="../charts/chart14.xml"/><Relationship Id="rId19" Type="http://schemas.openxmlformats.org/officeDocument/2006/relationships/chart" Target="../charts/chart23.xml"/><Relationship Id="rId4" Type="http://schemas.openxmlformats.org/officeDocument/2006/relationships/chart" Target="../charts/chart8.xml"/><Relationship Id="rId9" Type="http://schemas.openxmlformats.org/officeDocument/2006/relationships/chart" Target="../charts/chart13.xml"/><Relationship Id="rId14" Type="http://schemas.openxmlformats.org/officeDocument/2006/relationships/chart" Target="../charts/chart18.xml"/></Relationships>
</file>

<file path=xl/drawings/drawing1.xml><?xml version="1.0" encoding="utf-8"?>
<xdr:wsDr xmlns:xdr="http://schemas.openxmlformats.org/drawingml/2006/spreadsheetDrawing" xmlns:a="http://schemas.openxmlformats.org/drawingml/2006/main">
  <xdr:oneCellAnchor>
    <xdr:from>
      <xdr:col>0</xdr:col>
      <xdr:colOff>314325</xdr:colOff>
      <xdr:row>0</xdr:row>
      <xdr:rowOff>142875</xdr:rowOff>
    </xdr:from>
    <xdr:ext cx="2314575" cy="704850"/>
    <xdr:pic>
      <xdr:nvPicPr>
        <xdr:cNvPr id="5" name="Picture 5" descr="ComComNZ colour.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325" y="142875"/>
          <a:ext cx="231457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28576</xdr:colOff>
      <xdr:row>1</xdr:row>
      <xdr:rowOff>2295525</xdr:rowOff>
    </xdr:from>
    <xdr:to>
      <xdr:col>3</xdr:col>
      <xdr:colOff>2133601</xdr:colOff>
      <xdr:row>14</xdr:row>
      <xdr:rowOff>180975</xdr:rowOff>
    </xdr:to>
    <xdr:pic>
      <xdr:nvPicPr>
        <xdr:cNvPr id="6" name="Picture 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6" y="2486025"/>
          <a:ext cx="8934450" cy="3295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344365</xdr:colOff>
      <xdr:row>13</xdr:row>
      <xdr:rowOff>29308</xdr:rowOff>
    </xdr:from>
    <xdr:to>
      <xdr:col>5</xdr:col>
      <xdr:colOff>2183423</xdr:colOff>
      <xdr:row>40</xdr:row>
      <xdr:rowOff>14654</xdr:rowOff>
    </xdr:to>
    <xdr:grpSp>
      <xdr:nvGrpSpPr>
        <xdr:cNvPr id="23" name="Group 22"/>
        <xdr:cNvGrpSpPr/>
      </xdr:nvGrpSpPr>
      <xdr:grpSpPr>
        <a:xfrm>
          <a:off x="525340" y="6430108"/>
          <a:ext cx="11287858" cy="5128846"/>
          <a:chOff x="527538" y="4125058"/>
          <a:chExt cx="11290789" cy="5128846"/>
        </a:xfrm>
      </xdr:grpSpPr>
      <xdr:sp macro="" textlink="">
        <xdr:nvSpPr>
          <xdr:cNvPr id="2" name="Rounded Rectangle 1"/>
          <xdr:cNvSpPr/>
        </xdr:nvSpPr>
        <xdr:spPr>
          <a:xfrm>
            <a:off x="753207" y="5886450"/>
            <a:ext cx="2924175" cy="1181100"/>
          </a:xfrm>
          <a:prstGeom prst="roundRect">
            <a:avLst/>
          </a:prstGeom>
          <a:ln>
            <a:solidFill>
              <a:schemeClr val="accent5"/>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noAutofit/>
          </a:bodyPr>
          <a:lstStyle/>
          <a:p>
            <a:pPr algn="l"/>
            <a:r>
              <a:rPr lang="en-NZ" sz="2800"/>
              <a:t>DPP Model</a:t>
            </a:r>
          </a:p>
        </xdr:txBody>
      </xdr:sp>
      <xdr:sp macro="" textlink="">
        <xdr:nvSpPr>
          <xdr:cNvPr id="3" name="Rounded Rectangle 2"/>
          <xdr:cNvSpPr/>
        </xdr:nvSpPr>
        <xdr:spPr>
          <a:xfrm>
            <a:off x="3596420" y="7924800"/>
            <a:ext cx="2924175" cy="1181100"/>
          </a:xfrm>
          <a:prstGeom prst="roundRect">
            <a:avLst/>
          </a:prstGeom>
          <a:ln>
            <a:solidFill>
              <a:schemeClr val="accent5"/>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noAutofit/>
          </a:bodyPr>
          <a:lstStyle/>
          <a:p>
            <a:pPr algn="l"/>
            <a:r>
              <a:rPr lang="en-NZ" sz="2800">
                <a:solidFill>
                  <a:schemeClr val="bg2"/>
                </a:solidFill>
              </a:rPr>
              <a:t>IRR Model</a:t>
            </a:r>
          </a:p>
        </xdr:txBody>
      </xdr:sp>
      <xdr:sp macro="" textlink="">
        <xdr:nvSpPr>
          <xdr:cNvPr id="4" name="Rounded Rectangle 3"/>
          <xdr:cNvSpPr/>
        </xdr:nvSpPr>
        <xdr:spPr>
          <a:xfrm>
            <a:off x="6382482" y="5886450"/>
            <a:ext cx="2924175" cy="1181100"/>
          </a:xfrm>
          <a:prstGeom prst="roundRect">
            <a:avLst/>
          </a:prstGeom>
          <a:ln>
            <a:solidFill>
              <a:schemeClr val="accent5"/>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noAutofit/>
          </a:bodyPr>
          <a:lstStyle/>
          <a:p>
            <a:pPr algn="l"/>
            <a:r>
              <a:rPr lang="en-NZ" sz="2800"/>
              <a:t>Revenue Model</a:t>
            </a:r>
          </a:p>
        </xdr:txBody>
      </xdr:sp>
      <xdr:sp macro="" textlink="">
        <xdr:nvSpPr>
          <xdr:cNvPr id="5" name="Bent Arrow 4"/>
          <xdr:cNvSpPr/>
        </xdr:nvSpPr>
        <xdr:spPr>
          <a:xfrm rot="16200000" flipH="1" flipV="1">
            <a:off x="8166038" y="3269457"/>
            <a:ext cx="981075" cy="3671887"/>
          </a:xfrm>
          <a:prstGeom prst="bentArrow">
            <a:avLst/>
          </a:prstGeom>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Z" sz="1100">
              <a:solidFill>
                <a:schemeClr val="tx1"/>
              </a:solidFill>
            </a:endParaRPr>
          </a:p>
        </xdr:txBody>
      </xdr:sp>
      <xdr:sp macro="" textlink="">
        <xdr:nvSpPr>
          <xdr:cNvPr id="6" name="Rounded Rectangle 5"/>
          <xdr:cNvSpPr/>
        </xdr:nvSpPr>
        <xdr:spPr>
          <a:xfrm>
            <a:off x="3596420" y="4286250"/>
            <a:ext cx="2924175" cy="1181100"/>
          </a:xfrm>
          <a:prstGeom prst="roundRect">
            <a:avLst/>
          </a:prstGeom>
          <a:ln>
            <a:solidFill>
              <a:schemeClr val="accent5"/>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noAutofit/>
          </a:bodyPr>
          <a:lstStyle/>
          <a:p>
            <a:pPr algn="l"/>
            <a:r>
              <a:rPr lang="en-NZ" sz="2800"/>
              <a:t>ID Disclosures</a:t>
            </a:r>
          </a:p>
        </xdr:txBody>
      </xdr:sp>
      <xdr:sp macro="" textlink="">
        <xdr:nvSpPr>
          <xdr:cNvPr id="7" name="Rounded Rectangle 6"/>
          <xdr:cNvSpPr/>
        </xdr:nvSpPr>
        <xdr:spPr>
          <a:xfrm>
            <a:off x="8763732" y="7924800"/>
            <a:ext cx="2924175" cy="1181100"/>
          </a:xfrm>
          <a:prstGeom prst="roundRect">
            <a:avLst/>
          </a:prstGeom>
          <a:ln>
            <a:solidFill>
              <a:schemeClr val="accent5"/>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noAutofit/>
          </a:bodyPr>
          <a:lstStyle/>
          <a:p>
            <a:pPr algn="l"/>
            <a:r>
              <a:rPr lang="en-NZ" sz="2800"/>
              <a:t>Revaluation Model</a:t>
            </a:r>
          </a:p>
        </xdr:txBody>
      </xdr:sp>
      <xdr:sp macro="" textlink="">
        <xdr:nvSpPr>
          <xdr:cNvPr id="8" name="Bent Arrow 7"/>
          <xdr:cNvSpPr/>
        </xdr:nvSpPr>
        <xdr:spPr>
          <a:xfrm rot="16200000" flipH="1">
            <a:off x="2222440" y="4445795"/>
            <a:ext cx="981075" cy="1319211"/>
          </a:xfrm>
          <a:prstGeom prst="bentArrow">
            <a:avLst/>
          </a:prstGeom>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Z" sz="1100">
              <a:solidFill>
                <a:schemeClr val="tx1"/>
              </a:solidFill>
            </a:endParaRPr>
          </a:p>
        </xdr:txBody>
      </xdr:sp>
      <xdr:sp macro="" textlink="">
        <xdr:nvSpPr>
          <xdr:cNvPr id="9" name="Bent Arrow 8"/>
          <xdr:cNvSpPr/>
        </xdr:nvSpPr>
        <xdr:spPr>
          <a:xfrm rot="16200000" flipH="1" flipV="1">
            <a:off x="6975412" y="4488660"/>
            <a:ext cx="981075" cy="1252535"/>
          </a:xfrm>
          <a:prstGeom prst="bentArrow">
            <a:avLst/>
          </a:prstGeom>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Z" sz="1100">
              <a:solidFill>
                <a:schemeClr val="tx1"/>
              </a:solidFill>
            </a:endParaRPr>
          </a:p>
        </xdr:txBody>
      </xdr:sp>
      <xdr:sp macro="" textlink="">
        <xdr:nvSpPr>
          <xdr:cNvPr id="10" name="Bent Arrow 9"/>
          <xdr:cNvSpPr/>
        </xdr:nvSpPr>
        <xdr:spPr>
          <a:xfrm rot="10800000" flipH="1">
            <a:off x="2222440" y="7427120"/>
            <a:ext cx="981075" cy="1319211"/>
          </a:xfrm>
          <a:prstGeom prst="bentArrow">
            <a:avLst/>
          </a:prstGeom>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Z" sz="1100">
              <a:solidFill>
                <a:schemeClr val="tx1"/>
              </a:solidFill>
            </a:endParaRPr>
          </a:p>
        </xdr:txBody>
      </xdr:sp>
      <xdr:sp macro="" textlink="">
        <xdr:nvSpPr>
          <xdr:cNvPr id="11" name="Right Arrow 10"/>
          <xdr:cNvSpPr/>
        </xdr:nvSpPr>
        <xdr:spPr>
          <a:xfrm rot="10800000">
            <a:off x="7011277" y="8228012"/>
            <a:ext cx="1561956" cy="498476"/>
          </a:xfrm>
          <a:prstGeom prst="rightArrow">
            <a:avLst/>
          </a:prstGeom>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Z" sz="1100"/>
          </a:p>
        </xdr:txBody>
      </xdr:sp>
      <xdr:sp macro="" textlink="">
        <xdr:nvSpPr>
          <xdr:cNvPr id="12" name="Right Arrow 11"/>
          <xdr:cNvSpPr/>
        </xdr:nvSpPr>
        <xdr:spPr>
          <a:xfrm rot="5400000">
            <a:off x="3839452" y="6561137"/>
            <a:ext cx="2130136" cy="498476"/>
          </a:xfrm>
          <a:prstGeom prst="rightArrow">
            <a:avLst/>
          </a:prstGeom>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Z" sz="1100"/>
          </a:p>
        </xdr:txBody>
      </xdr:sp>
      <xdr:sp macro="" textlink="">
        <xdr:nvSpPr>
          <xdr:cNvPr id="13" name="Bent Arrow 12"/>
          <xdr:cNvSpPr/>
        </xdr:nvSpPr>
        <xdr:spPr>
          <a:xfrm rot="10800000">
            <a:off x="7013515" y="7389020"/>
            <a:ext cx="981075" cy="1319211"/>
          </a:xfrm>
          <a:prstGeom prst="bentArrow">
            <a:avLst/>
          </a:prstGeom>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Z" sz="1100">
              <a:solidFill>
                <a:schemeClr val="tx1"/>
              </a:solidFill>
            </a:endParaRPr>
          </a:p>
        </xdr:txBody>
      </xdr:sp>
      <xdr:sp macro="" textlink="">
        <xdr:nvSpPr>
          <xdr:cNvPr id="14" name="TextBox 13"/>
          <xdr:cNvSpPr txBox="1"/>
        </xdr:nvSpPr>
        <xdr:spPr>
          <a:xfrm>
            <a:off x="8001733" y="7383340"/>
            <a:ext cx="1120243" cy="264560"/>
          </a:xfrm>
          <a:prstGeom prst="rect">
            <a:avLst/>
          </a:prstGeom>
          <a:noFill/>
          <a:ln>
            <a:solidFill>
              <a:schemeClr val="accent5"/>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NZ" sz="1100"/>
              <a:t>Scenarios 11–23</a:t>
            </a:r>
          </a:p>
        </xdr:txBody>
      </xdr:sp>
      <xdr:sp macro="" textlink="">
        <xdr:nvSpPr>
          <xdr:cNvPr id="15" name="TextBox 14"/>
          <xdr:cNvSpPr txBox="1"/>
        </xdr:nvSpPr>
        <xdr:spPr>
          <a:xfrm>
            <a:off x="7789983" y="8598877"/>
            <a:ext cx="780342" cy="264560"/>
          </a:xfrm>
          <a:prstGeom prst="rect">
            <a:avLst/>
          </a:prstGeom>
          <a:noFill/>
          <a:ln>
            <a:solidFill>
              <a:schemeClr val="accent5"/>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NZ" sz="1100"/>
              <a:t>Scenario 9</a:t>
            </a:r>
          </a:p>
        </xdr:txBody>
      </xdr:sp>
      <xdr:sp macro="" textlink="">
        <xdr:nvSpPr>
          <xdr:cNvPr id="16" name="TextBox 15"/>
          <xdr:cNvSpPr txBox="1"/>
        </xdr:nvSpPr>
        <xdr:spPr>
          <a:xfrm>
            <a:off x="5032131" y="7200900"/>
            <a:ext cx="1394164" cy="264560"/>
          </a:xfrm>
          <a:prstGeom prst="rect">
            <a:avLst/>
          </a:prstGeom>
          <a:noFill/>
          <a:ln>
            <a:solidFill>
              <a:schemeClr val="accent5"/>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NZ" sz="1100"/>
              <a:t>Scenarios 3, 6, 10, 24</a:t>
            </a:r>
          </a:p>
        </xdr:txBody>
      </xdr:sp>
      <xdr:sp macro="" textlink="">
        <xdr:nvSpPr>
          <xdr:cNvPr id="17" name="TextBox 16"/>
          <xdr:cNvSpPr txBox="1"/>
        </xdr:nvSpPr>
        <xdr:spPr>
          <a:xfrm>
            <a:off x="8963758" y="4347064"/>
            <a:ext cx="780342" cy="264560"/>
          </a:xfrm>
          <a:prstGeom prst="rect">
            <a:avLst/>
          </a:prstGeom>
          <a:noFill/>
          <a:ln>
            <a:solidFill>
              <a:schemeClr val="accent5"/>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NZ" sz="1100"/>
              <a:t>Scenario 9</a:t>
            </a:r>
          </a:p>
        </xdr:txBody>
      </xdr:sp>
      <xdr:sp macro="" textlink="">
        <xdr:nvSpPr>
          <xdr:cNvPr id="18" name="TextBox 17"/>
          <xdr:cNvSpPr txBox="1"/>
        </xdr:nvSpPr>
        <xdr:spPr>
          <a:xfrm>
            <a:off x="7968029" y="5049715"/>
            <a:ext cx="1120243" cy="264560"/>
          </a:xfrm>
          <a:prstGeom prst="rect">
            <a:avLst/>
          </a:prstGeom>
          <a:noFill/>
          <a:ln>
            <a:solidFill>
              <a:schemeClr val="accent5"/>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NZ" sz="1100"/>
              <a:t>Scenarios 11–23</a:t>
            </a:r>
          </a:p>
        </xdr:txBody>
      </xdr:sp>
      <xdr:sp macro="" textlink="">
        <xdr:nvSpPr>
          <xdr:cNvPr id="19" name="TextBox 18"/>
          <xdr:cNvSpPr txBox="1"/>
        </xdr:nvSpPr>
        <xdr:spPr>
          <a:xfrm>
            <a:off x="696058" y="7419975"/>
            <a:ext cx="1528303" cy="264560"/>
          </a:xfrm>
          <a:prstGeom prst="rect">
            <a:avLst/>
          </a:prstGeom>
          <a:noFill/>
          <a:ln>
            <a:solidFill>
              <a:schemeClr val="accent5"/>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NZ" sz="1100"/>
              <a:t>Scenarios 1, 2, 4, 5, 7, 8</a:t>
            </a:r>
          </a:p>
        </xdr:txBody>
      </xdr:sp>
      <xdr:sp macro="" textlink="">
        <xdr:nvSpPr>
          <xdr:cNvPr id="20" name="TextBox 19"/>
          <xdr:cNvSpPr txBox="1"/>
        </xdr:nvSpPr>
        <xdr:spPr>
          <a:xfrm>
            <a:off x="1850779" y="4347064"/>
            <a:ext cx="1528303" cy="264560"/>
          </a:xfrm>
          <a:prstGeom prst="rect">
            <a:avLst/>
          </a:prstGeom>
          <a:noFill/>
          <a:ln>
            <a:solidFill>
              <a:schemeClr val="accent5"/>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NZ" sz="1100"/>
              <a:t>Scenarios 1, 2, 4, 7, 8</a:t>
            </a:r>
          </a:p>
        </xdr:txBody>
      </xdr:sp>
      <xdr:sp macro="" textlink="">
        <xdr:nvSpPr>
          <xdr:cNvPr id="22" name="Rectangle 21"/>
          <xdr:cNvSpPr/>
        </xdr:nvSpPr>
        <xdr:spPr>
          <a:xfrm>
            <a:off x="527538" y="4125058"/>
            <a:ext cx="11290789" cy="5128846"/>
          </a:xfrm>
          <a:prstGeom prst="rect">
            <a:avLst/>
          </a:prstGeom>
          <a:no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Z" sz="1100"/>
          </a:p>
        </xdr:txBody>
      </xdr:sp>
      <xdr:sp macro="" textlink="">
        <xdr:nvSpPr>
          <xdr:cNvPr id="21" name="Down Arrow Callout 20"/>
          <xdr:cNvSpPr/>
        </xdr:nvSpPr>
        <xdr:spPr>
          <a:xfrm>
            <a:off x="674078" y="4659924"/>
            <a:ext cx="1333499" cy="1106366"/>
          </a:xfrm>
          <a:prstGeom prst="downArrowCallout">
            <a:avLst>
              <a:gd name="adj1" fmla="val 24834"/>
              <a:gd name="adj2" fmla="val 23013"/>
              <a:gd name="adj3" fmla="val 25000"/>
              <a:gd name="adj4" fmla="val 57692"/>
            </a:avLst>
          </a:prstGeom>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NZ" sz="1100">
              <a:solidFill>
                <a:schemeClr val="tx1"/>
              </a:solidFill>
              <a:latin typeface="+mn-lt"/>
              <a:ea typeface="+mn-ea"/>
              <a:cs typeface="+mn-cs"/>
            </a:endParaRPr>
          </a:p>
        </xdr:txBody>
      </xdr:sp>
      <xdr:sp macro="" textlink="">
        <xdr:nvSpPr>
          <xdr:cNvPr id="2049" name="Text Box 1"/>
          <xdr:cNvSpPr txBox="1">
            <a:spLocks noChangeArrowheads="1"/>
          </xdr:cNvSpPr>
        </xdr:nvSpPr>
        <xdr:spPr bwMode="auto">
          <a:xfrm>
            <a:off x="681403" y="4667249"/>
            <a:ext cx="1311520" cy="622789"/>
          </a:xfrm>
          <a:prstGeom prst="rect">
            <a:avLst/>
          </a:prstGeom>
          <a:noFill/>
          <a:ln w="9525">
            <a:solidFill>
              <a:srgbClr val="000000"/>
            </a:solidFill>
            <a:miter lim="800000"/>
            <a:headEnd/>
            <a:tailEnd/>
          </a:ln>
        </xdr:spPr>
        <xdr:txBody>
          <a:bodyPr vertOverflow="clip" wrap="square" lIns="36576" tIns="32004" rIns="0" bIns="0" anchor="t" upright="1"/>
          <a:lstStyle/>
          <a:p>
            <a:pPr algn="ctr" rtl="0">
              <a:lnSpc>
                <a:spcPts val="1100"/>
              </a:lnSpc>
              <a:defRPr sz="1000"/>
            </a:pPr>
            <a:r>
              <a:rPr lang="en-NZ" sz="1100" b="0" i="0" u="none" strike="noStrike" baseline="0">
                <a:solidFill>
                  <a:srgbClr val="000000"/>
                </a:solidFill>
                <a:latin typeface="Calibri"/>
              </a:rPr>
              <a:t>Capex &amp; opex allowances recalculated using actual price inflators</a:t>
            </a:r>
          </a:p>
        </xdr:txBody>
      </xdr:sp>
      <xdr:sp macro="" textlink="">
        <xdr:nvSpPr>
          <xdr:cNvPr id="25" name="TextBox 24"/>
          <xdr:cNvSpPr txBox="1"/>
        </xdr:nvSpPr>
        <xdr:spPr>
          <a:xfrm>
            <a:off x="564174" y="5298097"/>
            <a:ext cx="505558" cy="504825"/>
          </a:xfrm>
          <a:prstGeom prst="rect">
            <a:avLst/>
          </a:prstGeom>
          <a:noFill/>
          <a:ln>
            <a:solidFill>
              <a:schemeClr val="accent5"/>
            </a:solidFill>
          </a:ln>
        </xdr:spPr>
        <xdr:style>
          <a:lnRef idx="0">
            <a:scrgbClr r="0" g="0" b="0"/>
          </a:lnRef>
          <a:fillRef idx="0">
            <a:scrgbClr r="0" g="0" b="0"/>
          </a:fillRef>
          <a:effectRef idx="0">
            <a:scrgbClr r="0" g="0" b="0"/>
          </a:effectRef>
          <a:fontRef idx="minor">
            <a:schemeClr val="tx1"/>
          </a:fontRef>
        </xdr:style>
        <xdr:txBody>
          <a:bodyPr vertOverflow="clip" horzOverflow="clip" wrap="none" lIns="54000" rIns="54000" rtlCol="0" anchor="t">
            <a:noAutofit/>
          </a:bodyPr>
          <a:lstStyle/>
          <a:p>
            <a:pPr algn="ctr"/>
            <a:r>
              <a:rPr lang="en-NZ" sz="1100"/>
              <a:t>Scenario</a:t>
            </a:r>
          </a:p>
          <a:p>
            <a:pPr algn="ctr"/>
            <a:r>
              <a:rPr lang="en-NZ" sz="1100"/>
              <a:t>5</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361950</xdr:colOff>
      <xdr:row>13</xdr:row>
      <xdr:rowOff>38100</xdr:rowOff>
    </xdr:from>
    <xdr:to>
      <xdr:col>19</xdr:col>
      <xdr:colOff>66674</xdr:colOff>
      <xdr:row>26</xdr:row>
      <xdr:rowOff>180975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124066</xdr:colOff>
      <xdr:row>30</xdr:row>
      <xdr:rowOff>52165</xdr:rowOff>
    </xdr:from>
    <xdr:to>
      <xdr:col>10</xdr:col>
      <xdr:colOff>321118</xdr:colOff>
      <xdr:row>57</xdr:row>
      <xdr:rowOff>13229</xdr:rowOff>
    </xdr:to>
    <xdr:graphicFrame macro="">
      <xdr:nvGraphicFramePr>
        <xdr:cNvPr id="6" name="Chart 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16</xdr:col>
      <xdr:colOff>626410</xdr:colOff>
      <xdr:row>30</xdr:row>
      <xdr:rowOff>52165</xdr:rowOff>
    </xdr:from>
    <xdr:to>
      <xdr:col>27</xdr:col>
      <xdr:colOff>592474</xdr:colOff>
      <xdr:row>57</xdr:row>
      <xdr:rowOff>13229</xdr:rowOff>
    </xdr:to>
    <xdr:graphicFrame macro="">
      <xdr:nvGraphicFramePr>
        <xdr:cNvPr id="8" name="Chart 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390525</xdr:colOff>
      <xdr:row>73</xdr:row>
      <xdr:rowOff>19050</xdr:rowOff>
    </xdr:from>
    <xdr:to>
      <xdr:col>10</xdr:col>
      <xdr:colOff>41175</xdr:colOff>
      <xdr:row>98</xdr:row>
      <xdr:rowOff>38932</xdr:rowOff>
    </xdr:to>
    <xdr:graphicFrame macro="">
      <xdr:nvGraphicFramePr>
        <xdr:cNvPr id="9" name="Chart 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44824</xdr:colOff>
      <xdr:row>4</xdr:row>
      <xdr:rowOff>22410</xdr:rowOff>
    </xdr:from>
    <xdr:to>
      <xdr:col>1</xdr:col>
      <xdr:colOff>2816824</xdr:colOff>
      <xdr:row>23</xdr:row>
      <xdr:rowOff>175710</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44824</xdr:colOff>
      <xdr:row>4</xdr:row>
      <xdr:rowOff>22410</xdr:rowOff>
    </xdr:from>
    <xdr:to>
      <xdr:col>2</xdr:col>
      <xdr:colOff>2816824</xdr:colOff>
      <xdr:row>23</xdr:row>
      <xdr:rowOff>175710</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4</xdr:row>
      <xdr:rowOff>0</xdr:rowOff>
    </xdr:from>
    <xdr:to>
      <xdr:col>3</xdr:col>
      <xdr:colOff>2772000</xdr:colOff>
      <xdr:row>23</xdr:row>
      <xdr:rowOff>153300</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0</xdr:colOff>
      <xdr:row>4</xdr:row>
      <xdr:rowOff>0</xdr:rowOff>
    </xdr:from>
    <xdr:to>
      <xdr:col>4</xdr:col>
      <xdr:colOff>2772000</xdr:colOff>
      <xdr:row>23</xdr:row>
      <xdr:rowOff>153300</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28</xdr:row>
      <xdr:rowOff>0</xdr:rowOff>
    </xdr:from>
    <xdr:to>
      <xdr:col>3</xdr:col>
      <xdr:colOff>2772000</xdr:colOff>
      <xdr:row>47</xdr:row>
      <xdr:rowOff>153300</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28</xdr:row>
      <xdr:rowOff>0</xdr:rowOff>
    </xdr:from>
    <xdr:to>
      <xdr:col>1</xdr:col>
      <xdr:colOff>2772000</xdr:colOff>
      <xdr:row>47</xdr:row>
      <xdr:rowOff>153300</xdr:rowOff>
    </xdr:to>
    <xdr:graphicFrame macro="">
      <xdr:nvGraphicFramePr>
        <xdr:cNvPr id="30"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28</xdr:row>
      <xdr:rowOff>0</xdr:rowOff>
    </xdr:from>
    <xdr:to>
      <xdr:col>2</xdr:col>
      <xdr:colOff>2772000</xdr:colOff>
      <xdr:row>47</xdr:row>
      <xdr:rowOff>153300</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79</xdr:row>
      <xdr:rowOff>0</xdr:rowOff>
    </xdr:from>
    <xdr:to>
      <xdr:col>2</xdr:col>
      <xdr:colOff>1270730</xdr:colOff>
      <xdr:row>104</xdr:row>
      <xdr:rowOff>169500</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0</xdr:colOff>
      <xdr:row>4</xdr:row>
      <xdr:rowOff>0</xdr:rowOff>
    </xdr:from>
    <xdr:to>
      <xdr:col>6</xdr:col>
      <xdr:colOff>2772000</xdr:colOff>
      <xdr:row>23</xdr:row>
      <xdr:rowOff>153300</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0</xdr:colOff>
      <xdr:row>4</xdr:row>
      <xdr:rowOff>0</xdr:rowOff>
    </xdr:from>
    <xdr:to>
      <xdr:col>5</xdr:col>
      <xdr:colOff>2772000</xdr:colOff>
      <xdr:row>23</xdr:row>
      <xdr:rowOff>153300</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0</xdr:colOff>
      <xdr:row>55</xdr:row>
      <xdr:rowOff>0</xdr:rowOff>
    </xdr:from>
    <xdr:to>
      <xdr:col>3</xdr:col>
      <xdr:colOff>2772000</xdr:colOff>
      <xdr:row>74</xdr:row>
      <xdr:rowOff>153300</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55</xdr:row>
      <xdr:rowOff>0</xdr:rowOff>
    </xdr:from>
    <xdr:to>
      <xdr:col>1</xdr:col>
      <xdr:colOff>2772000</xdr:colOff>
      <xdr:row>74</xdr:row>
      <xdr:rowOff>153300</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xdr:col>
      <xdr:colOff>0</xdr:colOff>
      <xdr:row>55</xdr:row>
      <xdr:rowOff>0</xdr:rowOff>
    </xdr:from>
    <xdr:to>
      <xdr:col>2</xdr:col>
      <xdr:colOff>2772000</xdr:colOff>
      <xdr:row>74</xdr:row>
      <xdr:rowOff>153300</xdr:rowOff>
    </xdr:to>
    <xdr:graphicFrame macro="">
      <xdr:nvGraphicFramePr>
        <xdr:cNvPr id="32"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5</xdr:col>
      <xdr:colOff>0</xdr:colOff>
      <xdr:row>28</xdr:row>
      <xdr:rowOff>0</xdr:rowOff>
    </xdr:from>
    <xdr:to>
      <xdr:col>5</xdr:col>
      <xdr:colOff>2772000</xdr:colOff>
      <xdr:row>47</xdr:row>
      <xdr:rowOff>153300</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xdr:col>
      <xdr:colOff>0</xdr:colOff>
      <xdr:row>28</xdr:row>
      <xdr:rowOff>0</xdr:rowOff>
    </xdr:from>
    <xdr:to>
      <xdr:col>4</xdr:col>
      <xdr:colOff>2772000</xdr:colOff>
      <xdr:row>47</xdr:row>
      <xdr:rowOff>153300</xdr:rowOff>
    </xdr:to>
    <xdr:graphicFrame macro="">
      <xdr:nvGraphicFramePr>
        <xdr:cNvPr id="3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6</xdr:col>
      <xdr:colOff>0</xdr:colOff>
      <xdr:row>28</xdr:row>
      <xdr:rowOff>0</xdr:rowOff>
    </xdr:from>
    <xdr:to>
      <xdr:col>6</xdr:col>
      <xdr:colOff>2772000</xdr:colOff>
      <xdr:row>47</xdr:row>
      <xdr:rowOff>153300</xdr:rowOff>
    </xdr:to>
    <xdr:graphicFrame macro="">
      <xdr:nvGraphicFramePr>
        <xdr:cNvPr id="35"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xdr:col>
      <xdr:colOff>0</xdr:colOff>
      <xdr:row>80</xdr:row>
      <xdr:rowOff>0</xdr:rowOff>
    </xdr:from>
    <xdr:to>
      <xdr:col>4</xdr:col>
      <xdr:colOff>2578650</xdr:colOff>
      <xdr:row>104</xdr:row>
      <xdr:rowOff>217170</xdr:rowOff>
    </xdr:to>
    <xdr:graphicFrame macro="">
      <xdr:nvGraphicFramePr>
        <xdr:cNvPr id="39"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5</xdr:col>
      <xdr:colOff>0</xdr:colOff>
      <xdr:row>80</xdr:row>
      <xdr:rowOff>0</xdr:rowOff>
    </xdr:from>
    <xdr:to>
      <xdr:col>6</xdr:col>
      <xdr:colOff>1258725</xdr:colOff>
      <xdr:row>105</xdr:row>
      <xdr:rowOff>93300</xdr:rowOff>
    </xdr:to>
    <xdr:graphicFrame macro="">
      <xdr:nvGraphicFramePr>
        <xdr:cNvPr id="41"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4</xdr:col>
      <xdr:colOff>19050</xdr:colOff>
      <xdr:row>55</xdr:row>
      <xdr:rowOff>9525</xdr:rowOff>
    </xdr:from>
    <xdr:to>
      <xdr:col>5</xdr:col>
      <xdr:colOff>869700</xdr:colOff>
      <xdr:row>73</xdr:row>
      <xdr:rowOff>36525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0.63154</cdr:x>
      <cdr:y>0.37023</cdr:y>
    </cdr:from>
    <cdr:to>
      <cdr:x>0.98826</cdr:x>
      <cdr:y>0.55488</cdr:y>
    </cdr:to>
    <cdr:sp macro="" textlink="">
      <cdr:nvSpPr>
        <cdr:cNvPr id="2" name="TextBox 1"/>
        <cdr:cNvSpPr txBox="1"/>
      </cdr:nvSpPr>
      <cdr:spPr>
        <a:xfrm xmlns:a="http://schemas.openxmlformats.org/drawingml/2006/main">
          <a:off x="2546350" y="1279525"/>
          <a:ext cx="1438295" cy="63815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NZ" sz="800" b="1" i="0" baseline="0">
              <a:effectLst/>
              <a:latin typeface="+mn-lt"/>
              <a:ea typeface="+mn-ea"/>
              <a:cs typeface="+mn-cs"/>
            </a:rPr>
            <a:t>Impact on returns of difference between actual and forecast demand</a:t>
          </a:r>
          <a:endParaRPr lang="en-NZ" sz="800">
            <a:effectLst/>
          </a:endParaRPr>
        </a:p>
      </cdr:txBody>
    </cdr:sp>
  </cdr:relSizeAnchor>
  <cdr:relSizeAnchor xmlns:cdr="http://schemas.openxmlformats.org/drawingml/2006/chartDrawing">
    <cdr:from>
      <cdr:x>0.50869</cdr:x>
      <cdr:y>0.87735</cdr:y>
    </cdr:from>
    <cdr:to>
      <cdr:x>0.91973</cdr:x>
      <cdr:y>0.98163</cdr:y>
    </cdr:to>
    <cdr:sp macro="" textlink="">
      <cdr:nvSpPr>
        <cdr:cNvPr id="3" name="TextBox 1"/>
        <cdr:cNvSpPr txBox="1"/>
      </cdr:nvSpPr>
      <cdr:spPr>
        <a:xfrm xmlns:a="http://schemas.openxmlformats.org/drawingml/2006/main">
          <a:off x="2051050" y="3032125"/>
          <a:ext cx="1657313" cy="36039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NZ" sz="800" b="1"/>
            <a:t>Impact on returns of operating expenditure 2013–15</a:t>
          </a:r>
        </a:p>
      </cdr:txBody>
    </cdr:sp>
  </cdr:relSizeAnchor>
</c:userShapes>
</file>

<file path=xl/theme/theme1.xml><?xml version="1.0" encoding="utf-8"?>
<a:theme xmlns:a="http://schemas.openxmlformats.org/drawingml/2006/main" name="Commission Bronze">
  <a:themeElements>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comcom.govt.nz/dmsdocument/13042" TargetMode="External"/><Relationship Id="rId1" Type="http://schemas.openxmlformats.org/officeDocument/2006/relationships/hyperlink" Target="http://www.comcom.govt.nz/dmsdocument/13042"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D17"/>
  <sheetViews>
    <sheetView showGridLines="0" tabSelected="1" view="pageBreakPreview" zoomScaleNormal="100" zoomScaleSheetLayoutView="100" workbookViewId="0"/>
  </sheetViews>
  <sheetFormatPr defaultColWidth="9.140625" defaultRowHeight="15" x14ac:dyDescent="0.25"/>
  <cols>
    <col min="1" max="1" width="26.5703125" style="4" customWidth="1"/>
    <col min="2" max="2" width="43.140625" style="4" customWidth="1"/>
    <col min="3" max="3" width="32.7109375" style="4" customWidth="1"/>
    <col min="4" max="4" width="32.28515625" style="4" customWidth="1"/>
    <col min="5" max="16384" width="9.140625" style="4"/>
  </cols>
  <sheetData>
    <row r="1" spans="1:4" ht="15" customHeight="1" x14ac:dyDescent="0.25">
      <c r="A1" s="14"/>
      <c r="B1" s="13"/>
      <c r="C1" s="13"/>
      <c r="D1" s="12"/>
    </row>
    <row r="2" spans="1:4" ht="189" customHeight="1" x14ac:dyDescent="0.25">
      <c r="A2" s="9"/>
      <c r="B2" s="11"/>
      <c r="C2" s="11"/>
      <c r="D2" s="7"/>
    </row>
    <row r="3" spans="1:4" ht="22.5" customHeight="1" x14ac:dyDescent="0.3">
      <c r="A3" s="17" t="s">
        <v>19</v>
      </c>
      <c r="B3" s="6"/>
      <c r="C3" s="6"/>
      <c r="D3" s="5"/>
    </row>
    <row r="4" spans="1:4" ht="22.5" customHeight="1" x14ac:dyDescent="0.3">
      <c r="A4" s="17" t="s">
        <v>180</v>
      </c>
      <c r="B4" s="6"/>
      <c r="C4" s="6"/>
      <c r="D4" s="5"/>
    </row>
    <row r="5" spans="1:4" ht="22.5" customHeight="1" x14ac:dyDescent="0.3">
      <c r="A5" s="17" t="s">
        <v>525</v>
      </c>
      <c r="B5" s="6"/>
      <c r="C5" s="6"/>
      <c r="D5" s="5"/>
    </row>
    <row r="6" spans="1:4" ht="22.5" customHeight="1" x14ac:dyDescent="0.3">
      <c r="A6" s="17"/>
      <c r="B6" s="6"/>
      <c r="C6" s="6"/>
      <c r="D6" s="5"/>
    </row>
    <row r="7" spans="1:4" ht="42" customHeight="1" x14ac:dyDescent="0.25">
      <c r="A7" s="9"/>
      <c r="B7" s="11"/>
      <c r="C7" s="11"/>
      <c r="D7" s="7"/>
    </row>
    <row r="8" spans="1:4" ht="15" customHeight="1" x14ac:dyDescent="0.25">
      <c r="A8" s="9"/>
      <c r="B8" s="8"/>
      <c r="C8" s="8"/>
      <c r="D8" s="10"/>
    </row>
    <row r="9" spans="1:4" ht="15" customHeight="1" x14ac:dyDescent="0.25">
      <c r="A9" s="9"/>
      <c r="B9" s="8"/>
      <c r="C9" s="8"/>
      <c r="D9" s="7"/>
    </row>
    <row r="10" spans="1:4" ht="15" customHeight="1" x14ac:dyDescent="0.25">
      <c r="A10" s="9"/>
      <c r="B10" s="8"/>
      <c r="C10" s="8"/>
      <c r="D10" s="7"/>
    </row>
    <row r="11" spans="1:4" ht="15" customHeight="1" x14ac:dyDescent="0.25">
      <c r="A11" s="9"/>
      <c r="B11" s="8"/>
      <c r="C11" s="8"/>
      <c r="D11" s="7"/>
    </row>
    <row r="12" spans="1:4" ht="15" customHeight="1" x14ac:dyDescent="0.25">
      <c r="A12" s="9"/>
      <c r="B12" s="8"/>
      <c r="C12" s="8"/>
      <c r="D12" s="10"/>
    </row>
    <row r="13" spans="1:4" ht="15" customHeight="1" x14ac:dyDescent="0.25">
      <c r="A13" s="9"/>
      <c r="B13" s="8"/>
      <c r="C13" s="8"/>
      <c r="D13" s="10"/>
    </row>
    <row r="14" spans="1:4" ht="15" customHeight="1" x14ac:dyDescent="0.25">
      <c r="A14" s="9"/>
      <c r="B14" s="8"/>
      <c r="C14" s="8"/>
      <c r="D14" s="7"/>
    </row>
    <row r="15" spans="1:4" ht="15" customHeight="1" x14ac:dyDescent="0.25">
      <c r="A15" s="9"/>
      <c r="B15" s="8"/>
      <c r="C15" s="8"/>
      <c r="D15" s="7"/>
    </row>
    <row r="16" spans="1:4" ht="15" customHeight="1" x14ac:dyDescent="0.25">
      <c r="A16" s="9"/>
      <c r="B16" s="8"/>
      <c r="C16" s="8"/>
      <c r="D16" s="7"/>
    </row>
    <row r="17" spans="1:4" ht="15" customHeight="1" x14ac:dyDescent="0.25">
      <c r="A17" s="216" t="s">
        <v>587</v>
      </c>
      <c r="B17" s="217"/>
      <c r="C17" s="217"/>
      <c r="D17" s="218"/>
    </row>
  </sheetData>
  <pageMargins left="0.70866141732283472" right="0.70866141732283472" top="0.74803149606299213" bottom="0.74803149606299213" header="0.31496062992125984" footer="0.31496062992125984"/>
  <pageSetup paperSize="9" scale="97" orientation="landscape" r:id="rId1"/>
  <headerFooter>
    <oddFooter>&amp;L&amp;F&amp;C&amp;A&amp;R&amp;P</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theme="2" tint="0.79998168889431442"/>
    <pageSetUpPr fitToPage="1"/>
  </sheetPr>
  <dimension ref="A1:BE93"/>
  <sheetViews>
    <sheetView showGridLines="0" view="pageBreakPreview" zoomScaleNormal="100" zoomScaleSheetLayoutView="100" workbookViewId="0"/>
  </sheetViews>
  <sheetFormatPr defaultRowHeight="15" x14ac:dyDescent="0.25"/>
  <cols>
    <col min="2" max="2" width="5" customWidth="1"/>
    <col min="3" max="3" width="10" customWidth="1"/>
    <col min="4" max="4" width="11.140625" customWidth="1"/>
    <col min="5" max="5" width="5" customWidth="1"/>
    <col min="6" max="6" width="10" customWidth="1"/>
    <col min="7" max="7" width="11.140625" customWidth="1"/>
    <col min="8" max="9" width="7.28515625" customWidth="1"/>
    <col min="10" max="10" width="10" customWidth="1"/>
    <col min="11" max="11" width="11.140625" customWidth="1"/>
    <col min="12" max="12" width="5" customWidth="1"/>
    <col min="13" max="13" width="10" customWidth="1"/>
    <col min="14" max="14" width="11.140625" customWidth="1"/>
    <col min="15" max="15" width="4.140625" customWidth="1"/>
    <col min="16" max="16" width="5.7109375" customWidth="1"/>
    <col min="17" max="17" width="10" customWidth="1"/>
    <col min="18" max="18" width="11.140625" customWidth="1"/>
    <col min="19" max="19" width="6.28515625" customWidth="1"/>
    <col min="20" max="20" width="10" customWidth="1"/>
    <col min="21" max="21" width="11.140625" customWidth="1"/>
    <col min="22" max="22" width="4.140625" customWidth="1"/>
    <col min="23" max="23" width="5" customWidth="1"/>
    <col min="24" max="24" width="10" customWidth="1"/>
    <col min="25" max="25" width="11.140625" customWidth="1"/>
    <col min="26" max="26" width="5" customWidth="1"/>
    <col min="27" max="27" width="10" customWidth="1"/>
    <col min="28" max="28" width="11.140625" customWidth="1"/>
    <col min="29" max="29" width="4.140625" customWidth="1"/>
    <col min="30" max="30" width="5" customWidth="1"/>
    <col min="31" max="31" width="10" customWidth="1"/>
    <col min="32" max="32" width="11.140625" customWidth="1"/>
    <col min="33" max="33" width="5" customWidth="1"/>
    <col min="34" max="34" width="10" customWidth="1"/>
    <col min="35" max="35" width="11.140625" customWidth="1"/>
    <col min="36" max="36" width="4.140625" customWidth="1"/>
    <col min="37" max="37" width="5" customWidth="1"/>
    <col min="38" max="38" width="10" customWidth="1"/>
    <col min="39" max="39" width="11.140625" customWidth="1"/>
    <col min="40" max="40" width="5" customWidth="1"/>
    <col min="41" max="41" width="10" customWidth="1"/>
    <col min="42" max="42" width="11.140625" customWidth="1"/>
    <col min="43" max="43" width="4.140625" customWidth="1"/>
    <col min="44" max="44" width="5" customWidth="1"/>
    <col min="45" max="45" width="10" customWidth="1"/>
    <col min="46" max="46" width="11.140625" customWidth="1"/>
    <col min="47" max="47" width="6.42578125" customWidth="1"/>
    <col min="48" max="48" width="10" customWidth="1"/>
    <col min="49" max="49" width="11.140625" customWidth="1"/>
    <col min="50" max="50" width="4.140625" customWidth="1"/>
    <col min="51" max="51" width="5" customWidth="1"/>
    <col min="52" max="52" width="10" customWidth="1"/>
    <col min="53" max="53" width="11.140625" customWidth="1"/>
    <col min="54" max="54" width="10.140625" customWidth="1"/>
    <col min="55" max="55" width="10" customWidth="1"/>
    <col min="56" max="56" width="11.140625" customWidth="1"/>
    <col min="57" max="58" width="2.7109375" customWidth="1"/>
  </cols>
  <sheetData>
    <row r="1" spans="1:57" ht="26.25" x14ac:dyDescent="0.25">
      <c r="A1" s="37" t="s">
        <v>594</v>
      </c>
      <c r="B1" s="37"/>
      <c r="C1" s="37"/>
      <c r="D1" s="37"/>
      <c r="E1" s="37"/>
      <c r="F1" s="134"/>
      <c r="G1" s="134"/>
      <c r="H1" s="134"/>
      <c r="I1" s="134"/>
      <c r="J1" s="134"/>
      <c r="K1" s="134"/>
      <c r="L1" s="134"/>
      <c r="M1" s="134"/>
      <c r="N1" s="134"/>
      <c r="O1" s="134"/>
      <c r="P1" s="134"/>
      <c r="Q1" s="134"/>
      <c r="R1" s="134"/>
      <c r="S1" s="134"/>
      <c r="T1" s="134"/>
      <c r="U1" s="134"/>
      <c r="V1" s="134"/>
      <c r="W1" s="134"/>
      <c r="X1" s="134"/>
      <c r="Y1" s="134"/>
      <c r="Z1" s="134"/>
      <c r="AA1" s="134"/>
      <c r="AB1" s="134"/>
      <c r="AC1" s="134"/>
      <c r="AD1" s="4"/>
      <c r="AE1" s="4"/>
      <c r="AF1" s="4"/>
      <c r="AG1" s="4"/>
      <c r="AH1" s="4"/>
      <c r="AI1" s="4"/>
      <c r="AJ1" s="4"/>
    </row>
    <row r="2" spans="1:57" x14ac:dyDescent="0.25">
      <c r="A2" s="134"/>
      <c r="B2" s="134"/>
      <c r="C2" s="134"/>
      <c r="D2" s="134"/>
      <c r="E2" s="134"/>
      <c r="F2" s="134"/>
      <c r="G2" s="134"/>
      <c r="H2" s="134"/>
      <c r="I2" s="134"/>
      <c r="J2" s="134"/>
      <c r="K2" s="134"/>
      <c r="L2" s="134"/>
      <c r="M2" s="134"/>
      <c r="N2" s="134"/>
      <c r="O2" s="134"/>
      <c r="P2" s="134"/>
      <c r="Q2" s="134"/>
      <c r="R2" s="134"/>
      <c r="S2" s="134"/>
      <c r="T2" s="134"/>
      <c r="U2" s="134"/>
      <c r="V2" s="134"/>
      <c r="W2" s="134"/>
      <c r="X2" s="134"/>
      <c r="Y2" s="134"/>
      <c r="Z2" s="134"/>
      <c r="AA2" s="134"/>
      <c r="AB2" s="134"/>
      <c r="AC2" s="134"/>
      <c r="AD2" s="4"/>
      <c r="AE2" s="4"/>
      <c r="AF2" s="4"/>
      <c r="AG2" s="4"/>
      <c r="AH2" s="4"/>
      <c r="AI2" s="4"/>
      <c r="AJ2" s="4"/>
    </row>
    <row r="3" spans="1:57" ht="21" x14ac:dyDescent="0.35">
      <c r="A3" s="134"/>
      <c r="B3" s="99" t="s">
        <v>204</v>
      </c>
      <c r="C3" s="134"/>
      <c r="D3" s="134"/>
      <c r="E3" s="134"/>
      <c r="F3" s="134"/>
      <c r="G3" s="134"/>
      <c r="H3" s="134"/>
      <c r="I3" s="134"/>
      <c r="J3" s="134"/>
      <c r="K3" s="134"/>
      <c r="L3" s="134"/>
      <c r="M3" s="134"/>
      <c r="N3" s="134"/>
      <c r="O3" s="134"/>
      <c r="P3" s="134"/>
      <c r="Q3" s="134"/>
      <c r="R3" s="134"/>
      <c r="S3" s="134"/>
      <c r="T3" s="134"/>
      <c r="U3" s="134"/>
      <c r="V3" s="134"/>
      <c r="W3" s="134"/>
      <c r="X3" s="134"/>
      <c r="Y3" s="134"/>
      <c r="Z3" s="134"/>
      <c r="AA3" s="134"/>
      <c r="AB3" s="134"/>
      <c r="AC3" s="134"/>
      <c r="AD3" s="4"/>
      <c r="AE3" s="4"/>
      <c r="AF3" s="4"/>
      <c r="AG3" s="4"/>
      <c r="AH3" s="4"/>
      <c r="AI3" s="4"/>
      <c r="AJ3" s="4"/>
    </row>
    <row r="4" spans="1:57" ht="26.25" customHeight="1" x14ac:dyDescent="0.25">
      <c r="A4" s="134"/>
      <c r="B4" s="133"/>
      <c r="C4" s="133"/>
      <c r="D4" s="133" t="s">
        <v>380</v>
      </c>
      <c r="E4" s="133"/>
      <c r="F4" s="133"/>
      <c r="G4" s="133"/>
      <c r="H4" s="133"/>
      <c r="I4" s="133"/>
      <c r="J4" s="133"/>
      <c r="K4" s="133" t="s">
        <v>390</v>
      </c>
      <c r="L4" s="133"/>
      <c r="M4" s="133"/>
      <c r="N4" s="133"/>
      <c r="O4" s="133"/>
      <c r="P4" s="133"/>
      <c r="Q4" s="133"/>
      <c r="R4" s="133" t="s">
        <v>200</v>
      </c>
      <c r="S4" s="133"/>
      <c r="T4" s="133"/>
      <c r="U4" s="133"/>
      <c r="V4" s="133"/>
      <c r="W4" s="133"/>
      <c r="X4" s="133"/>
      <c r="Y4" s="133" t="s">
        <v>199</v>
      </c>
      <c r="Z4" s="133"/>
      <c r="AA4" s="133"/>
      <c r="AB4" s="133"/>
      <c r="AC4" s="133"/>
      <c r="AD4" s="133"/>
      <c r="AE4" s="133"/>
      <c r="AF4" s="133" t="s">
        <v>201</v>
      </c>
      <c r="AG4" s="133"/>
      <c r="AH4" s="133"/>
      <c r="AI4" s="133"/>
      <c r="AK4" s="133"/>
      <c r="AL4" s="133"/>
      <c r="AM4" s="133" t="s">
        <v>63</v>
      </c>
      <c r="AN4" s="133"/>
      <c r="AO4" s="133"/>
      <c r="AP4" s="133"/>
      <c r="AQ4" s="133"/>
      <c r="AR4" s="133"/>
      <c r="AS4" s="133"/>
      <c r="AT4" s="133" t="s">
        <v>469</v>
      </c>
      <c r="AU4" s="133"/>
      <c r="AV4" s="133"/>
      <c r="AW4" s="133"/>
      <c r="AX4" s="133"/>
      <c r="AY4" s="133"/>
      <c r="AZ4" s="133"/>
      <c r="BA4" s="133" t="s">
        <v>401</v>
      </c>
      <c r="BB4" s="133"/>
      <c r="BC4" s="133"/>
      <c r="BD4" s="133"/>
    </row>
    <row r="5" spans="1:57" x14ac:dyDescent="0.25">
      <c r="A5" s="134"/>
      <c r="B5" s="191">
        <f>RANK(D5,D$5:D$21,0)</f>
        <v>4</v>
      </c>
      <c r="C5" s="191" t="s">
        <v>105</v>
      </c>
      <c r="D5" s="192">
        <f>INDEX(Outputs!$B$20:$S$45,MATCH(2,Outputs!$B$20:$B$45,0),MATCH(C5,Outputs!$B$20:$S$20,0))*100-INDEX(Outputs!$B$20:$S$45,MATCH(1,Outputs!$B$20:$B$45,0),MATCH(C5,Outputs!$B$20:$S$20,0))*100</f>
        <v>-1.3535183668136588</v>
      </c>
      <c r="E5" s="191">
        <v>1</v>
      </c>
      <c r="F5" s="191" t="str">
        <f>VLOOKUP(E5,B$5:C$22,2,FALSE)</f>
        <v>Wellington Electricity</v>
      </c>
      <c r="G5" s="192">
        <f>INDEX(Outputs!$B$20:$S$45,MATCH(2,Outputs!$B$20:$B$45,0),MATCH(F5,Outputs!$B$20:$S$20,0))*100-INDEX(Outputs!$B$20:$S$45,MATCH(1,Outputs!$B$20:$B$45,0),MATCH(F5,Outputs!$B$20:$S$20,0))*100</f>
        <v>-1.3350152969360369</v>
      </c>
      <c r="I5" s="191">
        <f>RANK(K5,K$5:K$21,0)</f>
        <v>1</v>
      </c>
      <c r="J5" s="191" t="s">
        <v>108</v>
      </c>
      <c r="K5" s="192">
        <f>INDEX(Outputs!$B$20:$S$45,MATCH(4,Outputs!$B$20:$B$45,0),MATCH(J5,Outputs!$B$20:$S$20,0))*100-INDEX(Outputs!$B$20:$S$45,MATCH(3,Outputs!$B$20:$B$45,0),MATCH(J5,Outputs!$B$20:$S$20,0))*100</f>
        <v>2.1963870525360107</v>
      </c>
      <c r="L5" s="191">
        <v>1</v>
      </c>
      <c r="M5" s="191" t="str">
        <f>VLOOKUP(L5,I$5:J$22,2,FALSE)</f>
        <v>Nelson Electricity</v>
      </c>
      <c r="N5" s="192">
        <f>INDEX(Outputs!$B$20:$S$45,MATCH(4,Outputs!$B$20:$B$45,0),MATCH(M5,Outputs!$B$20:$S$20,0))*100-INDEX(Outputs!$B$20:$S$45,MATCH(3,Outputs!$B$20:$B$45,0),MATCH(M5,Outputs!$B$20:$S$20,0))*100</f>
        <v>2.1963870525360107</v>
      </c>
      <c r="P5" s="191">
        <f>RANK(R5,R$5:R$21,0)</f>
        <v>1</v>
      </c>
      <c r="Q5" s="191" t="s">
        <v>113</v>
      </c>
      <c r="R5" s="192">
        <f>INDEX(Outputs!$B$20:$S$45,MATCH(6,Outputs!$B$20:$B$45,0),MATCH(Q5,Outputs!$B$20:$S$20,0))*100-INDEX(Outputs!$B$20:$S$45,MATCH(5,Outputs!$B$20:$B$45,0),MATCH(Q5,Outputs!$B$20:$S$20,0))*100</f>
        <v>0.66753685474395663</v>
      </c>
      <c r="S5" s="191">
        <v>1</v>
      </c>
      <c r="T5" s="191" t="str">
        <f t="shared" ref="T5:T20" si="0">VLOOKUP(S5,P$5:Q$20,2,FALSE)</f>
        <v>Wellington Electricity</v>
      </c>
      <c r="U5" s="192">
        <f>INDEX(Outputs!$B$20:$S$45,MATCH(6,Outputs!$B$20:$B$45,0),MATCH(T5,Outputs!$B$20:$S$20,0))*100-INDEX(Outputs!$B$20:$S$45,MATCH(5,Outputs!$B$20:$B$45,0),MATCH(T5,Outputs!$B$20:$S$20,0))*100</f>
        <v>0.66753685474395663</v>
      </c>
      <c r="V5" s="134"/>
      <c r="W5" s="191">
        <f>RANK(Y5,Y$5:Y$21,0)</f>
        <v>16</v>
      </c>
      <c r="X5" s="191" t="s">
        <v>108</v>
      </c>
      <c r="Y5" s="192">
        <f>INDEX(Outputs!$B$20:$S$45,MATCH(7,Outputs!$B$20:$B$45,0),MATCH(X5,Outputs!$B$20:$S$20,0))*100-INDEX(Outputs!$B$20:$S$45,MATCH(6,Outputs!$B$20:$B$45,0),MATCH(X5,Outputs!$B$20:$S$20,0))*100</f>
        <v>-1.387700438499448</v>
      </c>
      <c r="Z5" s="191">
        <v>1</v>
      </c>
      <c r="AA5" s="191" t="str">
        <f t="shared" ref="AA5:AA20" si="1">VLOOKUP(Z5,W$5:X$20,2,FALSE)</f>
        <v>Unison Networks</v>
      </c>
      <c r="AB5" s="192">
        <f>INDEX(Outputs!$B$20:$S$45,MATCH(7,Outputs!$B$20:$B$45,0),MATCH(AA5,Outputs!$B$20:$S$20,0))*100-INDEX(Outputs!$B$20:$S$45,MATCH(6,Outputs!$B$20:$B$45,0),MATCH(AA5,Outputs!$B$20:$S$20,0))*100</f>
        <v>0.24056196212768732</v>
      </c>
      <c r="AC5" s="164"/>
      <c r="AD5" s="191">
        <f>RANK(AF5,AF$5:AF$21,0)</f>
        <v>4</v>
      </c>
      <c r="AE5" s="191" t="s">
        <v>105</v>
      </c>
      <c r="AF5" s="192">
        <f>INDEX(Outputs!$B$20:$S$45,MATCH(5,Outputs!$B$20:$B$45,0),MATCH(AE5,Outputs!$B$20:$S$20,0))*100-INDEX(Outputs!$B$20:$S$45,MATCH(4,Outputs!$B$20:$B$45,0),MATCH(AE5,Outputs!$B$20:$S$20,0))*100</f>
        <v>9.126126766204834E-2</v>
      </c>
      <c r="AG5" s="191">
        <v>1</v>
      </c>
      <c r="AH5" s="191" t="str">
        <f t="shared" ref="AH5:AH20" si="2">VLOOKUP(AG5,AD$5:AE$20,2,FALSE)</f>
        <v>Nelson Electricity</v>
      </c>
      <c r="AI5" s="192">
        <f>INDEX(Outputs!$B$20:$S$45,MATCH(5,Outputs!$B$20:$B$45,0),MATCH(AH5,Outputs!$B$20:$S$20,0))*100-INDEX(Outputs!$B$20:$S$45,MATCH(4,Outputs!$B$20:$B$45,0),MATCH(AH5,Outputs!$B$20:$S$20,0))*100</f>
        <v>0.1005208492279035</v>
      </c>
      <c r="AK5" s="191">
        <f>RANK(AM5,AM$5:AM$21,0)</f>
        <v>12</v>
      </c>
      <c r="AL5" s="191" t="s">
        <v>105</v>
      </c>
      <c r="AM5" s="192">
        <f>INDEX(Outputs!$B$20:$S$45,MATCH(8,Outputs!$B$20:$B$45,0),MATCH(AL5,Outputs!$B$20:$S$20,0))*100-INDEX(Outputs!$B$20:$S$45,MATCH(7,Outputs!$B$20:$B$45,0),MATCH(AL5,Outputs!$B$20:$S$20,0))*100</f>
        <v>-7.3671340942205177E-4</v>
      </c>
      <c r="AN5" s="191">
        <v>1</v>
      </c>
      <c r="AO5" s="191" t="str">
        <f>VLOOKUP(AN5,AK$5:AL$21,2,FALSE)</f>
        <v>Unison Networks</v>
      </c>
      <c r="AP5" s="192">
        <f>INDEX(Outputs!$B$20:$S$45,MATCH(8,Outputs!$B$20:$B$45,0),MATCH(AO5,Outputs!$B$20:$S$20,0))*100-INDEX(Outputs!$B$20:$S$45,MATCH(7,Outputs!$B$20:$B$45,0),MATCH(AO5,Outputs!$B$20:$S$20,0))*100</f>
        <v>4.6066641807554376E-2</v>
      </c>
      <c r="AQ5" s="4"/>
      <c r="AR5" s="191">
        <f>RANK(AT5,AT$5:AT$21,0)</f>
        <v>4</v>
      </c>
      <c r="AS5" s="191" t="s">
        <v>105</v>
      </c>
      <c r="AT5" s="192">
        <f>INDEX(Outputs!$B$20:$S$45,MATCH(24,Outputs!$B$20:$B$45,0),MATCH(AS5,Outputs!$B$20:$S$20,0))*100-INDEX(Outputs!$B$20:$S$45,MATCH(8,Outputs!$B$20:$B$45,0),MATCH(AS5,Outputs!$B$20:$S$20,0))*100</f>
        <v>0</v>
      </c>
      <c r="AU5" s="191">
        <v>1</v>
      </c>
      <c r="AV5" s="191" t="str">
        <f t="shared" ref="AV5:AV20" si="3">VLOOKUP(AU5,AR$5:AS$20,2,FALSE)</f>
        <v>Network Tasman</v>
      </c>
      <c r="AW5" s="192">
        <f>INDEX(Outputs!$B$20:$S$45,MATCH(24,Outputs!$B$20:$B$45,0),MATCH(AV5,Outputs!$B$20:$S$20,0))*100-INDEX(Outputs!$B$20:$S$45,MATCH(8,Outputs!$B$20:$B$45,0),MATCH(AV5,Outputs!$B$20:$S$20,0))*100</f>
        <v>2.0084309577941886</v>
      </c>
      <c r="AY5" s="191">
        <f>RANK(BA5,BA$5:BA$21,0)</f>
        <v>3</v>
      </c>
      <c r="AZ5" s="191" t="s">
        <v>105</v>
      </c>
      <c r="BA5" s="192">
        <f>(INDEX(Outputs!$B$20:$S$45,MATCH(9,Outputs!$B$20:$B$45,0),MATCH(AZ5,Outputs!$B$20:$S$20,0))*100-INDEX(Outputs!$B$20:$S$45,MATCH(7,Outputs!$B$20:$B$45,0),MATCH(AZ5,Outputs!$B$20:$S$20,0))*100)+(INDEX(Outputs!$B$20:$S$45,MATCH(4,Outputs!$B$20:$B$45,0),MATCH(AZ5,Outputs!$B$20:$S$20,0))*100-INDEX(Outputs!$B$20:$S$45,MATCH(3,Outputs!$B$20:$B$45,0),MATCH(AZ5,Outputs!$B$20:$S$20,0))*100)+(INDEX(Outputs!$B$20:$S$45,MATCH(1,Outputs!$B$20:$B$45,0),MATCH(AZ5,Outputs!$B$20:$S$20,0))*100-8.77%*100)</f>
        <v>1.52287129640579</v>
      </c>
      <c r="BB5" s="191">
        <v>1</v>
      </c>
      <c r="BC5" s="191" t="str">
        <f t="shared" ref="BC5:BC20" si="4">VLOOKUP(BB5,AY$5:AZ$20,2,FALSE)</f>
        <v>Network Tasman</v>
      </c>
      <c r="BD5" s="192">
        <f>(INDEX(Outputs!$B$20:$S$45,MATCH(9,Outputs!$B$20:$B$45,0),MATCH(BC5,Outputs!$B$20:$S$20,0))*100-INDEX(Outputs!$B$20:$S$45,MATCH(7,Outputs!$B$20:$B$45,0),MATCH(BC5,Outputs!$B$20:$S$20,0))*100)+(INDEX(Outputs!$B$20:$S$45,MATCH(4,Outputs!$B$20:$B$45,0),MATCH(BC5,Outputs!$B$20:$S$20,0))*100-INDEX(Outputs!$B$20:$S$45,MATCH(3,Outputs!$B$20:$B$45,0),MATCH(BC5,Outputs!$B$20:$S$20,0))*100)+(INDEX(Outputs!$B$20:$S$45,MATCH(1,Outputs!$B$20:$B$45,0),MATCH(BC5,Outputs!$B$20:$S$20,0))*100-8.77%*100)</f>
        <v>2.4197262930870114</v>
      </c>
      <c r="BE5" s="4"/>
    </row>
    <row r="6" spans="1:57" x14ac:dyDescent="0.25">
      <c r="A6" s="134"/>
      <c r="B6" s="191">
        <f t="shared" ref="B6:B20" si="5">RANK(D6,D$5:D$21,0)</f>
        <v>16</v>
      </c>
      <c r="C6" s="191" t="s">
        <v>3</v>
      </c>
      <c r="D6" s="192">
        <f>INDEX(Outputs!$B$20:$S$45,MATCH(2,Outputs!$B$20:$B$45,0),MATCH(C6,Outputs!$B$20:$S$20,0))*100-INDEX(Outputs!$B$20:$S$45,MATCH(1,Outputs!$B$20:$B$45,0),MATCH(C6,Outputs!$B$20:$S$20,0))*100</f>
        <v>-1.5535056591033918</v>
      </c>
      <c r="E6" s="191">
        <v>2</v>
      </c>
      <c r="F6" s="191" t="str">
        <f t="shared" ref="F6:F20" si="6">VLOOKUP(E6,B$5:C$22,2,FALSE)</f>
        <v>OtagoNet</v>
      </c>
      <c r="G6" s="192">
        <f>INDEX(Outputs!$B$20:$S$45,MATCH(2,Outputs!$B$20:$B$45,0),MATCH(F6,Outputs!$B$20:$S$20,0))*100-INDEX(Outputs!$B$20:$S$45,MATCH(1,Outputs!$B$20:$B$45,0),MATCH(F6,Outputs!$B$20:$S$20,0))*100</f>
        <v>-1.341763734817504</v>
      </c>
      <c r="I6" s="191">
        <f t="shared" ref="I6:I20" si="7">RANK(K6,K$5:K$21,0)</f>
        <v>2</v>
      </c>
      <c r="J6" s="191" t="s">
        <v>105</v>
      </c>
      <c r="K6" s="192">
        <f>INDEX(Outputs!$B$20:$S$45,MATCH(4,Outputs!$B$20:$B$45,0),MATCH(J6,Outputs!$B$20:$S$20,0))*100-INDEX(Outputs!$B$20:$S$45,MATCH(3,Outputs!$B$20:$B$45,0),MATCH(J6,Outputs!$B$20:$S$20,0))*100</f>
        <v>1.6382724046707109</v>
      </c>
      <c r="L6" s="191">
        <v>2</v>
      </c>
      <c r="M6" s="191" t="str">
        <f t="shared" ref="M6:M20" si="8">VLOOKUP(L6,I$5:J$22,2,FALSE)</f>
        <v>Alpine Energy</v>
      </c>
      <c r="N6" s="192">
        <f>INDEX(Outputs!$B$20:$S$45,MATCH(4,Outputs!$B$20:$B$45,0),MATCH(M6,Outputs!$B$20:$S$20,0))*100-INDEX(Outputs!$B$20:$S$45,MATCH(3,Outputs!$B$20:$B$45,0),MATCH(M6,Outputs!$B$20:$S$20,0))*100</f>
        <v>1.6382724046707109</v>
      </c>
      <c r="P6" s="191">
        <f t="shared" ref="P6:P20" si="9">RANK(R6,R$5:R$21,0)</f>
        <v>2</v>
      </c>
      <c r="Q6" s="191" t="s">
        <v>108</v>
      </c>
      <c r="R6" s="192">
        <f>INDEX(Outputs!$B$20:$S$45,MATCH(6,Outputs!$B$20:$B$45,0),MATCH(Q6,Outputs!$B$20:$S$20,0))*100-INDEX(Outputs!$B$20:$S$45,MATCH(5,Outputs!$B$20:$B$45,0),MATCH(Q6,Outputs!$B$20:$S$20,0))*100</f>
        <v>0.54176330566406428</v>
      </c>
      <c r="S6" s="191">
        <v>2</v>
      </c>
      <c r="T6" s="191" t="str">
        <f t="shared" si="0"/>
        <v>Nelson Electricity</v>
      </c>
      <c r="U6" s="192">
        <f>INDEX(Outputs!$B$20:$S$45,MATCH(6,Outputs!$B$20:$B$45,0),MATCH(T6,Outputs!$B$20:$S$20,0))*100-INDEX(Outputs!$B$20:$S$45,MATCH(5,Outputs!$B$20:$B$45,0),MATCH(T6,Outputs!$B$20:$S$20,0))*100</f>
        <v>0.54176330566406428</v>
      </c>
      <c r="V6" s="134"/>
      <c r="W6" s="191">
        <f t="shared" ref="W6:W20" si="10">RANK(Y6,Y$5:Y$21,0)</f>
        <v>14</v>
      </c>
      <c r="X6" s="191" t="s">
        <v>4</v>
      </c>
      <c r="Y6" s="192">
        <f>INDEX(Outputs!$B$20:$S$45,MATCH(7,Outputs!$B$20:$B$45,0),MATCH(X6,Outputs!$B$20:$S$20,0))*100-INDEX(Outputs!$B$20:$S$45,MATCH(6,Outputs!$B$20:$B$45,0),MATCH(X6,Outputs!$B$20:$S$20,0))*100</f>
        <v>-0.55401623249054044</v>
      </c>
      <c r="Z6" s="191">
        <v>2</v>
      </c>
      <c r="AA6" s="191" t="str">
        <f t="shared" si="1"/>
        <v>Alpine Energy</v>
      </c>
      <c r="AB6" s="192">
        <f>INDEX(Outputs!$B$20:$S$45,MATCH(7,Outputs!$B$20:$B$45,0),MATCH(AA6,Outputs!$B$20:$S$20,0))*100-INDEX(Outputs!$B$20:$S$45,MATCH(6,Outputs!$B$20:$B$45,0),MATCH(AA6,Outputs!$B$20:$S$20,0))*100</f>
        <v>0.19391119480133234</v>
      </c>
      <c r="AC6" s="164"/>
      <c r="AD6" s="191">
        <f t="shared" ref="AD6:AD20" si="11">RANK(AF6,AF$5:AF$21,0)</f>
        <v>6</v>
      </c>
      <c r="AE6" s="191" t="s">
        <v>3</v>
      </c>
      <c r="AF6" s="192">
        <f>INDEX(Outputs!$B$20:$S$45,MATCH(5,Outputs!$B$20:$B$45,0),MATCH(AE6,Outputs!$B$20:$S$20,0))*100-INDEX(Outputs!$B$20:$S$45,MATCH(4,Outputs!$B$20:$B$45,0),MATCH(AE6,Outputs!$B$20:$S$20,0))*100</f>
        <v>8.6073279380801004E-2</v>
      </c>
      <c r="AG6" s="191">
        <v>2</v>
      </c>
      <c r="AH6" s="191" t="str">
        <f t="shared" si="2"/>
        <v>Electricity Invercargill</v>
      </c>
      <c r="AI6" s="192">
        <f>INDEX(Outputs!$B$20:$S$45,MATCH(5,Outputs!$B$20:$B$45,0),MATCH(AH6,Outputs!$B$20:$S$20,0))*100-INDEX(Outputs!$B$20:$S$45,MATCH(4,Outputs!$B$20:$B$45,0),MATCH(AH6,Outputs!$B$20:$S$20,0))*100</f>
        <v>9.7718238830567294E-2</v>
      </c>
      <c r="AK6" s="191">
        <f t="shared" ref="AK6:AK20" si="12">RANK(AM6,AM$5:AM$21,0)</f>
        <v>10</v>
      </c>
      <c r="AL6" s="191" t="s">
        <v>3</v>
      </c>
      <c r="AM6" s="192">
        <f>INDEX(Outputs!$B$20:$S$45,MATCH(8,Outputs!$B$20:$B$45,0),MATCH(AL6,Outputs!$B$20:$S$20,0))*100-INDEX(Outputs!$B$20:$S$45,MATCH(7,Outputs!$B$20:$B$45,0),MATCH(AL6,Outputs!$B$20:$S$20,0))*100</f>
        <v>1.2701749801635742E-3</v>
      </c>
      <c r="AN6" s="191">
        <v>2</v>
      </c>
      <c r="AO6" s="191" t="str">
        <f t="shared" ref="AO6:AO20" si="13">VLOOKUP(AN6,AK$5:AL$21,2,FALSE)</f>
        <v>Network Tasman</v>
      </c>
      <c r="AP6" s="192">
        <f>INDEX(Outputs!$B$20:$S$45,MATCH(8,Outputs!$B$20:$B$45,0),MATCH(AO6,Outputs!$B$20:$S$20,0))*100-INDEX(Outputs!$B$20:$S$45,MATCH(7,Outputs!$B$20:$B$45,0),MATCH(AO6,Outputs!$B$20:$S$20,0))*100</f>
        <v>2.3354887962342197E-2</v>
      </c>
      <c r="AQ6" s="4"/>
      <c r="AR6" s="191">
        <f t="shared" ref="AR6:AR20" si="14">RANK(AT6,AT$5:AT$21,0)</f>
        <v>4</v>
      </c>
      <c r="AS6" s="191" t="s">
        <v>3</v>
      </c>
      <c r="AT6" s="192">
        <f>INDEX(Outputs!$B$20:$S$45,MATCH(24,Outputs!$B$20:$B$45,0),MATCH(AS6,Outputs!$B$20:$S$20,0))*100-INDEX(Outputs!$B$20:$S$45,MATCH(8,Outputs!$B$20:$B$45,0),MATCH(AS6,Outputs!$B$20:$S$20,0))*100</f>
        <v>0</v>
      </c>
      <c r="AU6" s="191">
        <v>2</v>
      </c>
      <c r="AV6" s="191" t="str">
        <f t="shared" si="3"/>
        <v>Electricity Ashburton</v>
      </c>
      <c r="AW6" s="192">
        <f>INDEX(Outputs!$B$20:$S$45,MATCH(24,Outputs!$B$20:$B$45,0),MATCH(AV6,Outputs!$B$20:$S$20,0))*100-INDEX(Outputs!$B$20:$S$45,MATCH(8,Outputs!$B$20:$B$45,0),MATCH(AV6,Outputs!$B$20:$S$20,0))*100</f>
        <v>0.63139319419860929</v>
      </c>
      <c r="AY6" s="191">
        <f t="shared" ref="AY6:AY20" si="15">RANK(BA6,BA$5:BA$21,0)</f>
        <v>16</v>
      </c>
      <c r="AZ6" s="191" t="s">
        <v>3</v>
      </c>
      <c r="BA6" s="192">
        <f>(INDEX(Outputs!$B$20:$S$45,MATCH(9,Outputs!$B$20:$B$45,0),MATCH(AZ6,Outputs!$B$20:$S$20,0))*100-INDEX(Outputs!$B$20:$S$45,MATCH(7,Outputs!$B$20:$B$45,0),MATCH(AZ6,Outputs!$B$20:$S$20,0))*100)+(INDEX(Outputs!$B$20:$S$45,MATCH(4,Outputs!$B$20:$B$45,0),MATCH(AZ6,Outputs!$B$20:$S$20,0))*100-INDEX(Outputs!$B$20:$S$45,MATCH(3,Outputs!$B$20:$B$45,0),MATCH(AZ6,Outputs!$B$20:$S$20,0))*100)+(INDEX(Outputs!$B$20:$S$45,MATCH(1,Outputs!$B$20:$B$45,0),MATCH(AZ6,Outputs!$B$20:$S$20,0))*100-8.77%*100)</f>
        <v>-0.76756652116775559</v>
      </c>
      <c r="BB6" s="191">
        <v>2</v>
      </c>
      <c r="BC6" s="191" t="str">
        <f t="shared" si="4"/>
        <v>Nelson Electricity</v>
      </c>
      <c r="BD6" s="192">
        <f>(INDEX(Outputs!$B$20:$S$45,MATCH(9,Outputs!$B$20:$B$45,0),MATCH(BC6,Outputs!$B$20:$S$20,0))*100-INDEX(Outputs!$B$20:$S$45,MATCH(7,Outputs!$B$20:$B$45,0),MATCH(BC6,Outputs!$B$20:$S$20,0))*100)+(INDEX(Outputs!$B$20:$S$45,MATCH(4,Outputs!$B$20:$B$45,0),MATCH(BC6,Outputs!$B$20:$S$20,0))*100-INDEX(Outputs!$B$20:$S$45,MATCH(3,Outputs!$B$20:$B$45,0),MATCH(BC6,Outputs!$B$20:$S$20,0))*100)+(INDEX(Outputs!$B$20:$S$45,MATCH(1,Outputs!$B$20:$B$45,0),MATCH(BC6,Outputs!$B$20:$S$20,0))*100-8.77%*100)</f>
        <v>2.0794320511817936</v>
      </c>
      <c r="BE6" s="4"/>
    </row>
    <row r="7" spans="1:57" x14ac:dyDescent="0.25">
      <c r="A7" s="134"/>
      <c r="B7" s="191">
        <f t="shared" si="5"/>
        <v>6</v>
      </c>
      <c r="C7" s="191" t="s">
        <v>106</v>
      </c>
      <c r="D7" s="192">
        <f>INDEX(Outputs!$B$20:$S$45,MATCH(2,Outputs!$B$20:$B$45,0),MATCH(C7,Outputs!$B$20:$S$20,0))*100-INDEX(Outputs!$B$20:$S$45,MATCH(1,Outputs!$B$20:$B$45,0),MATCH(C7,Outputs!$B$20:$S$20,0))*100</f>
        <v>-1.3714843988418552</v>
      </c>
      <c r="E7" s="191">
        <v>3</v>
      </c>
      <c r="F7" s="191" t="str">
        <f t="shared" si="6"/>
        <v>Network Tasman</v>
      </c>
      <c r="G7" s="192">
        <f>INDEX(Outputs!$B$20:$S$45,MATCH(2,Outputs!$B$20:$B$45,0),MATCH(F7,Outputs!$B$20:$S$20,0))*100-INDEX(Outputs!$B$20:$S$45,MATCH(1,Outputs!$B$20:$B$45,0),MATCH(F7,Outputs!$B$20:$S$20,0))*100</f>
        <v>-1.344929337501525</v>
      </c>
      <c r="H7" s="4"/>
      <c r="I7" s="191">
        <f t="shared" si="7"/>
        <v>5</v>
      </c>
      <c r="J7" s="191" t="s">
        <v>109</v>
      </c>
      <c r="K7" s="192">
        <f>INDEX(Outputs!$B$20:$S$45,MATCH(4,Outputs!$B$20:$B$45,0),MATCH(J7,Outputs!$B$20:$S$20,0))*100-INDEX(Outputs!$B$20:$S$45,MATCH(3,Outputs!$B$20:$B$45,0),MATCH(J7,Outputs!$B$20:$S$20,0))*100</f>
        <v>0.39359807968139826</v>
      </c>
      <c r="L7" s="191">
        <v>3</v>
      </c>
      <c r="M7" s="191" t="str">
        <f t="shared" si="8"/>
        <v>Unison Networks</v>
      </c>
      <c r="N7" s="192">
        <f>INDEX(Outputs!$B$20:$S$45,MATCH(4,Outputs!$B$20:$B$45,0),MATCH(M7,Outputs!$B$20:$S$20,0))*100-INDEX(Outputs!$B$20:$S$45,MATCH(3,Outputs!$B$20:$B$45,0),MATCH(M7,Outputs!$B$20:$S$20,0))*100</f>
        <v>0.42869269847869962</v>
      </c>
      <c r="P7" s="191">
        <f t="shared" si="9"/>
        <v>3</v>
      </c>
      <c r="Q7" s="191" t="s">
        <v>472</v>
      </c>
      <c r="R7" s="192">
        <f>INDEX(Outputs!$B$20:$S$45,MATCH(6,Outputs!$B$20:$B$45,0),MATCH(Q7,Outputs!$B$20:$S$20,0))*100-INDEX(Outputs!$B$20:$S$45,MATCH(5,Outputs!$B$20:$B$45,0),MATCH(Q7,Outputs!$B$20:$S$20,0))*100</f>
        <v>0.1979440450668335</v>
      </c>
      <c r="S7" s="191">
        <v>3</v>
      </c>
      <c r="T7" s="191" t="str">
        <f t="shared" si="0"/>
        <v>Vector Lines</v>
      </c>
      <c r="U7" s="192">
        <f>INDEX(Outputs!$B$20:$S$45,MATCH(6,Outputs!$B$20:$B$45,0),MATCH(T7,Outputs!$B$20:$S$20,0))*100-INDEX(Outputs!$B$20:$S$45,MATCH(5,Outputs!$B$20:$B$45,0),MATCH(T7,Outputs!$B$20:$S$20,0))*100</f>
        <v>0.1979440450668335</v>
      </c>
      <c r="V7" s="134"/>
      <c r="W7" s="191">
        <f t="shared" si="10"/>
        <v>12</v>
      </c>
      <c r="X7" s="191" t="s">
        <v>5</v>
      </c>
      <c r="Y7" s="192">
        <f>INDEX(Outputs!$B$20:$S$45,MATCH(7,Outputs!$B$20:$B$45,0),MATCH(X7,Outputs!$B$20:$S$20,0))*100-INDEX(Outputs!$B$20:$S$45,MATCH(6,Outputs!$B$20:$B$45,0),MATCH(X7,Outputs!$B$20:$S$20,0))*100</f>
        <v>-7.4765682220459873E-2</v>
      </c>
      <c r="Z7" s="191">
        <v>3</v>
      </c>
      <c r="AA7" s="191" t="str">
        <f t="shared" si="1"/>
        <v>Wellington Electricity</v>
      </c>
      <c r="AB7" s="192">
        <f>INDEX(Outputs!$B$20:$S$45,MATCH(7,Outputs!$B$20:$B$45,0),MATCH(AA7,Outputs!$B$20:$S$20,0))*100-INDEX(Outputs!$B$20:$S$45,MATCH(6,Outputs!$B$20:$B$45,0),MATCH(AA7,Outputs!$B$20:$S$20,0))*100</f>
        <v>0.17794072628021418</v>
      </c>
      <c r="AC7" s="165"/>
      <c r="AD7" s="191">
        <f t="shared" si="11"/>
        <v>12</v>
      </c>
      <c r="AE7" s="191" t="s">
        <v>106</v>
      </c>
      <c r="AF7" s="192">
        <f>INDEX(Outputs!$B$20:$S$45,MATCH(5,Outputs!$B$20:$B$45,0),MATCH(AE7,Outputs!$B$20:$S$20,0))*100-INDEX(Outputs!$B$20:$S$45,MATCH(4,Outputs!$B$20:$B$45,0),MATCH(AE7,Outputs!$B$20:$S$20,0))*100</f>
        <v>6.7447423934935635E-2</v>
      </c>
      <c r="AG7" s="191">
        <v>3</v>
      </c>
      <c r="AH7" s="191" t="str">
        <f t="shared" si="2"/>
        <v>Top Energy</v>
      </c>
      <c r="AI7" s="192">
        <f>INDEX(Outputs!$B$20:$S$45,MATCH(5,Outputs!$B$20:$B$45,0),MATCH(AH7,Outputs!$B$20:$S$20,0))*100-INDEX(Outputs!$B$20:$S$45,MATCH(4,Outputs!$B$20:$B$45,0),MATCH(AH7,Outputs!$B$20:$S$20,0))*100</f>
        <v>9.2382431030271661E-2</v>
      </c>
      <c r="AK7" s="191">
        <f t="shared" si="12"/>
        <v>15</v>
      </c>
      <c r="AL7" s="191" t="s">
        <v>106</v>
      </c>
      <c r="AM7" s="192">
        <f>INDEX(Outputs!$B$20:$S$45,MATCH(8,Outputs!$B$20:$B$45,0),MATCH(AL7,Outputs!$B$20:$S$20,0))*100-INDEX(Outputs!$B$20:$S$45,MATCH(7,Outputs!$B$20:$B$45,0),MATCH(AL7,Outputs!$B$20:$S$20,0))*100</f>
        <v>-8.1408023834237397E-3</v>
      </c>
      <c r="AN7" s="191">
        <v>3</v>
      </c>
      <c r="AO7" s="191" t="str">
        <f t="shared" si="13"/>
        <v>Horizon Energy</v>
      </c>
      <c r="AP7" s="192">
        <f>INDEX(Outputs!$B$20:$S$45,MATCH(8,Outputs!$B$20:$B$45,0),MATCH(AO7,Outputs!$B$20:$S$20,0))*100-INDEX(Outputs!$B$20:$S$45,MATCH(7,Outputs!$B$20:$B$45,0),MATCH(AO7,Outputs!$B$20:$S$20,0))*100</f>
        <v>2.0432472229001242E-2</v>
      </c>
      <c r="AQ7" s="4"/>
      <c r="AR7" s="191">
        <f t="shared" si="14"/>
        <v>3</v>
      </c>
      <c r="AS7" s="191" t="s">
        <v>106</v>
      </c>
      <c r="AT7" s="192">
        <f>INDEX(Outputs!$B$20:$S$45,MATCH(24,Outputs!$B$20:$B$45,0),MATCH(AS7,Outputs!$B$20:$S$20,0))*100-INDEX(Outputs!$B$20:$S$45,MATCH(8,Outputs!$B$20:$B$45,0),MATCH(AS7,Outputs!$B$20:$S$20,0))*100</f>
        <v>0.51794111728668302</v>
      </c>
      <c r="AU7" s="191">
        <v>3</v>
      </c>
      <c r="AV7" s="191" t="str">
        <f t="shared" si="3"/>
        <v>Centralines</v>
      </c>
      <c r="AW7" s="192">
        <f>INDEX(Outputs!$B$20:$S$45,MATCH(24,Outputs!$B$20:$B$45,0),MATCH(AV7,Outputs!$B$20:$S$20,0))*100-INDEX(Outputs!$B$20:$S$45,MATCH(8,Outputs!$B$20:$B$45,0),MATCH(AV7,Outputs!$B$20:$S$20,0))*100</f>
        <v>0.51794111728668302</v>
      </c>
      <c r="AY7" s="191">
        <f t="shared" si="15"/>
        <v>13</v>
      </c>
      <c r="AZ7" s="191" t="s">
        <v>106</v>
      </c>
      <c r="BA7" s="192">
        <f>(INDEX(Outputs!$B$20:$S$45,MATCH(9,Outputs!$B$20:$B$45,0),MATCH(AZ7,Outputs!$B$20:$S$20,0))*100-INDEX(Outputs!$B$20:$S$45,MATCH(7,Outputs!$B$20:$B$45,0),MATCH(AZ7,Outputs!$B$20:$S$20,0))*100)+(INDEX(Outputs!$B$20:$S$45,MATCH(4,Outputs!$B$20:$B$45,0),MATCH(AZ7,Outputs!$B$20:$S$20,0))*100-INDEX(Outputs!$B$20:$S$45,MATCH(3,Outputs!$B$20:$B$45,0),MATCH(AZ7,Outputs!$B$20:$S$20,0))*100)+(INDEX(Outputs!$B$20:$S$45,MATCH(1,Outputs!$B$20:$B$45,0),MATCH(AZ7,Outputs!$B$20:$S$20,0))*100-8.77%*100)</f>
        <v>-0.30159409761428524</v>
      </c>
      <c r="BB7" s="191">
        <v>3</v>
      </c>
      <c r="BC7" s="191" t="str">
        <f t="shared" si="4"/>
        <v>Alpine Energy</v>
      </c>
      <c r="BD7" s="192">
        <f>(INDEX(Outputs!$B$20:$S$45,MATCH(9,Outputs!$B$20:$B$45,0),MATCH(BC7,Outputs!$B$20:$S$20,0))*100-INDEX(Outputs!$B$20:$S$45,MATCH(7,Outputs!$B$20:$B$45,0),MATCH(BC7,Outputs!$B$20:$S$20,0))*100)+(INDEX(Outputs!$B$20:$S$45,MATCH(4,Outputs!$B$20:$B$45,0),MATCH(BC7,Outputs!$B$20:$S$20,0))*100-INDEX(Outputs!$B$20:$S$45,MATCH(3,Outputs!$B$20:$B$45,0),MATCH(BC7,Outputs!$B$20:$S$20,0))*100)+(INDEX(Outputs!$B$20:$S$45,MATCH(1,Outputs!$B$20:$B$45,0),MATCH(BC7,Outputs!$B$20:$S$20,0))*100-8.77%*100)</f>
        <v>1.52287129640579</v>
      </c>
      <c r="BE7" s="4"/>
    </row>
    <row r="8" spans="1:57" x14ac:dyDescent="0.25">
      <c r="A8" s="134"/>
      <c r="B8" s="191">
        <f t="shared" si="5"/>
        <v>8</v>
      </c>
      <c r="C8" s="191" t="s">
        <v>474</v>
      </c>
      <c r="D8" s="192">
        <f>INDEX(Outputs!$B$20:$S$45,MATCH(2,Outputs!$B$20:$B$45,0),MATCH(C8,Outputs!$B$20:$S$20,0))*100-INDEX(Outputs!$B$20:$S$45,MATCH(1,Outputs!$B$20:$B$45,0),MATCH(C8,Outputs!$B$20:$S$20,0))*100</f>
        <v>-1.4308303594589225</v>
      </c>
      <c r="E8" s="191">
        <v>4</v>
      </c>
      <c r="F8" s="191" t="str">
        <f t="shared" si="6"/>
        <v>Alpine Energy</v>
      </c>
      <c r="G8" s="192">
        <f>INDEX(Outputs!$B$20:$S$45,MATCH(2,Outputs!$B$20:$B$45,0),MATCH(F8,Outputs!$B$20:$S$20,0))*100-INDEX(Outputs!$B$20:$S$45,MATCH(1,Outputs!$B$20:$B$45,0),MATCH(F8,Outputs!$B$20:$S$20,0))*100</f>
        <v>-1.3535183668136588</v>
      </c>
      <c r="H8" s="4"/>
      <c r="I8" s="191">
        <f t="shared" si="7"/>
        <v>6</v>
      </c>
      <c r="J8" s="191" t="s">
        <v>107</v>
      </c>
      <c r="K8" s="192">
        <f>INDEX(Outputs!$B$20:$S$45,MATCH(4,Outputs!$B$20:$B$45,0),MATCH(J8,Outputs!$B$20:$S$20,0))*100-INDEX(Outputs!$B$20:$S$45,MATCH(3,Outputs!$B$20:$B$45,0),MATCH(J8,Outputs!$B$20:$S$20,0))*100</f>
        <v>0.3695523738861084</v>
      </c>
      <c r="L8" s="191">
        <v>4</v>
      </c>
      <c r="M8" s="191" t="str">
        <f t="shared" si="8"/>
        <v>OtagoNet</v>
      </c>
      <c r="N8" s="192">
        <f>INDEX(Outputs!$B$20:$S$45,MATCH(4,Outputs!$B$20:$B$45,0),MATCH(M8,Outputs!$B$20:$S$20,0))*100-INDEX(Outputs!$B$20:$S$45,MATCH(3,Outputs!$B$20:$B$45,0),MATCH(M8,Outputs!$B$20:$S$20,0))*100</f>
        <v>0.39663434028625666</v>
      </c>
      <c r="P8" s="191">
        <f t="shared" si="9"/>
        <v>4</v>
      </c>
      <c r="Q8" s="191" t="s">
        <v>3</v>
      </c>
      <c r="R8" s="192">
        <f>INDEX(Outputs!$B$20:$S$45,MATCH(6,Outputs!$B$20:$B$45,0),MATCH(Q8,Outputs!$B$20:$S$20,0))*100-INDEX(Outputs!$B$20:$S$45,MATCH(5,Outputs!$B$20:$B$45,0),MATCH(Q8,Outputs!$B$20:$S$20,0))*100</f>
        <v>-6.8532228469850409E-2</v>
      </c>
      <c r="S8" s="191">
        <v>4</v>
      </c>
      <c r="T8" s="191" t="str">
        <f t="shared" si="0"/>
        <v>Aurora Energy</v>
      </c>
      <c r="U8" s="192">
        <f>INDEX(Outputs!$B$20:$S$45,MATCH(6,Outputs!$B$20:$B$45,0),MATCH(T8,Outputs!$B$20:$S$20,0))*100-INDEX(Outputs!$B$20:$S$45,MATCH(5,Outputs!$B$20:$B$45,0),MATCH(T8,Outputs!$B$20:$S$20,0))*100</f>
        <v>-6.8532228469850409E-2</v>
      </c>
      <c r="V8" s="134"/>
      <c r="W8" s="191">
        <f t="shared" si="10"/>
        <v>15</v>
      </c>
      <c r="X8" s="191" t="s">
        <v>112</v>
      </c>
      <c r="Y8" s="192">
        <f>INDEX(Outputs!$B$20:$S$45,MATCH(7,Outputs!$B$20:$B$45,0),MATCH(X8,Outputs!$B$20:$S$20,0))*100-INDEX(Outputs!$B$20:$S$45,MATCH(6,Outputs!$B$20:$B$45,0),MATCH(X8,Outputs!$B$20:$S$20,0))*100</f>
        <v>-0.5934333801269549</v>
      </c>
      <c r="Z8" s="191">
        <v>4</v>
      </c>
      <c r="AA8" s="191" t="str">
        <f t="shared" si="1"/>
        <v>Aurora Energy</v>
      </c>
      <c r="AB8" s="192">
        <f>INDEX(Outputs!$B$20:$S$45,MATCH(7,Outputs!$B$20:$B$45,0),MATCH(AA8,Outputs!$B$20:$S$20,0))*100-INDEX(Outputs!$B$20:$S$45,MATCH(6,Outputs!$B$20:$B$45,0),MATCH(AA8,Outputs!$B$20:$S$20,0))*100</f>
        <v>0.1685231924056998</v>
      </c>
      <c r="AC8" s="164"/>
      <c r="AD8" s="191">
        <f t="shared" si="11"/>
        <v>11</v>
      </c>
      <c r="AE8" s="191" t="s">
        <v>474</v>
      </c>
      <c r="AF8" s="192">
        <f>INDEX(Outputs!$B$20:$S$45,MATCH(5,Outputs!$B$20:$B$45,0),MATCH(AE8,Outputs!$B$20:$S$20,0))*100-INDEX(Outputs!$B$20:$S$45,MATCH(4,Outputs!$B$20:$B$45,0),MATCH(AE8,Outputs!$B$20:$S$20,0))*100</f>
        <v>6.7771673202517313E-2</v>
      </c>
      <c r="AG8" s="191">
        <v>4</v>
      </c>
      <c r="AH8" s="191" t="str">
        <f t="shared" si="2"/>
        <v>Alpine Energy</v>
      </c>
      <c r="AI8" s="192">
        <f>INDEX(Outputs!$B$20:$S$45,MATCH(5,Outputs!$B$20:$B$45,0),MATCH(AH8,Outputs!$B$20:$S$20,0))*100-INDEX(Outputs!$B$20:$S$45,MATCH(4,Outputs!$B$20:$B$45,0),MATCH(AH8,Outputs!$B$20:$S$20,0))*100</f>
        <v>9.126126766204834E-2</v>
      </c>
      <c r="AK8" s="191">
        <f t="shared" si="12"/>
        <v>13</v>
      </c>
      <c r="AL8" s="191" t="s">
        <v>474</v>
      </c>
      <c r="AM8" s="192">
        <f>INDEX(Outputs!$B$20:$S$45,MATCH(8,Outputs!$B$20:$B$45,0),MATCH(AL8,Outputs!$B$20:$S$20,0))*100-INDEX(Outputs!$B$20:$S$45,MATCH(7,Outputs!$B$20:$B$45,0),MATCH(AL8,Outputs!$B$20:$S$20,0))*100</f>
        <v>-6.3884258270263672E-3</v>
      </c>
      <c r="AN8" s="191">
        <v>4</v>
      </c>
      <c r="AO8" s="191" t="str">
        <f t="shared" si="13"/>
        <v>Electricity Invercargill</v>
      </c>
      <c r="AP8" s="192">
        <f>INDEX(Outputs!$B$20:$S$45,MATCH(8,Outputs!$B$20:$B$45,0),MATCH(AO8,Outputs!$B$20:$S$20,0))*100-INDEX(Outputs!$B$20:$S$45,MATCH(7,Outputs!$B$20:$B$45,0),MATCH(AO8,Outputs!$B$20:$S$20,0))*100</f>
        <v>1.8040537834168369E-2</v>
      </c>
      <c r="AQ8" s="4"/>
      <c r="AR8" s="191">
        <f t="shared" si="14"/>
        <v>4</v>
      </c>
      <c r="AS8" s="191" t="s">
        <v>474</v>
      </c>
      <c r="AT8" s="192">
        <f>INDEX(Outputs!$B$20:$S$45,MATCH(24,Outputs!$B$20:$B$45,0),MATCH(AS8,Outputs!$B$20:$S$20,0))*100-INDEX(Outputs!$B$20:$S$45,MATCH(8,Outputs!$B$20:$B$45,0),MATCH(AS8,Outputs!$B$20:$S$20,0))*100</f>
        <v>0</v>
      </c>
      <c r="AU8" s="191">
        <v>4</v>
      </c>
      <c r="AV8" s="191" t="str">
        <f t="shared" si="3"/>
        <v>Alpine Energy</v>
      </c>
      <c r="AW8" s="192">
        <f>INDEX(Outputs!$B$20:$S$45,MATCH(24,Outputs!$B$20:$B$45,0),MATCH(AV8,Outputs!$B$20:$S$20,0))*100-INDEX(Outputs!$B$20:$S$45,MATCH(8,Outputs!$B$20:$B$45,0),MATCH(AV8,Outputs!$B$20:$S$20,0))*100</f>
        <v>0</v>
      </c>
      <c r="AY8" s="191">
        <f t="shared" si="15"/>
        <v>9</v>
      </c>
      <c r="AZ8" s="191" t="s">
        <v>474</v>
      </c>
      <c r="BA8" s="192">
        <f>(INDEX(Outputs!$B$20:$S$45,MATCH(9,Outputs!$B$20:$B$45,0),MATCH(AZ8,Outputs!$B$20:$S$20,0))*100-INDEX(Outputs!$B$20:$S$45,MATCH(7,Outputs!$B$20:$B$45,0),MATCH(AZ8,Outputs!$B$20:$S$20,0))*100)+(INDEX(Outputs!$B$20:$S$45,MATCH(4,Outputs!$B$20:$B$45,0),MATCH(AZ8,Outputs!$B$20:$S$20,0))*100-INDEX(Outputs!$B$20:$S$45,MATCH(3,Outputs!$B$20:$B$45,0),MATCH(AZ8,Outputs!$B$20:$S$20,0))*100)+(INDEX(Outputs!$B$20:$S$45,MATCH(1,Outputs!$B$20:$B$45,0),MATCH(AZ8,Outputs!$B$20:$S$20,0))*100-8.77%*100)</f>
        <v>-0.10132249116897629</v>
      </c>
      <c r="BB8" s="191">
        <v>4</v>
      </c>
      <c r="BC8" s="191" t="str">
        <f t="shared" si="4"/>
        <v>Electricity Ashburton</v>
      </c>
      <c r="BD8" s="192">
        <f>(INDEX(Outputs!$B$20:$S$45,MATCH(9,Outputs!$B$20:$B$45,0),MATCH(BC8,Outputs!$B$20:$S$20,0))*100-INDEX(Outputs!$B$20:$S$45,MATCH(7,Outputs!$B$20:$B$45,0),MATCH(BC8,Outputs!$B$20:$S$20,0))*100)+(INDEX(Outputs!$B$20:$S$45,MATCH(4,Outputs!$B$20:$B$45,0),MATCH(BC8,Outputs!$B$20:$S$20,0))*100-INDEX(Outputs!$B$20:$S$45,MATCH(3,Outputs!$B$20:$B$45,0),MATCH(BC8,Outputs!$B$20:$S$20,0))*100)+(INDEX(Outputs!$B$20:$S$45,MATCH(1,Outputs!$B$20:$B$45,0),MATCH(BC8,Outputs!$B$20:$S$20,0))*100-8.77%*100)</f>
        <v>0.55968646287918133</v>
      </c>
      <c r="BE8" s="4"/>
    </row>
    <row r="9" spans="1:57" x14ac:dyDescent="0.25">
      <c r="A9" s="134"/>
      <c r="B9" s="191">
        <f t="shared" si="5"/>
        <v>13</v>
      </c>
      <c r="C9" s="191" t="s">
        <v>4</v>
      </c>
      <c r="D9" s="192">
        <f>INDEX(Outputs!$B$20:$S$45,MATCH(2,Outputs!$B$20:$B$45,0),MATCH(C9,Outputs!$B$20:$S$20,0))*100-INDEX(Outputs!$B$20:$S$45,MATCH(1,Outputs!$B$20:$B$45,0),MATCH(C9,Outputs!$B$20:$S$20,0))*100</f>
        <v>-1.480155587196351</v>
      </c>
      <c r="E9" s="191">
        <v>5</v>
      </c>
      <c r="F9" s="191" t="str">
        <f t="shared" si="6"/>
        <v>Powerco</v>
      </c>
      <c r="G9" s="192">
        <f>INDEX(Outputs!$B$20:$S$45,MATCH(2,Outputs!$B$20:$B$45,0),MATCH(F9,Outputs!$B$20:$S$20,0))*100-INDEX(Outputs!$B$20:$S$45,MATCH(1,Outputs!$B$20:$B$45,0),MATCH(F9,Outputs!$B$20:$S$20,0))*100</f>
        <v>-1.3631665706634521</v>
      </c>
      <c r="H9" s="4"/>
      <c r="I9" s="191">
        <f t="shared" si="7"/>
        <v>4</v>
      </c>
      <c r="J9" s="191" t="s">
        <v>110</v>
      </c>
      <c r="K9" s="192">
        <f>INDEX(Outputs!$B$20:$S$45,MATCH(4,Outputs!$B$20:$B$45,0),MATCH(J9,Outputs!$B$20:$S$20,0))*100-INDEX(Outputs!$B$20:$S$45,MATCH(3,Outputs!$B$20:$B$45,0),MATCH(J9,Outputs!$B$20:$S$20,0))*100</f>
        <v>0.39663434028625666</v>
      </c>
      <c r="L9" s="191">
        <v>5</v>
      </c>
      <c r="M9" s="191" t="str">
        <f t="shared" si="8"/>
        <v>Network Tasman</v>
      </c>
      <c r="N9" s="192">
        <f>INDEX(Outputs!$B$20:$S$45,MATCH(4,Outputs!$B$20:$B$45,0),MATCH(M9,Outputs!$B$20:$S$20,0))*100-INDEX(Outputs!$B$20:$S$45,MATCH(3,Outputs!$B$20:$B$45,0),MATCH(M9,Outputs!$B$20:$S$20,0))*100</f>
        <v>0.39359807968139826</v>
      </c>
      <c r="P9" s="191">
        <f t="shared" si="9"/>
        <v>5</v>
      </c>
      <c r="Q9" s="191" t="s">
        <v>5</v>
      </c>
      <c r="R9" s="192">
        <f>INDEX(Outputs!$B$20:$S$45,MATCH(6,Outputs!$B$20:$B$45,0),MATCH(Q9,Outputs!$B$20:$S$20,0))*100-INDEX(Outputs!$B$20:$S$45,MATCH(5,Outputs!$B$20:$B$45,0),MATCH(Q9,Outputs!$B$20:$S$20,0))*100</f>
        <v>-0.12630105018615723</v>
      </c>
      <c r="S9" s="191">
        <v>5</v>
      </c>
      <c r="T9" s="191" t="str">
        <f t="shared" si="0"/>
        <v>Electricity Invercargill</v>
      </c>
      <c r="U9" s="192">
        <f>INDEX(Outputs!$B$20:$S$45,MATCH(6,Outputs!$B$20:$B$45,0),MATCH(T9,Outputs!$B$20:$S$20,0))*100-INDEX(Outputs!$B$20:$S$45,MATCH(5,Outputs!$B$20:$B$45,0),MATCH(T9,Outputs!$B$20:$S$20,0))*100</f>
        <v>-0.12630105018615723</v>
      </c>
      <c r="V9" s="134"/>
      <c r="W9" s="191">
        <f t="shared" si="10"/>
        <v>13</v>
      </c>
      <c r="X9" s="191" t="s">
        <v>107</v>
      </c>
      <c r="Y9" s="192">
        <f>INDEX(Outputs!$B$20:$S$45,MATCH(7,Outputs!$B$20:$B$45,0),MATCH(X9,Outputs!$B$20:$S$20,0))*100-INDEX(Outputs!$B$20:$S$45,MATCH(6,Outputs!$B$20:$B$45,0),MATCH(X9,Outputs!$B$20:$S$20,0))*100</f>
        <v>-0.27437031269073575</v>
      </c>
      <c r="Z9" s="191">
        <v>5</v>
      </c>
      <c r="AA9" s="191" t="str">
        <f t="shared" si="1"/>
        <v>Vector Lines</v>
      </c>
      <c r="AB9" s="192">
        <f>INDEX(Outputs!$B$20:$S$45,MATCH(7,Outputs!$B$20:$B$45,0),MATCH(AA9,Outputs!$B$20:$S$20,0))*100-INDEX(Outputs!$B$20:$S$45,MATCH(6,Outputs!$B$20:$B$45,0),MATCH(AA9,Outputs!$B$20:$S$20,0))*100</f>
        <v>9.1876387596130371E-2</v>
      </c>
      <c r="AC9" s="165"/>
      <c r="AD9" s="191">
        <f t="shared" si="11"/>
        <v>16</v>
      </c>
      <c r="AE9" s="191" t="s">
        <v>4</v>
      </c>
      <c r="AF9" s="192">
        <f>INDEX(Outputs!$B$20:$S$45,MATCH(5,Outputs!$B$20:$B$45,0),MATCH(AE9,Outputs!$B$20:$S$20,0))*100-INDEX(Outputs!$B$20:$S$45,MATCH(4,Outputs!$B$20:$B$45,0),MATCH(AE9,Outputs!$B$20:$S$20,0))*100</f>
        <v>4.6446323394775391E-2</v>
      </c>
      <c r="AG9" s="191">
        <v>5</v>
      </c>
      <c r="AH9" s="191" t="str">
        <f t="shared" si="2"/>
        <v>Horizon Energy</v>
      </c>
      <c r="AI9" s="192">
        <f>INDEX(Outputs!$B$20:$S$45,MATCH(5,Outputs!$B$20:$B$45,0),MATCH(AH9,Outputs!$B$20:$S$20,0))*100-INDEX(Outputs!$B$20:$S$45,MATCH(4,Outputs!$B$20:$B$45,0),MATCH(AH9,Outputs!$B$20:$S$20,0))*100</f>
        <v>8.9856386184693271E-2</v>
      </c>
      <c r="AK9" s="191">
        <f t="shared" si="12"/>
        <v>5</v>
      </c>
      <c r="AL9" s="191" t="s">
        <v>4</v>
      </c>
      <c r="AM9" s="192">
        <f>INDEX(Outputs!$B$20:$S$45,MATCH(8,Outputs!$B$20:$B$45,0),MATCH(AL9,Outputs!$B$20:$S$20,0))*100-INDEX(Outputs!$B$20:$S$45,MATCH(7,Outputs!$B$20:$B$45,0),MATCH(AL9,Outputs!$B$20:$S$20,0))*100</f>
        <v>1.4482140541077548E-2</v>
      </c>
      <c r="AN9" s="191">
        <v>5</v>
      </c>
      <c r="AO9" s="191" t="str">
        <f t="shared" si="13"/>
        <v>Electricity Ashburton</v>
      </c>
      <c r="AP9" s="192">
        <f>INDEX(Outputs!$B$20:$S$45,MATCH(8,Outputs!$B$20:$B$45,0),MATCH(AO9,Outputs!$B$20:$S$20,0))*100-INDEX(Outputs!$B$20:$S$45,MATCH(7,Outputs!$B$20:$B$45,0),MATCH(AO9,Outputs!$B$20:$S$20,0))*100</f>
        <v>1.4482140541077548E-2</v>
      </c>
      <c r="AQ9" s="4"/>
      <c r="AR9" s="191">
        <f t="shared" si="14"/>
        <v>2</v>
      </c>
      <c r="AS9" s="191" t="s">
        <v>4</v>
      </c>
      <c r="AT9" s="192">
        <f>INDEX(Outputs!$B$20:$S$45,MATCH(24,Outputs!$B$20:$B$45,0),MATCH(AS9,Outputs!$B$20:$S$20,0))*100-INDEX(Outputs!$B$20:$S$45,MATCH(8,Outputs!$B$20:$B$45,0),MATCH(AS9,Outputs!$B$20:$S$20,0))*100</f>
        <v>0.63139319419860929</v>
      </c>
      <c r="AU9" s="191">
        <v>5</v>
      </c>
      <c r="AV9" s="191" t="e">
        <f t="shared" si="3"/>
        <v>#N/A</v>
      </c>
      <c r="AW9" s="192" t="e">
        <f>INDEX(Outputs!$B$20:$S$45,MATCH(24,Outputs!$B$20:$B$45,0),MATCH(AV9,Outputs!$B$20:$S$20,0))*100-INDEX(Outputs!$B$20:$S$45,MATCH(8,Outputs!$B$20:$B$45,0),MATCH(AV9,Outputs!$B$20:$S$20,0))*100</f>
        <v>#N/A</v>
      </c>
      <c r="AY9" s="191">
        <f t="shared" si="15"/>
        <v>4</v>
      </c>
      <c r="AZ9" s="191" t="s">
        <v>4</v>
      </c>
      <c r="BA9" s="192">
        <f>(INDEX(Outputs!$B$20:$S$45,MATCH(9,Outputs!$B$20:$B$45,0),MATCH(AZ9,Outputs!$B$20:$S$20,0))*100-INDEX(Outputs!$B$20:$S$45,MATCH(7,Outputs!$B$20:$B$45,0),MATCH(AZ9,Outputs!$B$20:$S$20,0))*100)+(INDEX(Outputs!$B$20:$S$45,MATCH(4,Outputs!$B$20:$B$45,0),MATCH(AZ9,Outputs!$B$20:$S$20,0))*100-INDEX(Outputs!$B$20:$S$45,MATCH(3,Outputs!$B$20:$B$45,0),MATCH(AZ9,Outputs!$B$20:$S$20,0))*100)+(INDEX(Outputs!$B$20:$S$45,MATCH(1,Outputs!$B$20:$B$45,0),MATCH(AZ9,Outputs!$B$20:$S$20,0))*100-8.77%*100)</f>
        <v>0.55968646287918133</v>
      </c>
      <c r="BB9" s="191">
        <v>5</v>
      </c>
      <c r="BC9" s="191" t="str">
        <f t="shared" si="4"/>
        <v>Wellington Electricity</v>
      </c>
      <c r="BD9" s="192">
        <f>(INDEX(Outputs!$B$20:$S$45,MATCH(9,Outputs!$B$20:$B$45,0),MATCH(BC9,Outputs!$B$20:$S$20,0))*100-INDEX(Outputs!$B$20:$S$45,MATCH(7,Outputs!$B$20:$B$45,0),MATCH(BC9,Outputs!$B$20:$S$20,0))*100)+(INDEX(Outputs!$B$20:$S$45,MATCH(4,Outputs!$B$20:$B$45,0),MATCH(BC9,Outputs!$B$20:$S$20,0))*100-INDEX(Outputs!$B$20:$S$45,MATCH(3,Outputs!$B$20:$B$45,0),MATCH(BC9,Outputs!$B$20:$S$20,0))*100)+(INDEX(Outputs!$B$20:$S$45,MATCH(1,Outputs!$B$20:$B$45,0),MATCH(BC9,Outputs!$B$20:$S$20,0))*100-8.77%*100)</f>
        <v>0.45975093126297217</v>
      </c>
      <c r="BE9" s="4"/>
    </row>
    <row r="10" spans="1:57" x14ac:dyDescent="0.25">
      <c r="A10" s="134"/>
      <c r="B10" s="191">
        <f t="shared" si="5"/>
        <v>7</v>
      </c>
      <c r="C10" s="191" t="s">
        <v>5</v>
      </c>
      <c r="D10" s="192">
        <f>INDEX(Outputs!$B$20:$S$45,MATCH(2,Outputs!$B$20:$B$45,0),MATCH(C10,Outputs!$B$20:$S$20,0))*100-INDEX(Outputs!$B$20:$S$45,MATCH(1,Outputs!$B$20:$B$45,0),MATCH(C10,Outputs!$B$20:$S$20,0))*100</f>
        <v>-1.4199507236480713</v>
      </c>
      <c r="E10" s="191">
        <v>6</v>
      </c>
      <c r="F10" s="191" t="str">
        <f t="shared" si="6"/>
        <v>Centralines</v>
      </c>
      <c r="G10" s="192">
        <f>INDEX(Outputs!$B$20:$S$45,MATCH(2,Outputs!$B$20:$B$45,0),MATCH(F10,Outputs!$B$20:$S$20,0))*100-INDEX(Outputs!$B$20:$S$45,MATCH(1,Outputs!$B$20:$B$45,0),MATCH(F10,Outputs!$B$20:$S$20,0))*100</f>
        <v>-1.3714843988418552</v>
      </c>
      <c r="H10" s="4"/>
      <c r="I10" s="191">
        <f t="shared" si="7"/>
        <v>3</v>
      </c>
      <c r="J10" s="191" t="s">
        <v>473</v>
      </c>
      <c r="K10" s="192">
        <f>INDEX(Outputs!$B$20:$S$45,MATCH(4,Outputs!$B$20:$B$45,0),MATCH(J10,Outputs!$B$20:$S$20,0))*100-INDEX(Outputs!$B$20:$S$45,MATCH(3,Outputs!$B$20:$B$45,0),MATCH(J10,Outputs!$B$20:$S$20,0))*100</f>
        <v>0.42869269847869962</v>
      </c>
      <c r="L10" s="191">
        <v>6</v>
      </c>
      <c r="M10" s="191" t="str">
        <f t="shared" si="8"/>
        <v>Horizon Energy</v>
      </c>
      <c r="N10" s="192">
        <f>INDEX(Outputs!$B$20:$S$45,MATCH(4,Outputs!$B$20:$B$45,0),MATCH(M10,Outputs!$B$20:$S$20,0))*100-INDEX(Outputs!$B$20:$S$45,MATCH(3,Outputs!$B$20:$B$45,0),MATCH(M10,Outputs!$B$20:$S$20,0))*100</f>
        <v>0.3695523738861084</v>
      </c>
      <c r="P10" s="191">
        <f t="shared" si="9"/>
        <v>6</v>
      </c>
      <c r="Q10" s="191" t="s">
        <v>111</v>
      </c>
      <c r="R10" s="192">
        <f>INDEX(Outputs!$B$20:$S$45,MATCH(6,Outputs!$B$20:$B$45,0),MATCH(Q10,Outputs!$B$20:$S$20,0))*100-INDEX(Outputs!$B$20:$S$45,MATCH(5,Outputs!$B$20:$B$45,0),MATCH(Q10,Outputs!$B$20:$S$20,0))*100</f>
        <v>-0.12931048870086759</v>
      </c>
      <c r="S10" s="191">
        <v>6</v>
      </c>
      <c r="T10" s="191" t="str">
        <f t="shared" si="0"/>
        <v>Powerco</v>
      </c>
      <c r="U10" s="192">
        <f>INDEX(Outputs!$B$20:$S$45,MATCH(6,Outputs!$B$20:$B$45,0),MATCH(T10,Outputs!$B$20:$S$20,0))*100-INDEX(Outputs!$B$20:$S$45,MATCH(5,Outputs!$B$20:$B$45,0),MATCH(T10,Outputs!$B$20:$S$20,0))*100</f>
        <v>-0.12931048870086759</v>
      </c>
      <c r="V10" s="134"/>
      <c r="W10" s="191">
        <f t="shared" si="10"/>
        <v>10</v>
      </c>
      <c r="X10" s="191" t="s">
        <v>474</v>
      </c>
      <c r="Y10" s="192">
        <f>INDEX(Outputs!$B$20:$S$45,MATCH(7,Outputs!$B$20:$B$45,0),MATCH(X10,Outputs!$B$20:$S$20,0))*100-INDEX(Outputs!$B$20:$S$45,MATCH(6,Outputs!$B$20:$B$45,0),MATCH(X10,Outputs!$B$20:$S$20,0))*100</f>
        <v>-4.5205950736999512E-2</v>
      </c>
      <c r="Z10" s="191">
        <v>6</v>
      </c>
      <c r="AA10" s="191" t="str">
        <f t="shared" si="1"/>
        <v>Centralines</v>
      </c>
      <c r="AB10" s="192">
        <f>INDEX(Outputs!$B$20:$S$45,MATCH(7,Outputs!$B$20:$B$45,0),MATCH(AA10,Outputs!$B$20:$S$20,0))*100-INDEX(Outputs!$B$20:$S$45,MATCH(6,Outputs!$B$20:$B$45,0),MATCH(AA10,Outputs!$B$20:$S$20,0))*100</f>
        <v>8.9458227157593662E-2</v>
      </c>
      <c r="AC10" s="164"/>
      <c r="AD10" s="191">
        <f t="shared" si="11"/>
        <v>2</v>
      </c>
      <c r="AE10" s="191" t="s">
        <v>5</v>
      </c>
      <c r="AF10" s="192">
        <f>INDEX(Outputs!$B$20:$S$45,MATCH(5,Outputs!$B$20:$B$45,0),MATCH(AE10,Outputs!$B$20:$S$20,0))*100-INDEX(Outputs!$B$20:$S$45,MATCH(4,Outputs!$B$20:$B$45,0),MATCH(AE10,Outputs!$B$20:$S$20,0))*100</f>
        <v>9.7718238830567294E-2</v>
      </c>
      <c r="AG10" s="191">
        <v>6</v>
      </c>
      <c r="AH10" s="191" t="str">
        <f t="shared" si="2"/>
        <v>Aurora Energy</v>
      </c>
      <c r="AI10" s="192">
        <f>INDEX(Outputs!$B$20:$S$45,MATCH(5,Outputs!$B$20:$B$45,0),MATCH(AH10,Outputs!$B$20:$S$20,0))*100-INDEX(Outputs!$B$20:$S$45,MATCH(4,Outputs!$B$20:$B$45,0),MATCH(AH10,Outputs!$B$20:$S$20,0))*100</f>
        <v>8.6073279380801004E-2</v>
      </c>
      <c r="AK10" s="191">
        <f t="shared" si="12"/>
        <v>4</v>
      </c>
      <c r="AL10" s="191" t="s">
        <v>5</v>
      </c>
      <c r="AM10" s="192">
        <f>INDEX(Outputs!$B$20:$S$45,MATCH(8,Outputs!$B$20:$B$45,0),MATCH(AL10,Outputs!$B$20:$S$20,0))*100-INDEX(Outputs!$B$20:$S$45,MATCH(7,Outputs!$B$20:$B$45,0),MATCH(AL10,Outputs!$B$20:$S$20,0))*100</f>
        <v>1.8040537834168369E-2</v>
      </c>
      <c r="AN10" s="191">
        <v>6</v>
      </c>
      <c r="AO10" s="191" t="str">
        <f t="shared" si="13"/>
        <v>OtagoNet</v>
      </c>
      <c r="AP10" s="192">
        <f>INDEX(Outputs!$B$20:$S$45,MATCH(8,Outputs!$B$20:$B$45,0),MATCH(AO10,Outputs!$B$20:$S$20,0))*100-INDEX(Outputs!$B$20:$S$45,MATCH(7,Outputs!$B$20:$B$45,0),MATCH(AO10,Outputs!$B$20:$S$20,0))*100</f>
        <v>6.204247474669522E-3</v>
      </c>
      <c r="AQ10" s="4"/>
      <c r="AR10" s="191">
        <f t="shared" si="14"/>
        <v>4</v>
      </c>
      <c r="AS10" s="191" t="s">
        <v>5</v>
      </c>
      <c r="AT10" s="192">
        <f>INDEX(Outputs!$B$20:$S$45,MATCH(24,Outputs!$B$20:$B$45,0),MATCH(AS10,Outputs!$B$20:$S$20,0))*100-INDEX(Outputs!$B$20:$S$45,MATCH(8,Outputs!$B$20:$B$45,0),MATCH(AS10,Outputs!$B$20:$S$20,0))*100</f>
        <v>0</v>
      </c>
      <c r="AU10" s="191">
        <v>6</v>
      </c>
      <c r="AV10" s="191" t="e">
        <f t="shared" si="3"/>
        <v>#N/A</v>
      </c>
      <c r="AW10" s="192" t="e">
        <f>INDEX(Outputs!$B$20:$S$45,MATCH(24,Outputs!$B$20:$B$45,0),MATCH(AV10,Outputs!$B$20:$S$20,0))*100-INDEX(Outputs!$B$20:$S$45,MATCH(8,Outputs!$B$20:$B$45,0),MATCH(AV10,Outputs!$B$20:$S$20,0))*100</f>
        <v>#N/A</v>
      </c>
      <c r="AY10" s="191">
        <f t="shared" si="15"/>
        <v>8</v>
      </c>
      <c r="AZ10" s="191" t="s">
        <v>5</v>
      </c>
      <c r="BA10" s="192">
        <f>(INDEX(Outputs!$B$20:$S$45,MATCH(9,Outputs!$B$20:$B$45,0),MATCH(AZ10,Outputs!$B$20:$S$20,0))*100-INDEX(Outputs!$B$20:$S$45,MATCH(7,Outputs!$B$20:$B$45,0),MATCH(AZ10,Outputs!$B$20:$S$20,0))*100)+(INDEX(Outputs!$B$20:$S$45,MATCH(4,Outputs!$B$20:$B$45,0),MATCH(AZ10,Outputs!$B$20:$S$20,0))*100-INDEX(Outputs!$B$20:$S$45,MATCH(3,Outputs!$B$20:$B$45,0),MATCH(AZ10,Outputs!$B$20:$S$20,0))*100)+(INDEX(Outputs!$B$20:$S$45,MATCH(1,Outputs!$B$20:$B$45,0),MATCH(AZ10,Outputs!$B$20:$S$20,0))*100-8.77%*100)</f>
        <v>-4.5071799755095121E-2</v>
      </c>
      <c r="BB10" s="191">
        <v>6</v>
      </c>
      <c r="BC10" s="191" t="str">
        <f t="shared" si="4"/>
        <v>OtagoNet</v>
      </c>
      <c r="BD10" s="192">
        <f>(INDEX(Outputs!$B$20:$S$45,MATCH(9,Outputs!$B$20:$B$45,0),MATCH(BC10,Outputs!$B$20:$S$20,0))*100-INDEX(Outputs!$B$20:$S$45,MATCH(7,Outputs!$B$20:$B$45,0),MATCH(BC10,Outputs!$B$20:$S$20,0))*100)+(INDEX(Outputs!$B$20:$S$45,MATCH(4,Outputs!$B$20:$B$45,0),MATCH(BC10,Outputs!$B$20:$S$20,0))*100-INDEX(Outputs!$B$20:$S$45,MATCH(3,Outputs!$B$20:$B$45,0),MATCH(BC10,Outputs!$B$20:$S$20,0))*100)+(INDEX(Outputs!$B$20:$S$45,MATCH(1,Outputs!$B$20:$B$45,0),MATCH(BC10,Outputs!$B$20:$S$20,0))*100-8.77%*100)</f>
        <v>0.45639638185501408</v>
      </c>
      <c r="BE10" s="4"/>
    </row>
    <row r="11" spans="1:57" x14ac:dyDescent="0.25">
      <c r="A11" s="134"/>
      <c r="B11" s="191">
        <f t="shared" si="5"/>
        <v>11</v>
      </c>
      <c r="C11" s="191" t="s">
        <v>107</v>
      </c>
      <c r="D11" s="192">
        <f>INDEX(Outputs!$B$20:$S$45,MATCH(2,Outputs!$B$20:$B$45,0),MATCH(C11,Outputs!$B$20:$S$20,0))*100-INDEX(Outputs!$B$20:$S$45,MATCH(1,Outputs!$B$20:$B$45,0),MATCH(C11,Outputs!$B$20:$S$20,0))*100</f>
        <v>-1.4639049768447867</v>
      </c>
      <c r="E11" s="191">
        <v>7</v>
      </c>
      <c r="F11" s="191" t="str">
        <f t="shared" si="6"/>
        <v>Electricity Invercargill</v>
      </c>
      <c r="G11" s="192">
        <f>INDEX(Outputs!$B$20:$S$45,MATCH(2,Outputs!$B$20:$B$45,0),MATCH(F11,Outputs!$B$20:$S$20,0))*100-INDEX(Outputs!$B$20:$S$45,MATCH(1,Outputs!$B$20:$B$45,0),MATCH(F11,Outputs!$B$20:$S$20,0))*100</f>
        <v>-1.4199507236480713</v>
      </c>
      <c r="H11" s="4"/>
      <c r="I11" s="191">
        <f t="shared" si="7"/>
        <v>7</v>
      </c>
      <c r="J11" s="191" t="s">
        <v>113</v>
      </c>
      <c r="K11" s="192">
        <f>INDEX(Outputs!$B$20:$S$45,MATCH(4,Outputs!$B$20:$B$45,0),MATCH(J11,Outputs!$B$20:$S$20,0))*100-INDEX(Outputs!$B$20:$S$45,MATCH(3,Outputs!$B$20:$B$45,0),MATCH(J11,Outputs!$B$20:$S$20,0))*100</f>
        <v>0.30392706394195557</v>
      </c>
      <c r="L11" s="191">
        <v>7</v>
      </c>
      <c r="M11" s="191" t="str">
        <f t="shared" si="8"/>
        <v>Wellington Electricity</v>
      </c>
      <c r="N11" s="192">
        <f>INDEX(Outputs!$B$20:$S$45,MATCH(4,Outputs!$B$20:$B$45,0),MATCH(M11,Outputs!$B$20:$S$20,0))*100-INDEX(Outputs!$B$20:$S$45,MATCH(3,Outputs!$B$20:$B$45,0),MATCH(M11,Outputs!$B$20:$S$20,0))*100</f>
        <v>0.30392706394195557</v>
      </c>
      <c r="P11" s="191">
        <f t="shared" si="9"/>
        <v>7</v>
      </c>
      <c r="Q11" s="191" t="s">
        <v>112</v>
      </c>
      <c r="R11" s="192">
        <f>INDEX(Outputs!$B$20:$S$45,MATCH(6,Outputs!$B$20:$B$45,0),MATCH(Q11,Outputs!$B$20:$S$20,0))*100-INDEX(Outputs!$B$20:$S$45,MATCH(5,Outputs!$B$20:$B$45,0),MATCH(Q11,Outputs!$B$20:$S$20,0))*100</f>
        <v>-0.2719092369079581</v>
      </c>
      <c r="S11" s="191">
        <v>7</v>
      </c>
      <c r="T11" s="191" t="str">
        <f t="shared" si="0"/>
        <v>Top Energy</v>
      </c>
      <c r="U11" s="192">
        <f>INDEX(Outputs!$B$20:$S$45,MATCH(6,Outputs!$B$20:$B$45,0),MATCH(T11,Outputs!$B$20:$S$20,0))*100-INDEX(Outputs!$B$20:$S$45,MATCH(5,Outputs!$B$20:$B$45,0),MATCH(T11,Outputs!$B$20:$S$20,0))*100</f>
        <v>-0.2719092369079581</v>
      </c>
      <c r="V11" s="134"/>
      <c r="W11" s="191">
        <f t="shared" si="10"/>
        <v>8</v>
      </c>
      <c r="X11" s="191" t="s">
        <v>109</v>
      </c>
      <c r="Y11" s="192">
        <f>INDEX(Outputs!$B$20:$S$45,MATCH(7,Outputs!$B$20:$B$45,0),MATCH(X11,Outputs!$B$20:$S$20,0))*100-INDEX(Outputs!$B$20:$S$45,MATCH(6,Outputs!$B$20:$B$45,0),MATCH(X11,Outputs!$B$20:$S$20,0))*100</f>
        <v>-6.915926933287686E-3</v>
      </c>
      <c r="Z11" s="191">
        <v>7</v>
      </c>
      <c r="AA11" s="191" t="str">
        <f t="shared" si="1"/>
        <v>The Lines Company</v>
      </c>
      <c r="AB11" s="192">
        <f>INDEX(Outputs!$B$20:$S$45,MATCH(7,Outputs!$B$20:$B$45,0),MATCH(AA11,Outputs!$B$20:$S$20,0))*100-INDEX(Outputs!$B$20:$S$45,MATCH(6,Outputs!$B$20:$B$45,0),MATCH(AA11,Outputs!$B$20:$S$20,0))*100</f>
        <v>3.7437677383422852E-3</v>
      </c>
      <c r="AC11" s="164"/>
      <c r="AD11" s="191">
        <f t="shared" si="11"/>
        <v>5</v>
      </c>
      <c r="AE11" s="191" t="s">
        <v>107</v>
      </c>
      <c r="AF11" s="192">
        <f>INDEX(Outputs!$B$20:$S$45,MATCH(5,Outputs!$B$20:$B$45,0),MATCH(AE11,Outputs!$B$20:$S$20,0))*100-INDEX(Outputs!$B$20:$S$45,MATCH(4,Outputs!$B$20:$B$45,0),MATCH(AE11,Outputs!$B$20:$S$20,0))*100</f>
        <v>8.9856386184693271E-2</v>
      </c>
      <c r="AG11" s="191">
        <v>7</v>
      </c>
      <c r="AH11" s="191" t="str">
        <f t="shared" si="2"/>
        <v>Wellington Electricity</v>
      </c>
      <c r="AI11" s="192">
        <f>INDEX(Outputs!$B$20:$S$45,MATCH(5,Outputs!$B$20:$B$45,0),MATCH(AH11,Outputs!$B$20:$S$20,0))*100-INDEX(Outputs!$B$20:$S$45,MATCH(4,Outputs!$B$20:$B$45,0),MATCH(AH11,Outputs!$B$20:$S$20,0))*100</f>
        <v>7.5497627258299893E-2</v>
      </c>
      <c r="AK11" s="191">
        <f t="shared" si="12"/>
        <v>3</v>
      </c>
      <c r="AL11" s="191" t="s">
        <v>107</v>
      </c>
      <c r="AM11" s="192">
        <f>INDEX(Outputs!$B$20:$S$45,MATCH(8,Outputs!$B$20:$B$45,0),MATCH(AL11,Outputs!$B$20:$S$20,0))*100-INDEX(Outputs!$B$20:$S$45,MATCH(7,Outputs!$B$20:$B$45,0),MATCH(AL11,Outputs!$B$20:$S$20,0))*100</f>
        <v>2.0432472229001242E-2</v>
      </c>
      <c r="AN11" s="191">
        <v>7</v>
      </c>
      <c r="AO11" s="191" t="str">
        <f t="shared" si="13"/>
        <v>Nelson Electricity</v>
      </c>
      <c r="AP11" s="192">
        <f>INDEX(Outputs!$B$20:$S$45,MATCH(8,Outputs!$B$20:$B$45,0),MATCH(AO11,Outputs!$B$20:$S$20,0))*100-INDEX(Outputs!$B$20:$S$45,MATCH(7,Outputs!$B$20:$B$45,0),MATCH(AO11,Outputs!$B$20:$S$20,0))*100</f>
        <v>5.9598684310886441E-3</v>
      </c>
      <c r="AQ11" s="4"/>
      <c r="AR11" s="191">
        <f t="shared" si="14"/>
        <v>4</v>
      </c>
      <c r="AS11" s="191" t="s">
        <v>107</v>
      </c>
      <c r="AT11" s="192">
        <f>INDEX(Outputs!$B$20:$S$45,MATCH(24,Outputs!$B$20:$B$45,0),MATCH(AS11,Outputs!$B$20:$S$20,0))*100-INDEX(Outputs!$B$20:$S$45,MATCH(8,Outputs!$B$20:$B$45,0),MATCH(AS11,Outputs!$B$20:$S$20,0))*100</f>
        <v>0</v>
      </c>
      <c r="AU11" s="191">
        <v>7</v>
      </c>
      <c r="AV11" s="191" t="e">
        <f t="shared" si="3"/>
        <v>#N/A</v>
      </c>
      <c r="AW11" s="192" t="e">
        <f>INDEX(Outputs!$B$20:$S$45,MATCH(24,Outputs!$B$20:$B$45,0),MATCH(AV11,Outputs!$B$20:$S$20,0))*100-INDEX(Outputs!$B$20:$S$45,MATCH(8,Outputs!$B$20:$B$45,0),MATCH(AV11,Outputs!$B$20:$S$20,0))*100</f>
        <v>#N/A</v>
      </c>
      <c r="AY11" s="191">
        <f t="shared" si="15"/>
        <v>15</v>
      </c>
      <c r="AZ11" s="191" t="s">
        <v>107</v>
      </c>
      <c r="BA11" s="192">
        <f>(INDEX(Outputs!$B$20:$S$45,MATCH(9,Outputs!$B$20:$B$45,0),MATCH(AZ11,Outputs!$B$20:$S$20,0))*100-INDEX(Outputs!$B$20:$S$45,MATCH(7,Outputs!$B$20:$B$45,0),MATCH(AZ11,Outputs!$B$20:$S$20,0))*100)+(INDEX(Outputs!$B$20:$S$45,MATCH(4,Outputs!$B$20:$B$45,0),MATCH(AZ11,Outputs!$B$20:$S$20,0))*100-INDEX(Outputs!$B$20:$S$45,MATCH(3,Outputs!$B$20:$B$45,0),MATCH(AZ11,Outputs!$B$20:$S$20,0))*100)+(INDEX(Outputs!$B$20:$S$45,MATCH(1,Outputs!$B$20:$B$45,0),MATCH(AZ11,Outputs!$B$20:$S$20,0))*100-8.77%*100)</f>
        <v>-0.50996418714523628</v>
      </c>
      <c r="BB11" s="191">
        <v>7</v>
      </c>
      <c r="BC11" s="191" t="str">
        <f t="shared" si="4"/>
        <v>Unison Networks</v>
      </c>
      <c r="BD11" s="192">
        <f>(INDEX(Outputs!$B$20:$S$45,MATCH(9,Outputs!$B$20:$B$45,0),MATCH(BC11,Outputs!$B$20:$S$20,0))*100-INDEX(Outputs!$B$20:$S$45,MATCH(7,Outputs!$B$20:$B$45,0),MATCH(BC11,Outputs!$B$20:$S$20,0))*100)+(INDEX(Outputs!$B$20:$S$45,MATCH(4,Outputs!$B$20:$B$45,0),MATCH(BC11,Outputs!$B$20:$S$20,0))*100-INDEX(Outputs!$B$20:$S$45,MATCH(3,Outputs!$B$20:$B$45,0),MATCH(BC11,Outputs!$B$20:$S$20,0))*100)+(INDEX(Outputs!$B$20:$S$45,MATCH(1,Outputs!$B$20:$B$45,0),MATCH(BC11,Outputs!$B$20:$S$20,0))*100-8.77%*100)</f>
        <v>-7.0422482490517524E-3</v>
      </c>
      <c r="BE11" s="4"/>
    </row>
    <row r="12" spans="1:57" x14ac:dyDescent="0.25">
      <c r="A12" s="134"/>
      <c r="B12" s="191">
        <f t="shared" si="5"/>
        <v>15</v>
      </c>
      <c r="C12" s="191" t="s">
        <v>108</v>
      </c>
      <c r="D12" s="192">
        <f>INDEX(Outputs!$B$20:$S$45,MATCH(2,Outputs!$B$20:$B$45,0),MATCH(C12,Outputs!$B$20:$S$20,0))*100-INDEX(Outputs!$B$20:$S$45,MATCH(1,Outputs!$B$20:$B$45,0),MATCH(C12,Outputs!$B$20:$S$20,0))*100</f>
        <v>-1.5309518575668317</v>
      </c>
      <c r="E12" s="191">
        <v>8</v>
      </c>
      <c r="F12" s="191" t="str">
        <f t="shared" si="6"/>
        <v>Eastland Network</v>
      </c>
      <c r="G12" s="192">
        <f>INDEX(Outputs!$B$20:$S$45,MATCH(2,Outputs!$B$20:$B$45,0),MATCH(F12,Outputs!$B$20:$S$20,0))*100-INDEX(Outputs!$B$20:$S$45,MATCH(1,Outputs!$B$20:$B$45,0),MATCH(F12,Outputs!$B$20:$S$20,0))*100</f>
        <v>-1.4308303594589225</v>
      </c>
      <c r="H12" s="4"/>
      <c r="I12" s="191">
        <f t="shared" si="7"/>
        <v>11</v>
      </c>
      <c r="J12" s="191" t="s">
        <v>3</v>
      </c>
      <c r="K12" s="192">
        <f>INDEX(Outputs!$B$20:$S$45,MATCH(4,Outputs!$B$20:$B$45,0),MATCH(J12,Outputs!$B$20:$S$20,0))*100-INDEX(Outputs!$B$20:$S$45,MATCH(3,Outputs!$B$20:$B$45,0),MATCH(J12,Outputs!$B$20:$S$20,0))*100</f>
        <v>9.609103202819913E-2</v>
      </c>
      <c r="L12" s="191">
        <v>8</v>
      </c>
      <c r="M12" s="191" t="str">
        <f t="shared" si="8"/>
        <v>Electricity Invercargill</v>
      </c>
      <c r="N12" s="192">
        <f>INDEX(Outputs!$B$20:$S$45,MATCH(4,Outputs!$B$20:$B$45,0),MATCH(M12,Outputs!$B$20:$S$20,0))*100-INDEX(Outputs!$B$20:$S$45,MATCH(3,Outputs!$B$20:$B$45,0),MATCH(M12,Outputs!$B$20:$S$20,0))*100</f>
        <v>0.28726518154144198</v>
      </c>
      <c r="P12" s="191">
        <f t="shared" si="9"/>
        <v>8</v>
      </c>
      <c r="Q12" s="191" t="s">
        <v>107</v>
      </c>
      <c r="R12" s="192">
        <f>INDEX(Outputs!$B$20:$S$45,MATCH(6,Outputs!$B$20:$B$45,0),MATCH(Q12,Outputs!$B$20:$S$20,0))*100-INDEX(Outputs!$B$20:$S$45,MATCH(5,Outputs!$B$20:$B$45,0),MATCH(Q12,Outputs!$B$20:$S$20,0))*100</f>
        <v>-0.30896544456481845</v>
      </c>
      <c r="S12" s="191">
        <v>8</v>
      </c>
      <c r="T12" s="191" t="str">
        <f t="shared" si="0"/>
        <v>Horizon Energy</v>
      </c>
      <c r="U12" s="192">
        <f>INDEX(Outputs!$B$20:$S$45,MATCH(6,Outputs!$B$20:$B$45,0),MATCH(T12,Outputs!$B$20:$S$20,0))*100-INDEX(Outputs!$B$20:$S$45,MATCH(5,Outputs!$B$20:$B$45,0),MATCH(T12,Outputs!$B$20:$S$20,0))*100</f>
        <v>-0.30896544456481845</v>
      </c>
      <c r="V12" s="134"/>
      <c r="W12" s="191">
        <f t="shared" si="10"/>
        <v>9</v>
      </c>
      <c r="X12" s="191" t="s">
        <v>110</v>
      </c>
      <c r="Y12" s="192">
        <f>INDEX(Outputs!$B$20:$S$45,MATCH(7,Outputs!$B$20:$B$45,0),MATCH(X12,Outputs!$B$20:$S$20,0))*100-INDEX(Outputs!$B$20:$S$45,MATCH(6,Outputs!$B$20:$B$45,0),MATCH(X12,Outputs!$B$20:$S$20,0))*100</f>
        <v>-2.0697712898252618E-2</v>
      </c>
      <c r="Z12" s="191">
        <v>8</v>
      </c>
      <c r="AA12" s="191" t="str">
        <f t="shared" si="1"/>
        <v>Network Tasman</v>
      </c>
      <c r="AB12" s="192">
        <f>INDEX(Outputs!$B$20:$S$45,MATCH(7,Outputs!$B$20:$B$45,0),MATCH(AA12,Outputs!$B$20:$S$20,0))*100-INDEX(Outputs!$B$20:$S$45,MATCH(6,Outputs!$B$20:$B$45,0),MATCH(AA12,Outputs!$B$20:$S$20,0))*100</f>
        <v>-6.915926933287686E-3</v>
      </c>
      <c r="AC12" s="165"/>
      <c r="AD12" s="191">
        <f t="shared" si="11"/>
        <v>1</v>
      </c>
      <c r="AE12" s="191" t="s">
        <v>108</v>
      </c>
      <c r="AF12" s="192">
        <f>INDEX(Outputs!$B$20:$S$45,MATCH(5,Outputs!$B$20:$B$45,0),MATCH(AE12,Outputs!$B$20:$S$20,0))*100-INDEX(Outputs!$B$20:$S$45,MATCH(4,Outputs!$B$20:$B$45,0),MATCH(AE12,Outputs!$B$20:$S$20,0))*100</f>
        <v>0.1005208492279035</v>
      </c>
      <c r="AG12" s="191">
        <v>8</v>
      </c>
      <c r="AH12" s="191" t="str">
        <f t="shared" si="2"/>
        <v>Unison Networks</v>
      </c>
      <c r="AI12" s="192">
        <f>INDEX(Outputs!$B$20:$S$45,MATCH(5,Outputs!$B$20:$B$45,0),MATCH(AH12,Outputs!$B$20:$S$20,0))*100-INDEX(Outputs!$B$20:$S$45,MATCH(4,Outputs!$B$20:$B$45,0),MATCH(AH12,Outputs!$B$20:$S$20,0))*100</f>
        <v>7.4238181114195889E-2</v>
      </c>
      <c r="AK12" s="191">
        <f t="shared" si="12"/>
        <v>7</v>
      </c>
      <c r="AL12" s="191" t="s">
        <v>108</v>
      </c>
      <c r="AM12" s="192">
        <f>INDEX(Outputs!$B$20:$S$45,MATCH(8,Outputs!$B$20:$B$45,0),MATCH(AL12,Outputs!$B$20:$S$20,0))*100-INDEX(Outputs!$B$20:$S$45,MATCH(7,Outputs!$B$20:$B$45,0),MATCH(AL12,Outputs!$B$20:$S$20,0))*100</f>
        <v>5.9598684310886441E-3</v>
      </c>
      <c r="AN12" s="191">
        <v>8</v>
      </c>
      <c r="AO12" s="191" t="str">
        <f t="shared" si="13"/>
        <v>Wellington Electricity</v>
      </c>
      <c r="AP12" s="192">
        <f>INDEX(Outputs!$B$20:$S$45,MATCH(8,Outputs!$B$20:$B$45,0),MATCH(AO12,Outputs!$B$20:$S$20,0))*100-INDEX(Outputs!$B$20:$S$45,MATCH(7,Outputs!$B$20:$B$45,0),MATCH(AO12,Outputs!$B$20:$S$20,0))*100</f>
        <v>2.3829936981201172E-3</v>
      </c>
      <c r="AQ12" s="4"/>
      <c r="AR12" s="191">
        <f t="shared" si="14"/>
        <v>4</v>
      </c>
      <c r="AS12" s="191" t="s">
        <v>108</v>
      </c>
      <c r="AT12" s="192">
        <f>INDEX(Outputs!$B$20:$S$45,MATCH(24,Outputs!$B$20:$B$45,0),MATCH(AS12,Outputs!$B$20:$S$20,0))*100-INDEX(Outputs!$B$20:$S$45,MATCH(8,Outputs!$B$20:$B$45,0),MATCH(AS12,Outputs!$B$20:$S$20,0))*100</f>
        <v>0</v>
      </c>
      <c r="AU12" s="191">
        <v>8</v>
      </c>
      <c r="AV12" s="191" t="e">
        <f t="shared" si="3"/>
        <v>#N/A</v>
      </c>
      <c r="AW12" s="192" t="e">
        <f>INDEX(Outputs!$B$20:$S$45,MATCH(24,Outputs!$B$20:$B$45,0),MATCH(AV12,Outputs!$B$20:$S$20,0))*100-INDEX(Outputs!$B$20:$S$45,MATCH(8,Outputs!$B$20:$B$45,0),MATCH(AV12,Outputs!$B$20:$S$20,0))*100</f>
        <v>#N/A</v>
      </c>
      <c r="AY12" s="191">
        <f t="shared" si="15"/>
        <v>2</v>
      </c>
      <c r="AZ12" s="191" t="s">
        <v>108</v>
      </c>
      <c r="BA12" s="192">
        <f>(INDEX(Outputs!$B$20:$S$45,MATCH(9,Outputs!$B$20:$B$45,0),MATCH(AZ12,Outputs!$B$20:$S$20,0))*100-INDEX(Outputs!$B$20:$S$45,MATCH(7,Outputs!$B$20:$B$45,0),MATCH(AZ12,Outputs!$B$20:$S$20,0))*100)+(INDEX(Outputs!$B$20:$S$45,MATCH(4,Outputs!$B$20:$B$45,0),MATCH(AZ12,Outputs!$B$20:$S$20,0))*100-INDEX(Outputs!$B$20:$S$45,MATCH(3,Outputs!$B$20:$B$45,0),MATCH(AZ12,Outputs!$B$20:$S$20,0))*100)+(INDEX(Outputs!$B$20:$S$45,MATCH(1,Outputs!$B$20:$B$45,0),MATCH(AZ12,Outputs!$B$20:$S$20,0))*100-8.77%*100)</f>
        <v>2.0794320511817936</v>
      </c>
      <c r="BB12" s="191">
        <v>8</v>
      </c>
      <c r="BC12" s="191" t="str">
        <f t="shared" si="4"/>
        <v>Electricity Invercargill</v>
      </c>
      <c r="BD12" s="192">
        <f>(INDEX(Outputs!$B$20:$S$45,MATCH(9,Outputs!$B$20:$B$45,0),MATCH(BC12,Outputs!$B$20:$S$20,0))*100-INDEX(Outputs!$B$20:$S$45,MATCH(7,Outputs!$B$20:$B$45,0),MATCH(BC12,Outputs!$B$20:$S$20,0))*100)+(INDEX(Outputs!$B$20:$S$45,MATCH(4,Outputs!$B$20:$B$45,0),MATCH(BC12,Outputs!$B$20:$S$20,0))*100-INDEX(Outputs!$B$20:$S$45,MATCH(3,Outputs!$B$20:$B$45,0),MATCH(BC12,Outputs!$B$20:$S$20,0))*100)+(INDEX(Outputs!$B$20:$S$45,MATCH(1,Outputs!$B$20:$B$45,0),MATCH(BC12,Outputs!$B$20:$S$20,0))*100-8.77%*100)</f>
        <v>-4.5071799755095121E-2</v>
      </c>
      <c r="BE12" s="4"/>
    </row>
    <row r="13" spans="1:57" x14ac:dyDescent="0.25">
      <c r="A13" s="134"/>
      <c r="B13" s="191">
        <f t="shared" si="5"/>
        <v>3</v>
      </c>
      <c r="C13" s="191" t="s">
        <v>109</v>
      </c>
      <c r="D13" s="192">
        <f>INDEX(Outputs!$B$20:$S$45,MATCH(2,Outputs!$B$20:$B$45,0),MATCH(C13,Outputs!$B$20:$S$20,0))*100-INDEX(Outputs!$B$20:$S$45,MATCH(1,Outputs!$B$20:$B$45,0),MATCH(C13,Outputs!$B$20:$S$20,0))*100</f>
        <v>-1.344929337501525</v>
      </c>
      <c r="E13" s="191">
        <v>9</v>
      </c>
      <c r="F13" s="191" t="str">
        <f t="shared" si="6"/>
        <v>Vector Lines</v>
      </c>
      <c r="G13" s="192">
        <f>INDEX(Outputs!$B$20:$S$45,MATCH(2,Outputs!$B$20:$B$45,0),MATCH(F13,Outputs!$B$20:$S$20,0))*100-INDEX(Outputs!$B$20:$S$45,MATCH(1,Outputs!$B$20:$B$45,0),MATCH(F13,Outputs!$B$20:$S$20,0))*100</f>
        <v>-1.4562499523162806</v>
      </c>
      <c r="H13" s="4"/>
      <c r="I13" s="191">
        <f t="shared" si="7"/>
        <v>9</v>
      </c>
      <c r="J13" s="191" t="s">
        <v>112</v>
      </c>
      <c r="K13" s="192">
        <f>INDEX(Outputs!$B$20:$S$45,MATCH(4,Outputs!$B$20:$B$45,0),MATCH(J13,Outputs!$B$20:$S$20,0))*100-INDEX(Outputs!$B$20:$S$45,MATCH(3,Outputs!$B$20:$B$45,0),MATCH(J13,Outputs!$B$20:$S$20,0))*100</f>
        <v>0.28347671031951904</v>
      </c>
      <c r="L13" s="191">
        <v>9</v>
      </c>
      <c r="M13" s="191" t="str">
        <f t="shared" si="8"/>
        <v>Top Energy</v>
      </c>
      <c r="N13" s="192">
        <f>INDEX(Outputs!$B$20:$S$45,MATCH(4,Outputs!$B$20:$B$45,0),MATCH(M13,Outputs!$B$20:$S$20,0))*100-INDEX(Outputs!$B$20:$S$45,MATCH(3,Outputs!$B$20:$B$45,0),MATCH(M13,Outputs!$B$20:$S$20,0))*100</f>
        <v>0.28347671031951904</v>
      </c>
      <c r="P13" s="191">
        <f t="shared" si="9"/>
        <v>10</v>
      </c>
      <c r="Q13" s="191" t="s">
        <v>109</v>
      </c>
      <c r="R13" s="192">
        <f>INDEX(Outputs!$B$20:$S$45,MATCH(6,Outputs!$B$20:$B$45,0),MATCH(Q13,Outputs!$B$20:$S$20,0))*100-INDEX(Outputs!$B$20:$S$45,MATCH(5,Outputs!$B$20:$B$45,0),MATCH(Q13,Outputs!$B$20:$S$20,0))*100</f>
        <v>-0.56626379489898859</v>
      </c>
      <c r="S13" s="191">
        <v>9</v>
      </c>
      <c r="T13" s="191" t="str">
        <f t="shared" si="0"/>
        <v>The Lines Company</v>
      </c>
      <c r="U13" s="192">
        <f>INDEX(Outputs!$B$20:$S$45,MATCH(6,Outputs!$B$20:$B$45,0),MATCH(T13,Outputs!$B$20:$S$20,0))*100-INDEX(Outputs!$B$20:$S$45,MATCH(5,Outputs!$B$20:$B$45,0),MATCH(T13,Outputs!$B$20:$S$20,0))*100</f>
        <v>-0.55477440357208163</v>
      </c>
      <c r="V13" s="134"/>
      <c r="W13" s="191">
        <f t="shared" si="10"/>
        <v>11</v>
      </c>
      <c r="X13" s="191" t="s">
        <v>111</v>
      </c>
      <c r="Y13" s="192">
        <f>INDEX(Outputs!$B$20:$S$45,MATCH(7,Outputs!$B$20:$B$45,0),MATCH(X13,Outputs!$B$20:$S$20,0))*100-INDEX(Outputs!$B$20:$S$45,MATCH(6,Outputs!$B$20:$B$45,0),MATCH(X13,Outputs!$B$20:$S$20,0))*100</f>
        <v>-6.4306259155273438E-2</v>
      </c>
      <c r="Z13" s="191">
        <v>9</v>
      </c>
      <c r="AA13" s="191" t="str">
        <f t="shared" si="1"/>
        <v>OtagoNet</v>
      </c>
      <c r="AB13" s="192">
        <f>INDEX(Outputs!$B$20:$S$45,MATCH(7,Outputs!$B$20:$B$45,0),MATCH(AA13,Outputs!$B$20:$S$20,0))*100-INDEX(Outputs!$B$20:$S$45,MATCH(6,Outputs!$B$20:$B$45,0),MATCH(AA13,Outputs!$B$20:$S$20,0))*100</f>
        <v>-2.0697712898252618E-2</v>
      </c>
      <c r="AC13" s="164"/>
      <c r="AD13" s="191">
        <f t="shared" si="11"/>
        <v>10</v>
      </c>
      <c r="AE13" s="191" t="s">
        <v>109</v>
      </c>
      <c r="AF13" s="192">
        <f>INDEX(Outputs!$B$20:$S$45,MATCH(5,Outputs!$B$20:$B$45,0),MATCH(AE13,Outputs!$B$20:$S$20,0))*100-INDEX(Outputs!$B$20:$S$45,MATCH(4,Outputs!$B$20:$B$45,0),MATCH(AE13,Outputs!$B$20:$S$20,0))*100</f>
        <v>6.9147348403930664E-2</v>
      </c>
      <c r="AG13" s="191">
        <v>9</v>
      </c>
      <c r="AH13" s="191" t="str">
        <f t="shared" si="2"/>
        <v>Powerco</v>
      </c>
      <c r="AI13" s="192">
        <f>INDEX(Outputs!$B$20:$S$45,MATCH(5,Outputs!$B$20:$B$45,0),MATCH(AH13,Outputs!$B$20:$S$20,0))*100-INDEX(Outputs!$B$20:$S$45,MATCH(4,Outputs!$B$20:$B$45,0),MATCH(AH13,Outputs!$B$20:$S$20,0))*100</f>
        <v>6.9736242294311523E-2</v>
      </c>
      <c r="AK13" s="191">
        <f t="shared" si="12"/>
        <v>2</v>
      </c>
      <c r="AL13" s="191" t="s">
        <v>109</v>
      </c>
      <c r="AM13" s="192">
        <f>INDEX(Outputs!$B$20:$S$45,MATCH(8,Outputs!$B$20:$B$45,0),MATCH(AL13,Outputs!$B$20:$S$20,0))*100-INDEX(Outputs!$B$20:$S$45,MATCH(7,Outputs!$B$20:$B$45,0),MATCH(AL13,Outputs!$B$20:$S$20,0))*100</f>
        <v>2.3354887962342197E-2</v>
      </c>
      <c r="AN13" s="191">
        <v>9</v>
      </c>
      <c r="AO13" s="191" t="str">
        <f t="shared" si="13"/>
        <v>The Lines Company</v>
      </c>
      <c r="AP13" s="192">
        <f>INDEX(Outputs!$B$20:$S$45,MATCH(8,Outputs!$B$20:$B$45,0),MATCH(AO13,Outputs!$B$20:$S$20,0))*100-INDEX(Outputs!$B$20:$S$45,MATCH(7,Outputs!$B$20:$B$45,0),MATCH(AO13,Outputs!$B$20:$S$20,0))*100</f>
        <v>1.3279914855965913E-3</v>
      </c>
      <c r="AQ13" s="4"/>
      <c r="AR13" s="191">
        <f t="shared" si="14"/>
        <v>1</v>
      </c>
      <c r="AS13" s="191" t="s">
        <v>109</v>
      </c>
      <c r="AT13" s="192">
        <f>INDEX(Outputs!$B$20:$S$45,MATCH(24,Outputs!$B$20:$B$45,0),MATCH(AS13,Outputs!$B$20:$S$20,0))*100-INDEX(Outputs!$B$20:$S$45,MATCH(8,Outputs!$B$20:$B$45,0),MATCH(AS13,Outputs!$B$20:$S$20,0))*100</f>
        <v>2.0084309577941886</v>
      </c>
      <c r="AU13" s="191">
        <v>9</v>
      </c>
      <c r="AV13" s="191" t="e">
        <f t="shared" si="3"/>
        <v>#N/A</v>
      </c>
      <c r="AW13" s="192" t="e">
        <f>INDEX(Outputs!$B$20:$S$45,MATCH(24,Outputs!$B$20:$B$45,0),MATCH(AV13,Outputs!$B$20:$S$20,0))*100-INDEX(Outputs!$B$20:$S$45,MATCH(8,Outputs!$B$20:$B$45,0),MATCH(AV13,Outputs!$B$20:$S$20,0))*100</f>
        <v>#N/A</v>
      </c>
      <c r="AY13" s="191">
        <f t="shared" si="15"/>
        <v>1</v>
      </c>
      <c r="AZ13" s="191" t="s">
        <v>109</v>
      </c>
      <c r="BA13" s="192">
        <f>(INDEX(Outputs!$B$20:$S$45,MATCH(9,Outputs!$B$20:$B$45,0),MATCH(AZ13,Outputs!$B$20:$S$20,0))*100-INDEX(Outputs!$B$20:$S$45,MATCH(7,Outputs!$B$20:$B$45,0),MATCH(AZ13,Outputs!$B$20:$S$20,0))*100)+(INDEX(Outputs!$B$20:$S$45,MATCH(4,Outputs!$B$20:$B$45,0),MATCH(AZ13,Outputs!$B$20:$S$20,0))*100-INDEX(Outputs!$B$20:$S$45,MATCH(3,Outputs!$B$20:$B$45,0),MATCH(AZ13,Outputs!$B$20:$S$20,0))*100)+(INDEX(Outputs!$B$20:$S$45,MATCH(1,Outputs!$B$20:$B$45,0),MATCH(AZ13,Outputs!$B$20:$S$20,0))*100-8.77%*100)</f>
        <v>2.4197262930870114</v>
      </c>
      <c r="BB13" s="191">
        <v>9</v>
      </c>
      <c r="BC13" s="191" t="str">
        <f t="shared" si="4"/>
        <v>Eastland Network</v>
      </c>
      <c r="BD13" s="192">
        <f>(INDEX(Outputs!$B$20:$S$45,MATCH(9,Outputs!$B$20:$B$45,0),MATCH(BC13,Outputs!$B$20:$S$20,0))*100-INDEX(Outputs!$B$20:$S$45,MATCH(7,Outputs!$B$20:$B$45,0),MATCH(BC13,Outputs!$B$20:$S$20,0))*100)+(INDEX(Outputs!$B$20:$S$45,MATCH(4,Outputs!$B$20:$B$45,0),MATCH(BC13,Outputs!$B$20:$S$20,0))*100-INDEX(Outputs!$B$20:$S$45,MATCH(3,Outputs!$B$20:$B$45,0),MATCH(BC13,Outputs!$B$20:$S$20,0))*100)+(INDEX(Outputs!$B$20:$S$45,MATCH(1,Outputs!$B$20:$B$45,0),MATCH(BC13,Outputs!$B$20:$S$20,0))*100-8.77%*100)</f>
        <v>-0.10132249116897629</v>
      </c>
      <c r="BE13" s="4"/>
    </row>
    <row r="14" spans="1:57" x14ac:dyDescent="0.25">
      <c r="A14" s="134"/>
      <c r="B14" s="191">
        <f t="shared" si="5"/>
        <v>2</v>
      </c>
      <c r="C14" s="191" t="s">
        <v>110</v>
      </c>
      <c r="D14" s="192">
        <f>INDEX(Outputs!$B$20:$S$45,MATCH(2,Outputs!$B$20:$B$45,0),MATCH(C14,Outputs!$B$20:$S$20,0))*100-INDEX(Outputs!$B$20:$S$45,MATCH(1,Outputs!$B$20:$B$45,0),MATCH(C14,Outputs!$B$20:$S$20,0))*100</f>
        <v>-1.341763734817504</v>
      </c>
      <c r="E14" s="191">
        <v>10</v>
      </c>
      <c r="F14" s="191" t="str">
        <f t="shared" si="6"/>
        <v>Top Energy</v>
      </c>
      <c r="G14" s="192">
        <f>INDEX(Outputs!$B$20:$S$45,MATCH(2,Outputs!$B$20:$B$45,0),MATCH(F14,Outputs!$B$20:$S$20,0))*100-INDEX(Outputs!$B$20:$S$45,MATCH(1,Outputs!$B$20:$B$45,0),MATCH(F14,Outputs!$B$20:$S$20,0))*100</f>
        <v>-1.4622431993484533</v>
      </c>
      <c r="H14" s="4"/>
      <c r="I14" s="191">
        <f t="shared" si="7"/>
        <v>8</v>
      </c>
      <c r="J14" s="191" t="s">
        <v>5</v>
      </c>
      <c r="K14" s="192">
        <f>INDEX(Outputs!$B$20:$S$45,MATCH(4,Outputs!$B$20:$B$45,0),MATCH(J14,Outputs!$B$20:$S$20,0))*100-INDEX(Outputs!$B$20:$S$45,MATCH(3,Outputs!$B$20:$B$45,0),MATCH(J14,Outputs!$B$20:$S$20,0))*100</f>
        <v>0.28726518154144198</v>
      </c>
      <c r="L14" s="191">
        <v>10</v>
      </c>
      <c r="M14" s="191" t="str">
        <f t="shared" si="8"/>
        <v>Electricity Ashburton</v>
      </c>
      <c r="N14" s="192">
        <f>INDEX(Outputs!$B$20:$S$45,MATCH(4,Outputs!$B$20:$B$45,0),MATCH(M14,Outputs!$B$20:$S$20,0))*100-INDEX(Outputs!$B$20:$S$45,MATCH(3,Outputs!$B$20:$B$45,0),MATCH(M14,Outputs!$B$20:$S$20,0))*100</f>
        <v>0.15510499477386475</v>
      </c>
      <c r="P14" s="191">
        <f t="shared" si="9"/>
        <v>9</v>
      </c>
      <c r="Q14" s="191" t="s">
        <v>6</v>
      </c>
      <c r="R14" s="192">
        <f>INDEX(Outputs!$B$20:$S$45,MATCH(6,Outputs!$B$20:$B$45,0),MATCH(Q14,Outputs!$B$20:$S$20,0))*100-INDEX(Outputs!$B$20:$S$45,MATCH(5,Outputs!$B$20:$B$45,0),MATCH(Q14,Outputs!$B$20:$S$20,0))*100</f>
        <v>-0.55477440357208163</v>
      </c>
      <c r="S14" s="191">
        <v>10</v>
      </c>
      <c r="T14" s="191" t="str">
        <f t="shared" si="0"/>
        <v>Network Tasman</v>
      </c>
      <c r="U14" s="192">
        <f>INDEX(Outputs!$B$20:$S$45,MATCH(6,Outputs!$B$20:$B$45,0),MATCH(T14,Outputs!$B$20:$S$20,0))*100-INDEX(Outputs!$B$20:$S$45,MATCH(5,Outputs!$B$20:$B$45,0),MATCH(T14,Outputs!$B$20:$S$20,0))*100</f>
        <v>-0.56626379489898859</v>
      </c>
      <c r="V14" s="134"/>
      <c r="W14" s="191">
        <f t="shared" si="10"/>
        <v>7</v>
      </c>
      <c r="X14" s="191" t="s">
        <v>6</v>
      </c>
      <c r="Y14" s="192">
        <f>INDEX(Outputs!$B$20:$S$45,MATCH(7,Outputs!$B$20:$B$45,0),MATCH(X14,Outputs!$B$20:$S$20,0))*100-INDEX(Outputs!$B$20:$S$45,MATCH(6,Outputs!$B$20:$B$45,0),MATCH(X14,Outputs!$B$20:$S$20,0))*100</f>
        <v>3.7437677383422852E-3</v>
      </c>
      <c r="Z14" s="191">
        <v>10</v>
      </c>
      <c r="AA14" s="191" t="str">
        <f t="shared" si="1"/>
        <v>Eastland Network</v>
      </c>
      <c r="AB14" s="192">
        <f>INDEX(Outputs!$B$20:$S$45,MATCH(7,Outputs!$B$20:$B$45,0),MATCH(AA14,Outputs!$B$20:$S$20,0))*100-INDEX(Outputs!$B$20:$S$45,MATCH(6,Outputs!$B$20:$B$45,0),MATCH(AA14,Outputs!$B$20:$S$20,0))*100</f>
        <v>-4.5205950736999512E-2</v>
      </c>
      <c r="AC14" s="165"/>
      <c r="AD14" s="191">
        <f t="shared" si="11"/>
        <v>15</v>
      </c>
      <c r="AE14" s="191" t="s">
        <v>110</v>
      </c>
      <c r="AF14" s="192">
        <f>INDEX(Outputs!$B$20:$S$45,MATCH(5,Outputs!$B$20:$B$45,0),MATCH(AE14,Outputs!$B$20:$S$20,0))*100-INDEX(Outputs!$B$20:$S$45,MATCH(4,Outputs!$B$20:$B$45,0),MATCH(AE14,Outputs!$B$20:$S$20,0))*100</f>
        <v>5.0694346427915704E-2</v>
      </c>
      <c r="AG14" s="191">
        <v>10</v>
      </c>
      <c r="AH14" s="191" t="str">
        <f t="shared" si="2"/>
        <v>Network Tasman</v>
      </c>
      <c r="AI14" s="192">
        <f>INDEX(Outputs!$B$20:$S$45,MATCH(5,Outputs!$B$20:$B$45,0),MATCH(AH14,Outputs!$B$20:$S$20,0))*100-INDEX(Outputs!$B$20:$S$45,MATCH(4,Outputs!$B$20:$B$45,0),MATCH(AH14,Outputs!$B$20:$S$20,0))*100</f>
        <v>6.9147348403930664E-2</v>
      </c>
      <c r="AK14" s="191">
        <f t="shared" si="12"/>
        <v>6</v>
      </c>
      <c r="AL14" s="191" t="s">
        <v>110</v>
      </c>
      <c r="AM14" s="192">
        <f>INDEX(Outputs!$B$20:$S$45,MATCH(8,Outputs!$B$20:$B$45,0),MATCH(AL14,Outputs!$B$20:$S$20,0))*100-INDEX(Outputs!$B$20:$S$45,MATCH(7,Outputs!$B$20:$B$45,0),MATCH(AL14,Outputs!$B$20:$S$20,0))*100</f>
        <v>6.204247474669522E-3</v>
      </c>
      <c r="AN14" s="191">
        <v>10</v>
      </c>
      <c r="AO14" s="191" t="str">
        <f t="shared" si="13"/>
        <v>Aurora Energy</v>
      </c>
      <c r="AP14" s="192">
        <f>INDEX(Outputs!$B$20:$S$45,MATCH(8,Outputs!$B$20:$B$45,0),MATCH(AO14,Outputs!$B$20:$S$20,0))*100-INDEX(Outputs!$B$20:$S$45,MATCH(7,Outputs!$B$20:$B$45,0),MATCH(AO14,Outputs!$B$20:$S$20,0))*100</f>
        <v>1.2701749801635742E-3</v>
      </c>
      <c r="AQ14" s="4"/>
      <c r="AR14" s="191">
        <f t="shared" si="14"/>
        <v>4</v>
      </c>
      <c r="AS14" s="191" t="s">
        <v>110</v>
      </c>
      <c r="AT14" s="192">
        <f>INDEX(Outputs!$B$20:$S$45,MATCH(24,Outputs!$B$20:$B$45,0),MATCH(AS14,Outputs!$B$20:$S$20,0))*100-INDEX(Outputs!$B$20:$S$45,MATCH(8,Outputs!$B$20:$B$45,0),MATCH(AS14,Outputs!$B$20:$S$20,0))*100</f>
        <v>0</v>
      </c>
      <c r="AU14" s="191">
        <v>10</v>
      </c>
      <c r="AV14" s="191" t="e">
        <f t="shared" si="3"/>
        <v>#N/A</v>
      </c>
      <c r="AW14" s="192" t="e">
        <f>INDEX(Outputs!$B$20:$S$45,MATCH(24,Outputs!$B$20:$B$45,0),MATCH(AV14,Outputs!$B$20:$S$20,0))*100-INDEX(Outputs!$B$20:$S$45,MATCH(8,Outputs!$B$20:$B$45,0),MATCH(AV14,Outputs!$B$20:$S$20,0))*100</f>
        <v>#N/A</v>
      </c>
      <c r="AY14" s="191">
        <f t="shared" si="15"/>
        <v>6</v>
      </c>
      <c r="AZ14" s="191" t="s">
        <v>110</v>
      </c>
      <c r="BA14" s="192">
        <f>(INDEX(Outputs!$B$20:$S$45,MATCH(9,Outputs!$B$20:$B$45,0),MATCH(AZ14,Outputs!$B$20:$S$20,0))*100-INDEX(Outputs!$B$20:$S$45,MATCH(7,Outputs!$B$20:$B$45,0),MATCH(AZ14,Outputs!$B$20:$S$20,0))*100)+(INDEX(Outputs!$B$20:$S$45,MATCH(4,Outputs!$B$20:$B$45,0),MATCH(AZ14,Outputs!$B$20:$S$20,0))*100-INDEX(Outputs!$B$20:$S$45,MATCH(3,Outputs!$B$20:$B$45,0),MATCH(AZ14,Outputs!$B$20:$S$20,0))*100)+(INDEX(Outputs!$B$20:$S$45,MATCH(1,Outputs!$B$20:$B$45,0),MATCH(AZ14,Outputs!$B$20:$S$20,0))*100-8.77%*100)</f>
        <v>0.45639638185501408</v>
      </c>
      <c r="BB14" s="191">
        <v>10</v>
      </c>
      <c r="BC14" s="191" t="str">
        <f t="shared" si="4"/>
        <v>Powerco</v>
      </c>
      <c r="BD14" s="192">
        <f>(INDEX(Outputs!$B$20:$S$45,MATCH(9,Outputs!$B$20:$B$45,0),MATCH(BC14,Outputs!$B$20:$S$20,0))*100-INDEX(Outputs!$B$20:$S$45,MATCH(7,Outputs!$B$20:$B$45,0),MATCH(BC14,Outputs!$B$20:$S$20,0))*100)+(INDEX(Outputs!$B$20:$S$45,MATCH(4,Outputs!$B$20:$B$45,0),MATCH(BC14,Outputs!$B$20:$S$20,0))*100-INDEX(Outputs!$B$20:$S$45,MATCH(3,Outputs!$B$20:$B$45,0),MATCH(BC14,Outputs!$B$20:$S$20,0))*100)+(INDEX(Outputs!$B$20:$S$45,MATCH(1,Outputs!$B$20:$B$45,0),MATCH(BC14,Outputs!$B$20:$S$20,0))*100-8.77%*100)</f>
        <v>-0.12344475507735986</v>
      </c>
      <c r="BE14" s="4"/>
    </row>
    <row r="15" spans="1:57" x14ac:dyDescent="0.25">
      <c r="A15" s="134"/>
      <c r="B15" s="191">
        <f t="shared" si="5"/>
        <v>5</v>
      </c>
      <c r="C15" s="191" t="s">
        <v>111</v>
      </c>
      <c r="D15" s="192">
        <f>INDEX(Outputs!$B$20:$S$45,MATCH(2,Outputs!$B$20:$B$45,0),MATCH(C15,Outputs!$B$20:$S$20,0))*100-INDEX(Outputs!$B$20:$S$45,MATCH(1,Outputs!$B$20:$B$45,0),MATCH(C15,Outputs!$B$20:$S$20,0))*100</f>
        <v>-1.3631665706634521</v>
      </c>
      <c r="E15" s="191">
        <v>11</v>
      </c>
      <c r="F15" s="191" t="str">
        <f t="shared" si="6"/>
        <v>Horizon Energy</v>
      </c>
      <c r="G15" s="192">
        <f>INDEX(Outputs!$B$20:$S$45,MATCH(2,Outputs!$B$20:$B$45,0),MATCH(F15,Outputs!$B$20:$S$20,0))*100-INDEX(Outputs!$B$20:$S$45,MATCH(1,Outputs!$B$20:$B$45,0),MATCH(F15,Outputs!$B$20:$S$20,0))*100</f>
        <v>-1.4639049768447867</v>
      </c>
      <c r="H15" s="4"/>
      <c r="I15" s="191">
        <f t="shared" si="7"/>
        <v>13</v>
      </c>
      <c r="J15" s="191" t="s">
        <v>111</v>
      </c>
      <c r="K15" s="192">
        <f>INDEX(Outputs!$B$20:$S$45,MATCH(4,Outputs!$B$20:$B$45,0),MATCH(J15,Outputs!$B$20:$S$20,0))*100-INDEX(Outputs!$B$20:$S$45,MATCH(3,Outputs!$B$20:$B$45,0),MATCH(J15,Outputs!$B$20:$S$20,0))*100</f>
        <v>3.9873719215395731E-2</v>
      </c>
      <c r="L15" s="191">
        <v>11</v>
      </c>
      <c r="M15" s="191" t="str">
        <f t="shared" si="8"/>
        <v>Aurora Energy</v>
      </c>
      <c r="N15" s="192">
        <f>INDEX(Outputs!$B$20:$S$45,MATCH(4,Outputs!$B$20:$B$45,0),MATCH(M15,Outputs!$B$20:$S$20,0))*100-INDEX(Outputs!$B$20:$S$45,MATCH(3,Outputs!$B$20:$B$45,0),MATCH(M15,Outputs!$B$20:$S$20,0))*100</f>
        <v>9.609103202819913E-2</v>
      </c>
      <c r="P15" s="191">
        <f t="shared" si="9"/>
        <v>11</v>
      </c>
      <c r="Q15" s="191" t="s">
        <v>474</v>
      </c>
      <c r="R15" s="192">
        <f>INDEX(Outputs!$B$20:$S$45,MATCH(6,Outputs!$B$20:$B$45,0),MATCH(Q15,Outputs!$B$20:$S$20,0))*100-INDEX(Outputs!$B$20:$S$45,MATCH(5,Outputs!$B$20:$B$45,0),MATCH(Q15,Outputs!$B$20:$S$20,0))*100</f>
        <v>-0.87041854858398615</v>
      </c>
      <c r="S15" s="191">
        <v>11</v>
      </c>
      <c r="T15" s="191" t="str">
        <f t="shared" si="0"/>
        <v>Eastland Network</v>
      </c>
      <c r="U15" s="192">
        <f>INDEX(Outputs!$B$20:$S$45,MATCH(6,Outputs!$B$20:$B$45,0),MATCH(T15,Outputs!$B$20:$S$20,0))*100-INDEX(Outputs!$B$20:$S$45,MATCH(5,Outputs!$B$20:$B$45,0),MATCH(T15,Outputs!$B$20:$S$20,0))*100</f>
        <v>-0.87041854858398615</v>
      </c>
      <c r="V15" s="134"/>
      <c r="W15" s="191">
        <f t="shared" si="10"/>
        <v>2</v>
      </c>
      <c r="X15" s="191" t="s">
        <v>105</v>
      </c>
      <c r="Y15" s="192">
        <f>INDEX(Outputs!$B$20:$S$45,MATCH(7,Outputs!$B$20:$B$45,0),MATCH(X15,Outputs!$B$20:$S$20,0))*100-INDEX(Outputs!$B$20:$S$45,MATCH(6,Outputs!$B$20:$B$45,0),MATCH(X15,Outputs!$B$20:$S$20,0))*100</f>
        <v>0.19391119480133234</v>
      </c>
      <c r="Z15" s="191">
        <v>11</v>
      </c>
      <c r="AA15" s="191" t="str">
        <f t="shared" si="1"/>
        <v>Powerco</v>
      </c>
      <c r="AB15" s="192">
        <f>INDEX(Outputs!$B$20:$S$45,MATCH(7,Outputs!$B$20:$B$45,0),MATCH(AA15,Outputs!$B$20:$S$20,0))*100-INDEX(Outputs!$B$20:$S$45,MATCH(6,Outputs!$B$20:$B$45,0),MATCH(AA15,Outputs!$B$20:$S$20,0))*100</f>
        <v>-6.4306259155273438E-2</v>
      </c>
      <c r="AC15" s="164"/>
      <c r="AD15" s="191">
        <f t="shared" si="11"/>
        <v>9</v>
      </c>
      <c r="AE15" s="191" t="s">
        <v>111</v>
      </c>
      <c r="AF15" s="192">
        <f>INDEX(Outputs!$B$20:$S$45,MATCH(5,Outputs!$B$20:$B$45,0),MATCH(AE15,Outputs!$B$20:$S$20,0))*100-INDEX(Outputs!$B$20:$S$45,MATCH(4,Outputs!$B$20:$B$45,0),MATCH(AE15,Outputs!$B$20:$S$20,0))*100</f>
        <v>6.9736242294311523E-2</v>
      </c>
      <c r="AG15" s="191">
        <v>11</v>
      </c>
      <c r="AH15" s="191" t="str">
        <f t="shared" si="2"/>
        <v>Eastland Network</v>
      </c>
      <c r="AI15" s="192">
        <f>INDEX(Outputs!$B$20:$S$45,MATCH(5,Outputs!$B$20:$B$45,0),MATCH(AH15,Outputs!$B$20:$S$20,0))*100-INDEX(Outputs!$B$20:$S$45,MATCH(4,Outputs!$B$20:$B$45,0),MATCH(AH15,Outputs!$B$20:$S$20,0))*100</f>
        <v>6.7771673202517313E-2</v>
      </c>
      <c r="AK15" s="191">
        <f t="shared" si="12"/>
        <v>16</v>
      </c>
      <c r="AL15" s="191" t="s">
        <v>111</v>
      </c>
      <c r="AM15" s="192">
        <f>INDEX(Outputs!$B$20:$S$45,MATCH(8,Outputs!$B$20:$B$45,0),MATCH(AL15,Outputs!$B$20:$S$20,0))*100-INDEX(Outputs!$B$20:$S$45,MATCH(7,Outputs!$B$20:$B$45,0),MATCH(AL15,Outputs!$B$20:$S$20,0))*100</f>
        <v>-2.9596686363221991E-2</v>
      </c>
      <c r="AN15" s="191">
        <v>11</v>
      </c>
      <c r="AO15" s="191" t="str">
        <f t="shared" si="13"/>
        <v>Top Energy</v>
      </c>
      <c r="AP15" s="192">
        <f>INDEX(Outputs!$B$20:$S$45,MATCH(8,Outputs!$B$20:$B$45,0),MATCH(AO15,Outputs!$B$20:$S$20,0))*100-INDEX(Outputs!$B$20:$S$45,MATCH(7,Outputs!$B$20:$B$45,0),MATCH(AO15,Outputs!$B$20:$S$20,0))*100</f>
        <v>1.2528896331795991E-3</v>
      </c>
      <c r="AQ15" s="4"/>
      <c r="AR15" s="191">
        <f t="shared" si="14"/>
        <v>4</v>
      </c>
      <c r="AS15" s="191" t="s">
        <v>111</v>
      </c>
      <c r="AT15" s="192">
        <f>INDEX(Outputs!$B$20:$S$45,MATCH(24,Outputs!$B$20:$B$45,0),MATCH(AS15,Outputs!$B$20:$S$20,0))*100-INDEX(Outputs!$B$20:$S$45,MATCH(8,Outputs!$B$20:$B$45,0),MATCH(AS15,Outputs!$B$20:$S$20,0))*100</f>
        <v>0</v>
      </c>
      <c r="AU15" s="191">
        <v>11</v>
      </c>
      <c r="AV15" s="191" t="e">
        <f t="shared" si="3"/>
        <v>#N/A</v>
      </c>
      <c r="AW15" s="192" t="e">
        <f>INDEX(Outputs!$B$20:$S$45,MATCH(24,Outputs!$B$20:$B$45,0),MATCH(AV15,Outputs!$B$20:$S$20,0))*100-INDEX(Outputs!$B$20:$S$45,MATCH(8,Outputs!$B$20:$B$45,0),MATCH(AV15,Outputs!$B$20:$S$20,0))*100</f>
        <v>#N/A</v>
      </c>
      <c r="AY15" s="191">
        <f t="shared" si="15"/>
        <v>10</v>
      </c>
      <c r="AZ15" s="191" t="s">
        <v>111</v>
      </c>
      <c r="BA15" s="192">
        <f>(INDEX(Outputs!$B$20:$S$45,MATCH(9,Outputs!$B$20:$B$45,0),MATCH(AZ15,Outputs!$B$20:$S$20,0))*100-INDEX(Outputs!$B$20:$S$45,MATCH(7,Outputs!$B$20:$B$45,0),MATCH(AZ15,Outputs!$B$20:$S$20,0))*100)+(INDEX(Outputs!$B$20:$S$45,MATCH(4,Outputs!$B$20:$B$45,0),MATCH(AZ15,Outputs!$B$20:$S$20,0))*100-INDEX(Outputs!$B$20:$S$45,MATCH(3,Outputs!$B$20:$B$45,0),MATCH(AZ15,Outputs!$B$20:$S$20,0))*100)+(INDEX(Outputs!$B$20:$S$45,MATCH(1,Outputs!$B$20:$B$45,0),MATCH(AZ15,Outputs!$B$20:$S$20,0))*100-8.77%*100)</f>
        <v>-0.12344475507735986</v>
      </c>
      <c r="BB15" s="191">
        <v>11</v>
      </c>
      <c r="BC15" s="191" t="str">
        <f t="shared" si="4"/>
        <v>Top Energy</v>
      </c>
      <c r="BD15" s="192">
        <f>(INDEX(Outputs!$B$20:$S$45,MATCH(9,Outputs!$B$20:$B$45,0),MATCH(BC15,Outputs!$B$20:$S$20,0))*100-INDEX(Outputs!$B$20:$S$45,MATCH(7,Outputs!$B$20:$B$45,0),MATCH(BC15,Outputs!$B$20:$S$20,0))*100)+(INDEX(Outputs!$B$20:$S$45,MATCH(4,Outputs!$B$20:$B$45,0),MATCH(BC15,Outputs!$B$20:$S$20,0))*100-INDEX(Outputs!$B$20:$S$45,MATCH(3,Outputs!$B$20:$B$45,0),MATCH(BC15,Outputs!$B$20:$S$20,0))*100)+(INDEX(Outputs!$B$20:$S$45,MATCH(1,Outputs!$B$20:$B$45,0),MATCH(BC15,Outputs!$B$20:$S$20,0))*100-8.77%*100)</f>
        <v>-0.27165885686873992</v>
      </c>
      <c r="BE15" s="4"/>
    </row>
    <row r="16" spans="1:57" x14ac:dyDescent="0.25">
      <c r="A16" s="134"/>
      <c r="B16" s="191">
        <f t="shared" si="5"/>
        <v>14</v>
      </c>
      <c r="C16" s="191" t="s">
        <v>6</v>
      </c>
      <c r="D16" s="192">
        <f>INDEX(Outputs!$B$20:$S$45,MATCH(2,Outputs!$B$20:$B$45,0),MATCH(C16,Outputs!$B$20:$S$20,0))*100-INDEX(Outputs!$B$20:$S$45,MATCH(1,Outputs!$B$20:$B$45,0),MATCH(C16,Outputs!$B$20:$S$20,0))*100</f>
        <v>-1.5134376287460318</v>
      </c>
      <c r="E16" s="191">
        <v>12</v>
      </c>
      <c r="F16" s="191" t="str">
        <f t="shared" si="6"/>
        <v>Unison Networks</v>
      </c>
      <c r="G16" s="192">
        <f>INDEX(Outputs!$B$20:$S$45,MATCH(2,Outputs!$B$20:$B$45,0),MATCH(F16,Outputs!$B$20:$S$20,0))*100-INDEX(Outputs!$B$20:$S$45,MATCH(1,Outputs!$B$20:$B$45,0),MATCH(F16,Outputs!$B$20:$S$20,0))*100</f>
        <v>-1.4729875326156616</v>
      </c>
      <c r="H16" s="4"/>
      <c r="I16" s="191">
        <f t="shared" si="7"/>
        <v>12</v>
      </c>
      <c r="J16" s="191" t="s">
        <v>472</v>
      </c>
      <c r="K16" s="192">
        <f>INDEX(Outputs!$B$20:$S$45,MATCH(4,Outputs!$B$20:$B$45,0),MATCH(J16,Outputs!$B$20:$S$20,0))*100-INDEX(Outputs!$B$20:$S$45,MATCH(3,Outputs!$B$20:$B$45,0),MATCH(J16,Outputs!$B$20:$S$20,0))*100</f>
        <v>8.3029866218568671E-2</v>
      </c>
      <c r="L16" s="191">
        <v>12</v>
      </c>
      <c r="M16" s="191" t="str">
        <f t="shared" si="8"/>
        <v>Vector Lines</v>
      </c>
      <c r="N16" s="192">
        <f>INDEX(Outputs!$B$20:$S$45,MATCH(4,Outputs!$B$20:$B$45,0),MATCH(M16,Outputs!$B$20:$S$20,0))*100-INDEX(Outputs!$B$20:$S$45,MATCH(3,Outputs!$B$20:$B$45,0),MATCH(M16,Outputs!$B$20:$S$20,0))*100</f>
        <v>8.3029866218568671E-2</v>
      </c>
      <c r="P16" s="191">
        <f t="shared" si="9"/>
        <v>13</v>
      </c>
      <c r="Q16" s="191" t="s">
        <v>473</v>
      </c>
      <c r="R16" s="192">
        <f>INDEX(Outputs!$B$20:$S$45,MATCH(6,Outputs!$B$20:$B$45,0),MATCH(Q16,Outputs!$B$20:$S$20,0))*100-INDEX(Outputs!$B$20:$S$45,MATCH(5,Outputs!$B$20:$B$45,0),MATCH(Q16,Outputs!$B$20:$S$20,0))*100</f>
        <v>-1.0097920894622829</v>
      </c>
      <c r="S16" s="191">
        <v>12</v>
      </c>
      <c r="T16" s="191" t="str">
        <f t="shared" si="0"/>
        <v>Electricity Ashburton</v>
      </c>
      <c r="U16" s="192">
        <f>INDEX(Outputs!$B$20:$S$45,MATCH(6,Outputs!$B$20:$B$45,0),MATCH(T16,Outputs!$B$20:$S$20,0))*100-INDEX(Outputs!$B$20:$S$45,MATCH(5,Outputs!$B$20:$B$45,0),MATCH(T16,Outputs!$B$20:$S$20,0))*100</f>
        <v>-0.89665710926055997</v>
      </c>
      <c r="V16" s="134"/>
      <c r="W16" s="191">
        <f t="shared" si="10"/>
        <v>1</v>
      </c>
      <c r="X16" s="191" t="s">
        <v>473</v>
      </c>
      <c r="Y16" s="192">
        <f>INDEX(Outputs!$B$20:$S$45,MATCH(7,Outputs!$B$20:$B$45,0),MATCH(X16,Outputs!$B$20:$S$20,0))*100-INDEX(Outputs!$B$20:$S$45,MATCH(6,Outputs!$B$20:$B$45,0),MATCH(X16,Outputs!$B$20:$S$20,0))*100</f>
        <v>0.24056196212768732</v>
      </c>
      <c r="Z16" s="191">
        <v>12</v>
      </c>
      <c r="AA16" s="191" t="str">
        <f t="shared" si="1"/>
        <v>Electricity Invercargill</v>
      </c>
      <c r="AB16" s="192">
        <f>INDEX(Outputs!$B$20:$S$45,MATCH(7,Outputs!$B$20:$B$45,0),MATCH(AA16,Outputs!$B$20:$S$20,0))*100-INDEX(Outputs!$B$20:$S$45,MATCH(6,Outputs!$B$20:$B$45,0),MATCH(AA16,Outputs!$B$20:$S$20,0))*100</f>
        <v>-7.4765682220459873E-2</v>
      </c>
      <c r="AC16" s="164"/>
      <c r="AD16" s="191">
        <f t="shared" si="11"/>
        <v>13</v>
      </c>
      <c r="AE16" s="191" t="s">
        <v>6</v>
      </c>
      <c r="AF16" s="192">
        <f>INDEX(Outputs!$B$20:$S$45,MATCH(5,Outputs!$B$20:$B$45,0),MATCH(AE16,Outputs!$B$20:$S$20,0))*100-INDEX(Outputs!$B$20:$S$45,MATCH(4,Outputs!$B$20:$B$45,0),MATCH(AE16,Outputs!$B$20:$S$20,0))*100</f>
        <v>6.5951347351074219E-2</v>
      </c>
      <c r="AG16" s="191">
        <v>12</v>
      </c>
      <c r="AH16" s="191" t="str">
        <f t="shared" si="2"/>
        <v>Centralines</v>
      </c>
      <c r="AI16" s="192">
        <f>INDEX(Outputs!$B$20:$S$45,MATCH(5,Outputs!$B$20:$B$45,0),MATCH(AH16,Outputs!$B$20:$S$20,0))*100-INDEX(Outputs!$B$20:$S$45,MATCH(4,Outputs!$B$20:$B$45,0),MATCH(AH16,Outputs!$B$20:$S$20,0))*100</f>
        <v>6.7447423934935635E-2</v>
      </c>
      <c r="AK16" s="191">
        <f t="shared" si="12"/>
        <v>9</v>
      </c>
      <c r="AL16" s="191" t="s">
        <v>6</v>
      </c>
      <c r="AM16" s="192">
        <f>INDEX(Outputs!$B$20:$S$45,MATCH(8,Outputs!$B$20:$B$45,0),MATCH(AL16,Outputs!$B$20:$S$20,0))*100-INDEX(Outputs!$B$20:$S$45,MATCH(7,Outputs!$B$20:$B$45,0),MATCH(AL16,Outputs!$B$20:$S$20,0))*100</f>
        <v>1.3279914855965913E-3</v>
      </c>
      <c r="AN16" s="191">
        <v>12</v>
      </c>
      <c r="AO16" s="191" t="str">
        <f t="shared" si="13"/>
        <v>Alpine Energy</v>
      </c>
      <c r="AP16" s="192">
        <f>INDEX(Outputs!$B$20:$S$45,MATCH(8,Outputs!$B$20:$B$45,0),MATCH(AO16,Outputs!$B$20:$S$20,0))*100-INDEX(Outputs!$B$20:$S$45,MATCH(7,Outputs!$B$20:$B$45,0),MATCH(AO16,Outputs!$B$20:$S$20,0))*100</f>
        <v>-7.3671340942205177E-4</v>
      </c>
      <c r="AQ16" s="4"/>
      <c r="AR16" s="191">
        <f t="shared" si="14"/>
        <v>4</v>
      </c>
      <c r="AS16" s="191" t="s">
        <v>6</v>
      </c>
      <c r="AT16" s="192">
        <f>INDEX(Outputs!$B$20:$S$45,MATCH(24,Outputs!$B$20:$B$45,0),MATCH(AS16,Outputs!$B$20:$S$20,0))*100-INDEX(Outputs!$B$20:$S$45,MATCH(8,Outputs!$B$20:$B$45,0),MATCH(AS16,Outputs!$B$20:$S$20,0))*100</f>
        <v>0</v>
      </c>
      <c r="AU16" s="191">
        <v>12</v>
      </c>
      <c r="AV16" s="191" t="e">
        <f t="shared" si="3"/>
        <v>#N/A</v>
      </c>
      <c r="AW16" s="192" t="e">
        <f>INDEX(Outputs!$B$20:$S$45,MATCH(24,Outputs!$B$20:$B$45,0),MATCH(AV16,Outputs!$B$20:$S$20,0))*100-INDEX(Outputs!$B$20:$S$45,MATCH(8,Outputs!$B$20:$B$45,0),MATCH(AV16,Outputs!$B$20:$S$20,0))*100</f>
        <v>#N/A</v>
      </c>
      <c r="AY16" s="191">
        <f t="shared" si="15"/>
        <v>12</v>
      </c>
      <c r="AZ16" s="191" t="s">
        <v>6</v>
      </c>
      <c r="BA16" s="192">
        <f>(INDEX(Outputs!$B$20:$S$45,MATCH(9,Outputs!$B$20:$B$45,0),MATCH(AZ16,Outputs!$B$20:$S$20,0))*100-INDEX(Outputs!$B$20:$S$45,MATCH(7,Outputs!$B$20:$B$45,0),MATCH(AZ16,Outputs!$B$20:$S$20,0))*100)+(INDEX(Outputs!$B$20:$S$45,MATCH(4,Outputs!$B$20:$B$45,0),MATCH(AZ16,Outputs!$B$20:$S$20,0))*100-INDEX(Outputs!$B$20:$S$45,MATCH(3,Outputs!$B$20:$B$45,0),MATCH(AZ16,Outputs!$B$20:$S$20,0))*100)+(INDEX(Outputs!$B$20:$S$45,MATCH(1,Outputs!$B$20:$B$45,0),MATCH(AZ16,Outputs!$B$20:$S$20,0))*100-8.77%*100)</f>
        <v>-0.27760442018509224</v>
      </c>
      <c r="BB16" s="191">
        <v>12</v>
      </c>
      <c r="BC16" s="191" t="str">
        <f t="shared" si="4"/>
        <v>The Lines Company</v>
      </c>
      <c r="BD16" s="192">
        <f>(INDEX(Outputs!$B$20:$S$45,MATCH(9,Outputs!$B$20:$B$45,0),MATCH(BC16,Outputs!$B$20:$S$20,0))*100-INDEX(Outputs!$B$20:$S$45,MATCH(7,Outputs!$B$20:$B$45,0),MATCH(BC16,Outputs!$B$20:$S$20,0))*100)+(INDEX(Outputs!$B$20:$S$45,MATCH(4,Outputs!$B$20:$B$45,0),MATCH(BC16,Outputs!$B$20:$S$20,0))*100-INDEX(Outputs!$B$20:$S$45,MATCH(3,Outputs!$B$20:$B$45,0),MATCH(BC16,Outputs!$B$20:$S$20,0))*100)+(INDEX(Outputs!$B$20:$S$45,MATCH(1,Outputs!$B$20:$B$45,0),MATCH(BC16,Outputs!$B$20:$S$20,0))*100-8.77%*100)</f>
        <v>-0.27760442018509224</v>
      </c>
      <c r="BE16" s="4"/>
    </row>
    <row r="17" spans="1:57" x14ac:dyDescent="0.25">
      <c r="A17" s="134"/>
      <c r="B17" s="191">
        <f t="shared" si="5"/>
        <v>10</v>
      </c>
      <c r="C17" s="191" t="s">
        <v>112</v>
      </c>
      <c r="D17" s="192">
        <f>INDEX(Outputs!$B$20:$S$45,MATCH(2,Outputs!$B$20:$B$45,0),MATCH(C17,Outputs!$B$20:$S$20,0))*100-INDEX(Outputs!$B$20:$S$45,MATCH(1,Outputs!$B$20:$B$45,0),MATCH(C17,Outputs!$B$20:$S$20,0))*100</f>
        <v>-1.4622431993484533</v>
      </c>
      <c r="E17" s="191">
        <v>13</v>
      </c>
      <c r="F17" s="191" t="str">
        <f t="shared" si="6"/>
        <v>Electricity Ashburton</v>
      </c>
      <c r="G17" s="192">
        <f>INDEX(Outputs!$B$20:$S$45,MATCH(2,Outputs!$B$20:$B$45,0),MATCH(F17,Outputs!$B$20:$S$20,0))*100-INDEX(Outputs!$B$20:$S$45,MATCH(1,Outputs!$B$20:$B$45,0),MATCH(F17,Outputs!$B$20:$S$20,0))*100</f>
        <v>-1.480155587196351</v>
      </c>
      <c r="H17" s="4"/>
      <c r="I17" s="191">
        <f t="shared" si="7"/>
        <v>14</v>
      </c>
      <c r="J17" s="191" t="s">
        <v>6</v>
      </c>
      <c r="K17" s="192">
        <f>INDEX(Outputs!$B$20:$S$45,MATCH(4,Outputs!$B$20:$B$45,0),MATCH(J17,Outputs!$B$20:$S$20,0))*100-INDEX(Outputs!$B$20:$S$45,MATCH(3,Outputs!$B$20:$B$45,0),MATCH(J17,Outputs!$B$20:$S$20,0))*100</f>
        <v>-9.6422433853176059E-3</v>
      </c>
      <c r="L17" s="191">
        <v>13</v>
      </c>
      <c r="M17" s="191" t="str">
        <f t="shared" si="8"/>
        <v>Powerco</v>
      </c>
      <c r="N17" s="192">
        <f>INDEX(Outputs!$B$20:$S$45,MATCH(4,Outputs!$B$20:$B$45,0),MATCH(M17,Outputs!$B$20:$S$20,0))*100-INDEX(Outputs!$B$20:$S$45,MATCH(3,Outputs!$B$20:$B$45,0),MATCH(M17,Outputs!$B$20:$S$20,0))*100</f>
        <v>3.9873719215395731E-2</v>
      </c>
      <c r="P17" s="191">
        <f t="shared" si="9"/>
        <v>15</v>
      </c>
      <c r="Q17" s="191" t="s">
        <v>105</v>
      </c>
      <c r="R17" s="192">
        <f>INDEX(Outputs!$B$20:$S$45,MATCH(6,Outputs!$B$20:$B$45,0),MATCH(Q17,Outputs!$B$20:$S$20,0))*100-INDEX(Outputs!$B$20:$S$45,MATCH(5,Outputs!$B$20:$B$45,0),MATCH(Q17,Outputs!$B$20:$S$20,0))*100</f>
        <v>-1.4408522844314575</v>
      </c>
      <c r="S17" s="191">
        <v>13</v>
      </c>
      <c r="T17" s="191" t="str">
        <f t="shared" si="0"/>
        <v>Unison Networks</v>
      </c>
      <c r="U17" s="192">
        <f>INDEX(Outputs!$B$20:$S$45,MATCH(6,Outputs!$B$20:$B$45,0),MATCH(T17,Outputs!$B$20:$S$20,0))*100-INDEX(Outputs!$B$20:$S$45,MATCH(5,Outputs!$B$20:$B$45,0),MATCH(T17,Outputs!$B$20:$S$20,0))*100</f>
        <v>-1.0097920894622829</v>
      </c>
      <c r="V17" s="134"/>
      <c r="W17" s="191">
        <f t="shared" si="10"/>
        <v>5</v>
      </c>
      <c r="X17" s="191" t="s">
        <v>472</v>
      </c>
      <c r="Y17" s="192">
        <f>INDEX(Outputs!$B$20:$S$45,MATCH(7,Outputs!$B$20:$B$45,0),MATCH(X17,Outputs!$B$20:$S$20,0))*100-INDEX(Outputs!$B$20:$S$45,MATCH(6,Outputs!$B$20:$B$45,0),MATCH(X17,Outputs!$B$20:$S$20,0))*100</f>
        <v>9.1876387596130371E-2</v>
      </c>
      <c r="Z17" s="191">
        <v>13</v>
      </c>
      <c r="AA17" s="191" t="str">
        <f t="shared" si="1"/>
        <v>Horizon Energy</v>
      </c>
      <c r="AB17" s="192">
        <f>INDEX(Outputs!$B$20:$S$45,MATCH(7,Outputs!$B$20:$B$45,0),MATCH(AA17,Outputs!$B$20:$S$20,0))*100-INDEX(Outputs!$B$20:$S$45,MATCH(6,Outputs!$B$20:$B$45,0),MATCH(AA17,Outputs!$B$20:$S$20,0))*100</f>
        <v>-0.27437031269073575</v>
      </c>
      <c r="AC17" s="165"/>
      <c r="AD17" s="191">
        <f t="shared" si="11"/>
        <v>3</v>
      </c>
      <c r="AE17" s="191" t="s">
        <v>112</v>
      </c>
      <c r="AF17" s="192">
        <f>INDEX(Outputs!$B$20:$S$45,MATCH(5,Outputs!$B$20:$B$45,0),MATCH(AE17,Outputs!$B$20:$S$20,0))*100-INDEX(Outputs!$B$20:$S$45,MATCH(4,Outputs!$B$20:$B$45,0),MATCH(AE17,Outputs!$B$20:$S$20,0))*100</f>
        <v>9.2382431030271661E-2</v>
      </c>
      <c r="AG17" s="191">
        <v>13</v>
      </c>
      <c r="AH17" s="191" t="str">
        <f t="shared" si="2"/>
        <v>The Lines Company</v>
      </c>
      <c r="AI17" s="192">
        <f>INDEX(Outputs!$B$20:$S$45,MATCH(5,Outputs!$B$20:$B$45,0),MATCH(AH17,Outputs!$B$20:$S$20,0))*100-INDEX(Outputs!$B$20:$S$45,MATCH(4,Outputs!$B$20:$B$45,0),MATCH(AH17,Outputs!$B$20:$S$20,0))*100</f>
        <v>6.5951347351074219E-2</v>
      </c>
      <c r="AK17" s="191">
        <f t="shared" si="12"/>
        <v>11</v>
      </c>
      <c r="AL17" s="191" t="s">
        <v>112</v>
      </c>
      <c r="AM17" s="192">
        <f>INDEX(Outputs!$B$20:$S$45,MATCH(8,Outputs!$B$20:$B$45,0),MATCH(AL17,Outputs!$B$20:$S$20,0))*100-INDEX(Outputs!$B$20:$S$45,MATCH(7,Outputs!$B$20:$B$45,0),MATCH(AL17,Outputs!$B$20:$S$20,0))*100</f>
        <v>1.2528896331795991E-3</v>
      </c>
      <c r="AN17" s="191">
        <v>13</v>
      </c>
      <c r="AO17" s="191" t="str">
        <f t="shared" si="13"/>
        <v>Eastland Network</v>
      </c>
      <c r="AP17" s="192">
        <f>INDEX(Outputs!$B$20:$S$45,MATCH(8,Outputs!$B$20:$B$45,0),MATCH(AO17,Outputs!$B$20:$S$20,0))*100-INDEX(Outputs!$B$20:$S$45,MATCH(7,Outputs!$B$20:$B$45,0),MATCH(AO17,Outputs!$B$20:$S$20,0))*100</f>
        <v>-6.3884258270263672E-3</v>
      </c>
      <c r="AQ17" s="4"/>
      <c r="AR17" s="191">
        <f t="shared" si="14"/>
        <v>4</v>
      </c>
      <c r="AS17" s="191" t="s">
        <v>112</v>
      </c>
      <c r="AT17" s="192">
        <f>INDEX(Outputs!$B$20:$S$45,MATCH(24,Outputs!$B$20:$B$45,0),MATCH(AS17,Outputs!$B$20:$S$20,0))*100-INDEX(Outputs!$B$20:$S$45,MATCH(8,Outputs!$B$20:$B$45,0),MATCH(AS17,Outputs!$B$20:$S$20,0))*100</f>
        <v>0</v>
      </c>
      <c r="AU17" s="191">
        <v>13</v>
      </c>
      <c r="AV17" s="191" t="e">
        <f t="shared" si="3"/>
        <v>#N/A</v>
      </c>
      <c r="AW17" s="192" t="e">
        <f>INDEX(Outputs!$B$20:$S$45,MATCH(24,Outputs!$B$20:$B$45,0),MATCH(AV17,Outputs!$B$20:$S$20,0))*100-INDEX(Outputs!$B$20:$S$45,MATCH(8,Outputs!$B$20:$B$45,0),MATCH(AV17,Outputs!$B$20:$S$20,0))*100</f>
        <v>#N/A</v>
      </c>
      <c r="AY17" s="191">
        <f t="shared" si="15"/>
        <v>11</v>
      </c>
      <c r="AZ17" s="191" t="s">
        <v>112</v>
      </c>
      <c r="BA17" s="192">
        <f>(INDEX(Outputs!$B$20:$S$45,MATCH(9,Outputs!$B$20:$B$45,0),MATCH(AZ17,Outputs!$B$20:$S$20,0))*100-INDEX(Outputs!$B$20:$S$45,MATCH(7,Outputs!$B$20:$B$45,0),MATCH(AZ17,Outputs!$B$20:$S$20,0))*100)+(INDEX(Outputs!$B$20:$S$45,MATCH(4,Outputs!$B$20:$B$45,0),MATCH(AZ17,Outputs!$B$20:$S$20,0))*100-INDEX(Outputs!$B$20:$S$45,MATCH(3,Outputs!$B$20:$B$45,0),MATCH(AZ17,Outputs!$B$20:$S$20,0))*100)+(INDEX(Outputs!$B$20:$S$45,MATCH(1,Outputs!$B$20:$B$45,0),MATCH(AZ17,Outputs!$B$20:$S$20,0))*100-8.77%*100)</f>
        <v>-0.27165885686873992</v>
      </c>
      <c r="BB17" s="191">
        <v>13</v>
      </c>
      <c r="BC17" s="191" t="str">
        <f t="shared" si="4"/>
        <v>Centralines</v>
      </c>
      <c r="BD17" s="192">
        <f>(INDEX(Outputs!$B$20:$S$45,MATCH(9,Outputs!$B$20:$B$45,0),MATCH(BC17,Outputs!$B$20:$S$20,0))*100-INDEX(Outputs!$B$20:$S$45,MATCH(7,Outputs!$B$20:$B$45,0),MATCH(BC17,Outputs!$B$20:$S$20,0))*100)+(INDEX(Outputs!$B$20:$S$45,MATCH(4,Outputs!$B$20:$B$45,0),MATCH(BC17,Outputs!$B$20:$S$20,0))*100-INDEX(Outputs!$B$20:$S$45,MATCH(3,Outputs!$B$20:$B$45,0),MATCH(BC17,Outputs!$B$20:$S$20,0))*100)+(INDEX(Outputs!$B$20:$S$45,MATCH(1,Outputs!$B$20:$B$45,0),MATCH(BC17,Outputs!$B$20:$S$20,0))*100-8.77%*100)</f>
        <v>-0.30159409761428524</v>
      </c>
      <c r="BE17" s="4"/>
    </row>
    <row r="18" spans="1:57" x14ac:dyDescent="0.25">
      <c r="A18" s="134"/>
      <c r="B18" s="191">
        <f t="shared" si="5"/>
        <v>12</v>
      </c>
      <c r="C18" s="191" t="s">
        <v>473</v>
      </c>
      <c r="D18" s="192">
        <f>INDEX(Outputs!$B$20:$S$45,MATCH(2,Outputs!$B$20:$B$45,0),MATCH(C18,Outputs!$B$20:$S$20,0))*100-INDEX(Outputs!$B$20:$S$45,MATCH(1,Outputs!$B$20:$B$45,0),MATCH(C18,Outputs!$B$20:$S$20,0))*100</f>
        <v>-1.4729875326156616</v>
      </c>
      <c r="E18" s="191">
        <v>14</v>
      </c>
      <c r="F18" s="191" t="str">
        <f t="shared" si="6"/>
        <v>The Lines Company</v>
      </c>
      <c r="G18" s="192">
        <f>INDEX(Outputs!$B$20:$S$45,MATCH(2,Outputs!$B$20:$B$45,0),MATCH(F18,Outputs!$B$20:$S$20,0))*100-INDEX(Outputs!$B$20:$S$45,MATCH(1,Outputs!$B$20:$B$45,0),MATCH(F18,Outputs!$B$20:$S$20,0))*100</f>
        <v>-1.5134376287460318</v>
      </c>
      <c r="H18" s="4"/>
      <c r="I18" s="191">
        <f t="shared" si="7"/>
        <v>15</v>
      </c>
      <c r="J18" s="191" t="s">
        <v>474</v>
      </c>
      <c r="K18" s="192">
        <f>INDEX(Outputs!$B$20:$S$45,MATCH(4,Outputs!$B$20:$B$45,0),MATCH(J18,Outputs!$B$20:$S$20,0))*100-INDEX(Outputs!$B$20:$S$45,MATCH(3,Outputs!$B$20:$B$45,0),MATCH(J18,Outputs!$B$20:$S$20,0))*100</f>
        <v>-0.13583064079284757</v>
      </c>
      <c r="L18" s="191">
        <v>14</v>
      </c>
      <c r="M18" s="191" t="str">
        <f t="shared" si="8"/>
        <v>The Lines Company</v>
      </c>
      <c r="N18" s="192">
        <f>INDEX(Outputs!$B$20:$S$45,MATCH(4,Outputs!$B$20:$B$45,0),MATCH(M18,Outputs!$B$20:$S$20,0))*100-INDEX(Outputs!$B$20:$S$45,MATCH(3,Outputs!$B$20:$B$45,0),MATCH(M18,Outputs!$B$20:$S$20,0))*100</f>
        <v>-9.6422433853176059E-3</v>
      </c>
      <c r="P18" s="191">
        <f t="shared" si="9"/>
        <v>12</v>
      </c>
      <c r="Q18" s="191" t="s">
        <v>4</v>
      </c>
      <c r="R18" s="192">
        <f>INDEX(Outputs!$B$20:$S$45,MATCH(6,Outputs!$B$20:$B$45,0),MATCH(Q18,Outputs!$B$20:$S$20,0))*100-INDEX(Outputs!$B$20:$S$45,MATCH(5,Outputs!$B$20:$B$45,0),MATCH(Q18,Outputs!$B$20:$S$20,0))*100</f>
        <v>-0.89665710926055997</v>
      </c>
      <c r="S18" s="191">
        <v>14</v>
      </c>
      <c r="T18" s="191" t="str">
        <f t="shared" si="0"/>
        <v>OtagoNet</v>
      </c>
      <c r="U18" s="192">
        <f>INDEX(Outputs!$B$20:$S$45,MATCH(6,Outputs!$B$20:$B$45,0),MATCH(T18,Outputs!$B$20:$S$20,0))*100-INDEX(Outputs!$B$20:$S$45,MATCH(5,Outputs!$B$20:$B$45,0),MATCH(T18,Outputs!$B$20:$S$20,0))*100</f>
        <v>-1.1261647939682033</v>
      </c>
      <c r="V18" s="134"/>
      <c r="W18" s="191">
        <f t="shared" si="10"/>
        <v>3</v>
      </c>
      <c r="X18" s="191" t="s">
        <v>113</v>
      </c>
      <c r="Y18" s="192">
        <f>INDEX(Outputs!$B$20:$S$45,MATCH(7,Outputs!$B$20:$B$45,0),MATCH(X18,Outputs!$B$20:$S$20,0))*100-INDEX(Outputs!$B$20:$S$45,MATCH(6,Outputs!$B$20:$B$45,0),MATCH(X18,Outputs!$B$20:$S$20,0))*100</f>
        <v>0.17794072628021418</v>
      </c>
      <c r="Z18" s="191">
        <v>14</v>
      </c>
      <c r="AA18" s="191" t="str">
        <f t="shared" si="1"/>
        <v>Electricity Ashburton</v>
      </c>
      <c r="AB18" s="192">
        <f>INDEX(Outputs!$B$20:$S$45,MATCH(7,Outputs!$B$20:$B$45,0),MATCH(AA18,Outputs!$B$20:$S$20,0))*100-INDEX(Outputs!$B$20:$S$45,MATCH(6,Outputs!$B$20:$B$45,0),MATCH(AA18,Outputs!$B$20:$S$20,0))*100</f>
        <v>-0.55401623249054044</v>
      </c>
      <c r="AC18" s="164"/>
      <c r="AD18" s="191">
        <f t="shared" si="11"/>
        <v>8</v>
      </c>
      <c r="AE18" s="191" t="s">
        <v>473</v>
      </c>
      <c r="AF18" s="192">
        <f>INDEX(Outputs!$B$20:$S$45,MATCH(5,Outputs!$B$20:$B$45,0),MATCH(AE18,Outputs!$B$20:$S$20,0))*100-INDEX(Outputs!$B$20:$S$45,MATCH(4,Outputs!$B$20:$B$45,0),MATCH(AE18,Outputs!$B$20:$S$20,0))*100</f>
        <v>7.4238181114195889E-2</v>
      </c>
      <c r="AG18" s="191">
        <v>14</v>
      </c>
      <c r="AH18" s="191" t="str">
        <f t="shared" si="2"/>
        <v>Vector Lines</v>
      </c>
      <c r="AI18" s="192">
        <f>INDEX(Outputs!$B$20:$S$45,MATCH(5,Outputs!$B$20:$B$45,0),MATCH(AH18,Outputs!$B$20:$S$20,0))*100-INDEX(Outputs!$B$20:$S$45,MATCH(4,Outputs!$B$20:$B$45,0),MATCH(AH18,Outputs!$B$20:$S$20,0))*100</f>
        <v>6.0265660285947931E-2</v>
      </c>
      <c r="AK18" s="191">
        <f t="shared" si="12"/>
        <v>1</v>
      </c>
      <c r="AL18" s="191" t="s">
        <v>473</v>
      </c>
      <c r="AM18" s="192">
        <f>INDEX(Outputs!$B$20:$S$45,MATCH(8,Outputs!$B$20:$B$45,0),MATCH(AL18,Outputs!$B$20:$S$20,0))*100-INDEX(Outputs!$B$20:$S$45,MATCH(7,Outputs!$B$20:$B$45,0),MATCH(AL18,Outputs!$B$20:$S$20,0))*100</f>
        <v>4.6066641807554376E-2</v>
      </c>
      <c r="AN18" s="191">
        <v>14</v>
      </c>
      <c r="AO18" s="191" t="str">
        <f t="shared" si="13"/>
        <v>Vector Lines</v>
      </c>
      <c r="AP18" s="192">
        <f>INDEX(Outputs!$B$20:$S$45,MATCH(8,Outputs!$B$20:$B$45,0),MATCH(AO18,Outputs!$B$20:$S$20,0))*100-INDEX(Outputs!$B$20:$S$45,MATCH(7,Outputs!$B$20:$B$45,0),MATCH(AO18,Outputs!$B$20:$S$20,0))*100</f>
        <v>-7.9238414764413179E-3</v>
      </c>
      <c r="AQ18" s="4"/>
      <c r="AR18" s="191">
        <f t="shared" si="14"/>
        <v>4</v>
      </c>
      <c r="AS18" s="191" t="s">
        <v>473</v>
      </c>
      <c r="AT18" s="192">
        <f>INDEX(Outputs!$B$20:$S$45,MATCH(24,Outputs!$B$20:$B$45,0),MATCH(AS18,Outputs!$B$20:$S$20,0))*100-INDEX(Outputs!$B$20:$S$45,MATCH(8,Outputs!$B$20:$B$45,0),MATCH(AS18,Outputs!$B$20:$S$20,0))*100</f>
        <v>0</v>
      </c>
      <c r="AU18" s="191">
        <v>14</v>
      </c>
      <c r="AV18" s="191" t="e">
        <f t="shared" si="3"/>
        <v>#N/A</v>
      </c>
      <c r="AW18" s="192" t="e">
        <f>INDEX(Outputs!$B$20:$S$45,MATCH(24,Outputs!$B$20:$B$45,0),MATCH(AV18,Outputs!$B$20:$S$20,0))*100-INDEX(Outputs!$B$20:$S$45,MATCH(8,Outputs!$B$20:$B$45,0),MATCH(AV18,Outputs!$B$20:$S$20,0))*100</f>
        <v>#N/A</v>
      </c>
      <c r="AY18" s="191">
        <f t="shared" si="15"/>
        <v>7</v>
      </c>
      <c r="AZ18" s="191" t="s">
        <v>473</v>
      </c>
      <c r="BA18" s="192">
        <f>(INDEX(Outputs!$B$20:$S$45,MATCH(9,Outputs!$B$20:$B$45,0),MATCH(AZ18,Outputs!$B$20:$S$20,0))*100-INDEX(Outputs!$B$20:$S$45,MATCH(7,Outputs!$B$20:$B$45,0),MATCH(AZ18,Outputs!$B$20:$S$20,0))*100)+(INDEX(Outputs!$B$20:$S$45,MATCH(4,Outputs!$B$20:$B$45,0),MATCH(AZ18,Outputs!$B$20:$S$20,0))*100-INDEX(Outputs!$B$20:$S$45,MATCH(3,Outputs!$B$20:$B$45,0),MATCH(AZ18,Outputs!$B$20:$S$20,0))*100)+(INDEX(Outputs!$B$20:$S$45,MATCH(1,Outputs!$B$20:$B$45,0),MATCH(AZ18,Outputs!$B$20:$S$20,0))*100-8.77%*100)</f>
        <v>-7.0422482490517524E-3</v>
      </c>
      <c r="BB18" s="191">
        <v>14</v>
      </c>
      <c r="BC18" s="191" t="str">
        <f t="shared" si="4"/>
        <v>Vector Lines</v>
      </c>
      <c r="BD18" s="192">
        <f>(INDEX(Outputs!$B$20:$S$45,MATCH(9,Outputs!$B$20:$B$45,0),MATCH(BC18,Outputs!$B$20:$S$20,0))*100-INDEX(Outputs!$B$20:$S$45,MATCH(7,Outputs!$B$20:$B$45,0),MATCH(BC18,Outputs!$B$20:$S$20,0))*100)+(INDEX(Outputs!$B$20:$S$45,MATCH(4,Outputs!$B$20:$B$45,0),MATCH(BC18,Outputs!$B$20:$S$20,0))*100-INDEX(Outputs!$B$20:$S$45,MATCH(3,Outputs!$B$20:$B$45,0),MATCH(BC18,Outputs!$B$20:$S$20,0))*100)+(INDEX(Outputs!$B$20:$S$45,MATCH(1,Outputs!$B$20:$B$45,0),MATCH(BC18,Outputs!$B$20:$S$20,0))*100-8.77%*100)</f>
        <v>-0.30282254934310693</v>
      </c>
      <c r="BE18" s="4"/>
    </row>
    <row r="19" spans="1:57" x14ac:dyDescent="0.25">
      <c r="A19" s="134"/>
      <c r="B19" s="191">
        <f t="shared" si="5"/>
        <v>9</v>
      </c>
      <c r="C19" s="191" t="s">
        <v>472</v>
      </c>
      <c r="D19" s="192">
        <f>INDEX(Outputs!$B$20:$S$45,MATCH(2,Outputs!$B$20:$B$45,0),MATCH(C19,Outputs!$B$20:$S$20,0))*100-INDEX(Outputs!$B$20:$S$45,MATCH(1,Outputs!$B$20:$B$45,0),MATCH(C19,Outputs!$B$20:$S$20,0))*100</f>
        <v>-1.4562499523162806</v>
      </c>
      <c r="E19" s="191">
        <v>15</v>
      </c>
      <c r="F19" s="191" t="str">
        <f t="shared" si="6"/>
        <v>Nelson Electricity</v>
      </c>
      <c r="G19" s="192">
        <f>INDEX(Outputs!$B$20:$S$45,MATCH(2,Outputs!$B$20:$B$45,0),MATCH(F19,Outputs!$B$20:$S$20,0))*100-INDEX(Outputs!$B$20:$S$45,MATCH(1,Outputs!$B$20:$B$45,0),MATCH(F19,Outputs!$B$20:$S$20,0))*100</f>
        <v>-1.5309518575668317</v>
      </c>
      <c r="H19" s="4"/>
      <c r="I19" s="191">
        <f t="shared" si="7"/>
        <v>10</v>
      </c>
      <c r="J19" s="191" t="s">
        <v>4</v>
      </c>
      <c r="K19" s="192">
        <f>INDEX(Outputs!$B$20:$S$45,MATCH(4,Outputs!$B$20:$B$45,0),MATCH(J19,Outputs!$B$20:$S$20,0))*100-INDEX(Outputs!$B$20:$S$45,MATCH(3,Outputs!$B$20:$B$45,0),MATCH(J19,Outputs!$B$20:$S$20,0))*100</f>
        <v>0.15510499477386475</v>
      </c>
      <c r="L19" s="191">
        <v>15</v>
      </c>
      <c r="M19" s="191" t="str">
        <f t="shared" si="8"/>
        <v>Eastland Network</v>
      </c>
      <c r="N19" s="192">
        <f>INDEX(Outputs!$B$20:$S$45,MATCH(4,Outputs!$B$20:$B$45,0),MATCH(M19,Outputs!$B$20:$S$20,0))*100-INDEX(Outputs!$B$20:$S$45,MATCH(3,Outputs!$B$20:$B$45,0),MATCH(M19,Outputs!$B$20:$S$20,0))*100</f>
        <v>-0.13583064079284757</v>
      </c>
      <c r="P19" s="191">
        <f t="shared" si="9"/>
        <v>14</v>
      </c>
      <c r="Q19" s="191" t="s">
        <v>110</v>
      </c>
      <c r="R19" s="192">
        <f>INDEX(Outputs!$B$20:$S$45,MATCH(6,Outputs!$B$20:$B$45,0),MATCH(Q19,Outputs!$B$20:$S$20,0))*100-INDEX(Outputs!$B$20:$S$45,MATCH(5,Outputs!$B$20:$B$45,0),MATCH(Q19,Outputs!$B$20:$S$20,0))*100</f>
        <v>-1.1261647939682033</v>
      </c>
      <c r="S19" s="191">
        <v>15</v>
      </c>
      <c r="T19" s="191" t="str">
        <f t="shared" si="0"/>
        <v>Alpine Energy</v>
      </c>
      <c r="U19" s="192">
        <f>INDEX(Outputs!$B$20:$S$45,MATCH(6,Outputs!$B$20:$B$45,0),MATCH(T19,Outputs!$B$20:$S$20,0))*100-INDEX(Outputs!$B$20:$S$45,MATCH(5,Outputs!$B$20:$B$45,0),MATCH(T19,Outputs!$B$20:$S$20,0))*100</f>
        <v>-1.4408522844314575</v>
      </c>
      <c r="V19" s="134"/>
      <c r="W19" s="191">
        <f t="shared" si="10"/>
        <v>6</v>
      </c>
      <c r="X19" s="191" t="s">
        <v>106</v>
      </c>
      <c r="Y19" s="192">
        <f>INDEX(Outputs!$B$20:$S$45,MATCH(7,Outputs!$B$20:$B$45,0),MATCH(X19,Outputs!$B$20:$S$20,0))*100-INDEX(Outputs!$B$20:$S$45,MATCH(6,Outputs!$B$20:$B$45,0),MATCH(X19,Outputs!$B$20:$S$20,0))*100</f>
        <v>8.9458227157593662E-2</v>
      </c>
      <c r="Z19" s="191">
        <v>15</v>
      </c>
      <c r="AA19" s="191" t="str">
        <f t="shared" si="1"/>
        <v>Top Energy</v>
      </c>
      <c r="AB19" s="192">
        <f>INDEX(Outputs!$B$20:$S$45,MATCH(7,Outputs!$B$20:$B$45,0),MATCH(AA19,Outputs!$B$20:$S$20,0))*100-INDEX(Outputs!$B$20:$S$45,MATCH(6,Outputs!$B$20:$B$45,0),MATCH(AA19,Outputs!$B$20:$S$20,0))*100</f>
        <v>-0.5934333801269549</v>
      </c>
      <c r="AC19" s="164"/>
      <c r="AD19" s="191">
        <f t="shared" si="11"/>
        <v>14</v>
      </c>
      <c r="AE19" s="191" t="s">
        <v>472</v>
      </c>
      <c r="AF19" s="192">
        <f>INDEX(Outputs!$B$20:$S$45,MATCH(5,Outputs!$B$20:$B$45,0),MATCH(AE19,Outputs!$B$20:$S$20,0))*100-INDEX(Outputs!$B$20:$S$45,MATCH(4,Outputs!$B$20:$B$45,0),MATCH(AE19,Outputs!$B$20:$S$20,0))*100</f>
        <v>6.0265660285947931E-2</v>
      </c>
      <c r="AG19" s="191">
        <v>15</v>
      </c>
      <c r="AH19" s="191" t="str">
        <f t="shared" si="2"/>
        <v>OtagoNet</v>
      </c>
      <c r="AI19" s="192">
        <f>INDEX(Outputs!$B$20:$S$45,MATCH(5,Outputs!$B$20:$B$45,0),MATCH(AH19,Outputs!$B$20:$S$20,0))*100-INDEX(Outputs!$B$20:$S$45,MATCH(4,Outputs!$B$20:$B$45,0),MATCH(AH19,Outputs!$B$20:$S$20,0))*100</f>
        <v>5.0694346427915704E-2</v>
      </c>
      <c r="AK19" s="191">
        <f t="shared" si="12"/>
        <v>14</v>
      </c>
      <c r="AL19" s="191" t="s">
        <v>472</v>
      </c>
      <c r="AM19" s="192">
        <f>INDEX(Outputs!$B$20:$S$45,MATCH(8,Outputs!$B$20:$B$45,0),MATCH(AL19,Outputs!$B$20:$S$20,0))*100-INDEX(Outputs!$B$20:$S$45,MATCH(7,Outputs!$B$20:$B$45,0),MATCH(AL19,Outputs!$B$20:$S$20,0))*100</f>
        <v>-7.9238414764413179E-3</v>
      </c>
      <c r="AN19" s="191">
        <v>15</v>
      </c>
      <c r="AO19" s="191" t="str">
        <f t="shared" si="13"/>
        <v>Centralines</v>
      </c>
      <c r="AP19" s="192">
        <f>INDEX(Outputs!$B$20:$S$45,MATCH(8,Outputs!$B$20:$B$45,0),MATCH(AO19,Outputs!$B$20:$S$20,0))*100-INDEX(Outputs!$B$20:$S$45,MATCH(7,Outputs!$B$20:$B$45,0),MATCH(AO19,Outputs!$B$20:$S$20,0))*100</f>
        <v>-8.1408023834237397E-3</v>
      </c>
      <c r="AQ19" s="4"/>
      <c r="AR19" s="191">
        <f t="shared" si="14"/>
        <v>4</v>
      </c>
      <c r="AS19" s="191" t="s">
        <v>472</v>
      </c>
      <c r="AT19" s="192">
        <f>INDEX(Outputs!$B$20:$S$45,MATCH(24,Outputs!$B$20:$B$45,0),MATCH(AS19,Outputs!$B$20:$S$20,0))*100-INDEX(Outputs!$B$20:$S$45,MATCH(8,Outputs!$B$20:$B$45,0),MATCH(AS19,Outputs!$B$20:$S$20,0))*100</f>
        <v>0</v>
      </c>
      <c r="AU19" s="191">
        <v>15</v>
      </c>
      <c r="AV19" s="191" t="e">
        <f t="shared" si="3"/>
        <v>#N/A</v>
      </c>
      <c r="AW19" s="192" t="e">
        <f>INDEX(Outputs!$B$20:$S$45,MATCH(24,Outputs!$B$20:$B$45,0),MATCH(AV19,Outputs!$B$20:$S$20,0))*100-INDEX(Outputs!$B$20:$S$45,MATCH(8,Outputs!$B$20:$B$45,0),MATCH(AV19,Outputs!$B$20:$S$20,0))*100</f>
        <v>#N/A</v>
      </c>
      <c r="AY19" s="191">
        <f t="shared" si="15"/>
        <v>14</v>
      </c>
      <c r="AZ19" s="191" t="s">
        <v>472</v>
      </c>
      <c r="BA19" s="192">
        <f>(INDEX(Outputs!$B$20:$S$45,MATCH(9,Outputs!$B$20:$B$45,0),MATCH(AZ19,Outputs!$B$20:$S$20,0))*100-INDEX(Outputs!$B$20:$S$45,MATCH(7,Outputs!$B$20:$B$45,0),MATCH(AZ19,Outputs!$B$20:$S$20,0))*100)+(INDEX(Outputs!$B$20:$S$45,MATCH(4,Outputs!$B$20:$B$45,0),MATCH(AZ19,Outputs!$B$20:$S$20,0))*100-INDEX(Outputs!$B$20:$S$45,MATCH(3,Outputs!$B$20:$B$45,0),MATCH(AZ19,Outputs!$B$20:$S$20,0))*100)+(INDEX(Outputs!$B$20:$S$45,MATCH(1,Outputs!$B$20:$B$45,0),MATCH(AZ19,Outputs!$B$20:$S$20,0))*100-8.77%*100)</f>
        <v>-0.30282254934310693</v>
      </c>
      <c r="BB19" s="191">
        <v>15</v>
      </c>
      <c r="BC19" s="191" t="str">
        <f t="shared" si="4"/>
        <v>Horizon Energy</v>
      </c>
      <c r="BD19" s="192">
        <f>(INDEX(Outputs!$B$20:$S$45,MATCH(9,Outputs!$B$20:$B$45,0),MATCH(BC19,Outputs!$B$20:$S$20,0))*100-INDEX(Outputs!$B$20:$S$45,MATCH(7,Outputs!$B$20:$B$45,0),MATCH(BC19,Outputs!$B$20:$S$20,0))*100)+(INDEX(Outputs!$B$20:$S$45,MATCH(4,Outputs!$B$20:$B$45,0),MATCH(BC19,Outputs!$B$20:$S$20,0))*100-INDEX(Outputs!$B$20:$S$45,MATCH(3,Outputs!$B$20:$B$45,0),MATCH(BC19,Outputs!$B$20:$S$20,0))*100)+(INDEX(Outputs!$B$20:$S$45,MATCH(1,Outputs!$B$20:$B$45,0),MATCH(BC19,Outputs!$B$20:$S$20,0))*100-8.77%*100)</f>
        <v>-0.50996418714523628</v>
      </c>
      <c r="BE19" s="4"/>
    </row>
    <row r="20" spans="1:57" x14ac:dyDescent="0.25">
      <c r="A20" s="134"/>
      <c r="B20" s="191">
        <f t="shared" si="5"/>
        <v>1</v>
      </c>
      <c r="C20" s="191" t="s">
        <v>113</v>
      </c>
      <c r="D20" s="192">
        <f>INDEX(Outputs!$B$20:$S$45,MATCH(2,Outputs!$B$20:$B$45,0),MATCH(C20,Outputs!$B$20:$S$20,0))*100-INDEX(Outputs!$B$20:$S$45,MATCH(1,Outputs!$B$20:$B$45,0),MATCH(C20,Outputs!$B$20:$S$20,0))*100</f>
        <v>-1.3350152969360369</v>
      </c>
      <c r="E20" s="191">
        <v>16</v>
      </c>
      <c r="F20" s="191" t="str">
        <f t="shared" si="6"/>
        <v>Aurora Energy</v>
      </c>
      <c r="G20" s="192">
        <f>INDEX(Outputs!$B$20:$S$45,MATCH(2,Outputs!$B$20:$B$45,0),MATCH(F20,Outputs!$B$20:$S$20,0))*100-INDEX(Outputs!$B$20:$S$45,MATCH(1,Outputs!$B$20:$B$45,0),MATCH(F20,Outputs!$B$20:$S$20,0))*100</f>
        <v>-1.5535056591033918</v>
      </c>
      <c r="H20" s="4"/>
      <c r="I20" s="191">
        <f t="shared" si="7"/>
        <v>16</v>
      </c>
      <c r="J20" s="191" t="s">
        <v>106</v>
      </c>
      <c r="K20" s="192">
        <f>INDEX(Outputs!$B$20:$S$45,MATCH(4,Outputs!$B$20:$B$45,0),MATCH(J20,Outputs!$B$20:$S$20,0))*100-INDEX(Outputs!$B$20:$S$45,MATCH(3,Outputs!$B$20:$B$45,0),MATCH(J20,Outputs!$B$20:$S$20,0))*100</f>
        <v>-0.19282758235931041</v>
      </c>
      <c r="L20" s="191">
        <v>16</v>
      </c>
      <c r="M20" s="191" t="str">
        <f t="shared" si="8"/>
        <v>Centralines</v>
      </c>
      <c r="N20" s="192">
        <f>INDEX(Outputs!$B$20:$S$45,MATCH(4,Outputs!$B$20:$B$45,0),MATCH(M20,Outputs!$B$20:$S$20,0))*100-INDEX(Outputs!$B$20:$S$45,MATCH(3,Outputs!$B$20:$B$45,0),MATCH(M20,Outputs!$B$20:$S$20,0))*100</f>
        <v>-0.19282758235931041</v>
      </c>
      <c r="P20" s="191">
        <f t="shared" si="9"/>
        <v>16</v>
      </c>
      <c r="Q20" s="191" t="s">
        <v>106</v>
      </c>
      <c r="R20" s="192">
        <f>INDEX(Outputs!$B$20:$S$45,MATCH(6,Outputs!$B$20:$B$45,0),MATCH(Q20,Outputs!$B$20:$S$20,0))*100-INDEX(Outputs!$B$20:$S$45,MATCH(5,Outputs!$B$20:$B$45,0),MATCH(Q20,Outputs!$B$20:$S$20,0))*100</f>
        <v>-1.7220705747604388</v>
      </c>
      <c r="S20" s="191">
        <v>16</v>
      </c>
      <c r="T20" s="191" t="str">
        <f t="shared" si="0"/>
        <v>Centralines</v>
      </c>
      <c r="U20" s="192">
        <f>INDEX(Outputs!$B$20:$S$45,MATCH(6,Outputs!$B$20:$B$45,0),MATCH(T20,Outputs!$B$20:$S$20,0))*100-INDEX(Outputs!$B$20:$S$45,MATCH(5,Outputs!$B$20:$B$45,0),MATCH(T20,Outputs!$B$20:$S$20,0))*100</f>
        <v>-1.7220705747604388</v>
      </c>
      <c r="V20" s="134"/>
      <c r="W20" s="191">
        <f t="shared" si="10"/>
        <v>4</v>
      </c>
      <c r="X20" s="191" t="s">
        <v>3</v>
      </c>
      <c r="Y20" s="192">
        <f>INDEX(Outputs!$B$20:$S$45,MATCH(7,Outputs!$B$20:$B$45,0),MATCH(X20,Outputs!$B$20:$S$20,0))*100-INDEX(Outputs!$B$20:$S$45,MATCH(6,Outputs!$B$20:$B$45,0),MATCH(X20,Outputs!$B$20:$S$20,0))*100</f>
        <v>0.1685231924056998</v>
      </c>
      <c r="Z20" s="191">
        <v>16</v>
      </c>
      <c r="AA20" s="191" t="str">
        <f t="shared" si="1"/>
        <v>Nelson Electricity</v>
      </c>
      <c r="AB20" s="192">
        <f>INDEX(Outputs!$B$20:$S$45,MATCH(7,Outputs!$B$20:$B$45,0),MATCH(AA20,Outputs!$B$20:$S$20,0))*100-INDEX(Outputs!$B$20:$S$45,MATCH(6,Outputs!$B$20:$B$45,0),MATCH(AA20,Outputs!$B$20:$S$20,0))*100</f>
        <v>-1.387700438499448</v>
      </c>
      <c r="AC20" s="165"/>
      <c r="AD20" s="191">
        <f t="shared" si="11"/>
        <v>7</v>
      </c>
      <c r="AE20" s="191" t="s">
        <v>113</v>
      </c>
      <c r="AF20" s="192">
        <f>INDEX(Outputs!$B$20:$S$45,MATCH(5,Outputs!$B$20:$B$45,0),MATCH(AE20,Outputs!$B$20:$S$20,0))*100-INDEX(Outputs!$B$20:$S$45,MATCH(4,Outputs!$B$20:$B$45,0),MATCH(AE20,Outputs!$B$20:$S$20,0))*100</f>
        <v>7.5497627258299893E-2</v>
      </c>
      <c r="AG20" s="191">
        <v>16</v>
      </c>
      <c r="AH20" s="191" t="str">
        <f t="shared" si="2"/>
        <v>Electricity Ashburton</v>
      </c>
      <c r="AI20" s="192">
        <f>INDEX(Outputs!$B$20:$S$45,MATCH(5,Outputs!$B$20:$B$45,0),MATCH(AH20,Outputs!$B$20:$S$20,0))*100-INDEX(Outputs!$B$20:$S$45,MATCH(4,Outputs!$B$20:$B$45,0),MATCH(AH20,Outputs!$B$20:$S$20,0))*100</f>
        <v>4.6446323394775391E-2</v>
      </c>
      <c r="AK20" s="191">
        <f t="shared" si="12"/>
        <v>8</v>
      </c>
      <c r="AL20" s="191" t="s">
        <v>113</v>
      </c>
      <c r="AM20" s="192">
        <f>INDEX(Outputs!$B$20:$S$45,MATCH(8,Outputs!$B$20:$B$45,0),MATCH(AL20,Outputs!$B$20:$S$20,0))*100-INDEX(Outputs!$B$20:$S$45,MATCH(7,Outputs!$B$20:$B$45,0),MATCH(AL20,Outputs!$B$20:$S$20,0))*100</f>
        <v>2.3829936981201172E-3</v>
      </c>
      <c r="AN20" s="191">
        <v>16</v>
      </c>
      <c r="AO20" s="191" t="str">
        <f t="shared" si="13"/>
        <v>Powerco</v>
      </c>
      <c r="AP20" s="192">
        <f>INDEX(Outputs!$B$20:$S$45,MATCH(8,Outputs!$B$20:$B$45,0),MATCH(AO20,Outputs!$B$20:$S$20,0))*100-INDEX(Outputs!$B$20:$S$45,MATCH(7,Outputs!$B$20:$B$45,0),MATCH(AO20,Outputs!$B$20:$S$20,0))*100</f>
        <v>-2.9596686363221991E-2</v>
      </c>
      <c r="AQ20" s="4"/>
      <c r="AR20" s="191">
        <f t="shared" si="14"/>
        <v>4</v>
      </c>
      <c r="AS20" s="191" t="s">
        <v>113</v>
      </c>
      <c r="AT20" s="192">
        <f>INDEX(Outputs!$B$20:$S$45,MATCH(24,Outputs!$B$20:$B$45,0),MATCH(AS20,Outputs!$B$20:$S$20,0))*100-INDEX(Outputs!$B$20:$S$45,MATCH(8,Outputs!$B$20:$B$45,0),MATCH(AS20,Outputs!$B$20:$S$20,0))*100</f>
        <v>0</v>
      </c>
      <c r="AU20" s="191">
        <v>16</v>
      </c>
      <c r="AV20" s="191" t="e">
        <f t="shared" si="3"/>
        <v>#N/A</v>
      </c>
      <c r="AW20" s="192" t="e">
        <f>INDEX(Outputs!$B$20:$S$45,MATCH(24,Outputs!$B$20:$B$45,0),MATCH(AV20,Outputs!$B$20:$S$20,0))*100-INDEX(Outputs!$B$20:$S$45,MATCH(8,Outputs!$B$20:$B$45,0),MATCH(AV20,Outputs!$B$20:$S$20,0))*100</f>
        <v>#N/A</v>
      </c>
      <c r="AY20" s="191">
        <f t="shared" si="15"/>
        <v>5</v>
      </c>
      <c r="AZ20" s="191" t="s">
        <v>113</v>
      </c>
      <c r="BA20" s="192">
        <f>(INDEX(Outputs!$B$20:$S$45,MATCH(9,Outputs!$B$20:$B$45,0),MATCH(AZ20,Outputs!$B$20:$S$20,0))*100-INDEX(Outputs!$B$20:$S$45,MATCH(7,Outputs!$B$20:$B$45,0),MATCH(AZ20,Outputs!$B$20:$S$20,0))*100)+(INDEX(Outputs!$B$20:$S$45,MATCH(4,Outputs!$B$20:$B$45,0),MATCH(AZ20,Outputs!$B$20:$S$20,0))*100-INDEX(Outputs!$B$20:$S$45,MATCH(3,Outputs!$B$20:$B$45,0),MATCH(AZ20,Outputs!$B$20:$S$20,0))*100)+(INDEX(Outputs!$B$20:$S$45,MATCH(1,Outputs!$B$20:$B$45,0),MATCH(AZ20,Outputs!$B$20:$S$20,0))*100-8.77%*100)</f>
        <v>0.45975093126297217</v>
      </c>
      <c r="BB20" s="191">
        <v>16</v>
      </c>
      <c r="BC20" s="191" t="str">
        <f t="shared" si="4"/>
        <v>Aurora Energy</v>
      </c>
      <c r="BD20" s="192">
        <f>(INDEX(Outputs!$B$20:$S$45,MATCH(9,Outputs!$B$20:$B$45,0),MATCH(BC20,Outputs!$B$20:$S$20,0))*100-INDEX(Outputs!$B$20:$S$45,MATCH(7,Outputs!$B$20:$B$45,0),MATCH(BC20,Outputs!$B$20:$S$20,0))*100)+(INDEX(Outputs!$B$20:$S$45,MATCH(4,Outputs!$B$20:$B$45,0),MATCH(BC20,Outputs!$B$20:$S$20,0))*100-INDEX(Outputs!$B$20:$S$45,MATCH(3,Outputs!$B$20:$B$45,0),MATCH(BC20,Outputs!$B$20:$S$20,0))*100)+(INDEX(Outputs!$B$20:$S$45,MATCH(1,Outputs!$B$20:$B$45,0),MATCH(BC20,Outputs!$B$20:$S$20,0))*100-8.77%*100)</f>
        <v>-0.76756652116775559</v>
      </c>
      <c r="BE20" s="4"/>
    </row>
    <row r="21" spans="1:57" x14ac:dyDescent="0.25">
      <c r="A21" s="134"/>
      <c r="B21" s="134"/>
      <c r="C21" s="134"/>
      <c r="D21" s="134"/>
      <c r="E21" s="134"/>
      <c r="F21" s="134"/>
      <c r="G21" s="134"/>
      <c r="H21" s="134"/>
      <c r="I21" s="134"/>
      <c r="J21" s="134"/>
      <c r="K21" s="134"/>
      <c r="L21" s="134"/>
      <c r="M21" s="134"/>
      <c r="N21" s="134"/>
      <c r="O21" s="165"/>
      <c r="P21" s="134"/>
      <c r="Q21" s="134"/>
      <c r="R21" s="134"/>
      <c r="S21" s="134"/>
      <c r="T21" s="134"/>
      <c r="U21" s="134"/>
      <c r="V21" s="4"/>
      <c r="W21" s="134"/>
      <c r="X21" s="134"/>
      <c r="Y21" s="134"/>
      <c r="Z21" s="134"/>
      <c r="AA21" s="134"/>
      <c r="AB21" s="134"/>
      <c r="AC21" s="134"/>
      <c r="AD21" s="134"/>
      <c r="AE21" s="134"/>
      <c r="AF21" s="134"/>
      <c r="AG21" s="134"/>
      <c r="AH21" s="134"/>
      <c r="AI21" s="134"/>
      <c r="AJ21" s="4"/>
      <c r="AK21" s="134"/>
      <c r="AL21" s="134"/>
      <c r="AM21" s="134"/>
      <c r="AN21" s="134"/>
      <c r="AO21" s="134"/>
      <c r="AP21" s="134"/>
      <c r="AR21" s="134"/>
      <c r="AS21" s="134"/>
      <c r="AT21" s="134"/>
      <c r="AU21" s="134"/>
      <c r="AV21" s="134"/>
      <c r="AW21" s="134"/>
      <c r="AX21" s="4"/>
      <c r="AY21" s="134"/>
      <c r="AZ21" s="134"/>
      <c r="BA21" s="134"/>
      <c r="BB21" s="134"/>
      <c r="BC21" s="134"/>
      <c r="BD21" s="134"/>
    </row>
    <row r="23" spans="1:57" x14ac:dyDescent="0.25">
      <c r="J23" s="4"/>
      <c r="K23" s="4"/>
      <c r="L23" s="4"/>
      <c r="M23" s="4"/>
      <c r="N23" s="4"/>
      <c r="O23" s="4"/>
      <c r="P23" s="4"/>
      <c r="Q23" s="4"/>
      <c r="R23" s="4"/>
      <c r="S23" s="4"/>
      <c r="T23" s="4"/>
      <c r="U23" s="4"/>
      <c r="V23" s="4"/>
      <c r="W23" s="4"/>
      <c r="X23" s="4"/>
      <c r="Y23" s="4"/>
      <c r="Z23" s="4"/>
      <c r="AA23" s="4"/>
    </row>
    <row r="25" spans="1:57" ht="21" x14ac:dyDescent="0.35">
      <c r="B25" s="99" t="s">
        <v>205</v>
      </c>
    </row>
    <row r="26" spans="1:57" ht="39" x14ac:dyDescent="0.25">
      <c r="B26" s="133"/>
      <c r="C26" s="133"/>
      <c r="D26" s="133" t="s">
        <v>375</v>
      </c>
      <c r="E26" s="133"/>
      <c r="F26" s="133"/>
      <c r="G26" s="133"/>
      <c r="H26" s="133"/>
      <c r="I26" s="133"/>
      <c r="J26" s="133"/>
      <c r="K26" s="133" t="s">
        <v>202</v>
      </c>
      <c r="L26" s="133"/>
      <c r="M26" s="133"/>
      <c r="N26" s="133"/>
      <c r="O26" s="133"/>
      <c r="P26" s="133"/>
      <c r="Q26" s="133"/>
      <c r="R26" s="133" t="s">
        <v>468</v>
      </c>
      <c r="S26" s="133"/>
      <c r="T26" s="133"/>
      <c r="U26" s="133"/>
      <c r="V26" s="133"/>
      <c r="W26" s="133"/>
      <c r="X26" s="133"/>
      <c r="Y26" s="133" t="s">
        <v>425</v>
      </c>
      <c r="Z26" s="133"/>
      <c r="AA26" s="133"/>
      <c r="AB26" s="133"/>
      <c r="AC26" s="133"/>
      <c r="AD26" s="133"/>
      <c r="AE26" s="133"/>
      <c r="AF26" s="133" t="s">
        <v>374</v>
      </c>
      <c r="AG26" s="133"/>
      <c r="AH26" s="133"/>
      <c r="AI26" s="133"/>
      <c r="AJ26" s="133"/>
      <c r="AK26" s="133"/>
      <c r="AL26" s="133"/>
      <c r="AM26" s="133" t="s">
        <v>412</v>
      </c>
      <c r="AN26" s="133"/>
      <c r="AO26" s="133"/>
      <c r="AP26" s="133"/>
      <c r="AQ26" s="133"/>
      <c r="AR26" s="133"/>
      <c r="AS26" s="224" t="s">
        <v>549</v>
      </c>
      <c r="AT26" s="224"/>
      <c r="AU26" s="133"/>
    </row>
    <row r="27" spans="1:57" x14ac:dyDescent="0.25">
      <c r="B27" s="191">
        <f>RANK(D27,D$27:D$42,0)</f>
        <v>2</v>
      </c>
      <c r="C27" s="191" t="s">
        <v>105</v>
      </c>
      <c r="D27" s="192">
        <f>INDEX(Outputs!$B$20:$S$45,MATCH(14,Outputs!$B$20:$B$45,0),MATCH(C27,Outputs!$B$20:$S$20,0))*100-INDEX(Outputs!$B$20:$S$45,MATCH(2,Outputs!$B$20:$B$45,0),MATCH(C27,Outputs!$B$20:$S$20,0))*100</f>
        <v>0.55642962455749512</v>
      </c>
      <c r="E27" s="191">
        <v>1</v>
      </c>
      <c r="F27" s="191" t="str">
        <f t="shared" ref="F27:F42" si="16">VLOOKUP(E27,B$27:C$42,2,FALSE)</f>
        <v>The Lines Company</v>
      </c>
      <c r="G27" s="192">
        <f>INDEX(Outputs!$B$20:$S$45,MATCH(14,Outputs!$B$20:$B$45,0),MATCH(F27,Outputs!$B$20:$S$20,0))*100-INDEX(Outputs!$B$20:$S$45,MATCH(2,Outputs!$B$20:$B$45,0),MATCH(F27,Outputs!$B$20:$S$20,0))*100</f>
        <v>1.4129638671875009</v>
      </c>
      <c r="H27" s="4"/>
      <c r="I27" s="191">
        <f>RANK(K27,K$27:K$42,0)</f>
        <v>2</v>
      </c>
      <c r="J27" s="191" t="s">
        <v>473</v>
      </c>
      <c r="K27" s="192">
        <f>INDEX(Outputs!$B$20:$S$45,MATCH(16,Outputs!$B$20:$B$45,0),MATCH(J27,Outputs!$B$20:$S$20,0))*100-INDEX(Outputs!$B$20:$S$45,MATCH(15,Outputs!$B$20:$B$45,0),MATCH(J27,Outputs!$B$20:$S$20,0))*100</f>
        <v>-2.4614334106446201E-2</v>
      </c>
      <c r="L27" s="191">
        <v>1</v>
      </c>
      <c r="M27" s="191" t="str">
        <f>VLOOKUP(L27,I$27:J$44,2,FALSE)</f>
        <v>Vector Lines</v>
      </c>
      <c r="N27" s="192">
        <f>INDEX(Outputs!$B$20:$S$45,MATCH(16,Outputs!$B$20:$B$45,0),MATCH(M27,Outputs!$B$20:$S$20,0))*100-INDEX(Outputs!$B$20:$S$45,MATCH(15,Outputs!$B$20:$B$45,0),MATCH(M27,Outputs!$B$20:$S$20,0))*100</f>
        <v>-1.1819601058977725E-3</v>
      </c>
      <c r="O27" s="164"/>
      <c r="P27" s="191">
        <f>RANK(R27,R$27:R$42,0)</f>
        <v>5</v>
      </c>
      <c r="Q27" s="191" t="s">
        <v>106</v>
      </c>
      <c r="R27" s="192">
        <f>INDEX(Outputs!$B$20:$S$45,MATCH(22,Outputs!$B$20:$B$45,0),MATCH(Q27,Outputs!$B$20:$S$20,0))*100-INDEX(Outputs!$B$20:$S$45,MATCH(21,Outputs!$B$20:$B$45,0),MATCH(Q27,Outputs!$B$20:$S$20,0))*100</f>
        <v>0.17897605895996005</v>
      </c>
      <c r="S27" s="191">
        <v>1</v>
      </c>
      <c r="T27" s="191" t="str">
        <f>VLOOKUP(S27,P$27:Q$44,2,FALSE)</f>
        <v>Aurora Energy</v>
      </c>
      <c r="U27" s="192">
        <f>INDEX(Outputs!$B$20:$S$45,MATCH(22,Outputs!$B$20:$B$45,0),MATCH(T27,Outputs!$B$20:$S$20,0))*100-INDEX(Outputs!$B$20:$S$45,MATCH(21,Outputs!$B$20:$B$45,0),MATCH(T27,Outputs!$B$20:$S$20,0))*100</f>
        <v>0.55737435817718595</v>
      </c>
      <c r="V27" s="4"/>
      <c r="W27" s="191">
        <f>RANK(Y27,Y$27:Y$42,0)</f>
        <v>3</v>
      </c>
      <c r="X27" s="191" t="s">
        <v>105</v>
      </c>
      <c r="Y27" s="192">
        <f>INDEX(Outputs!$B$20:$S$45,MATCH(15,Outputs!$B$20:$B$45,0),MATCH(X27,Outputs!$B$20:$S$20,0))*100-INDEX(Outputs!$B$20:$S$45,MATCH(14,Outputs!$B$20:$B$45,0),MATCH(X27,Outputs!$B$20:$S$20,0))*100</f>
        <v>-0.14357805252075462</v>
      </c>
      <c r="Z27" s="191">
        <v>1</v>
      </c>
      <c r="AA27" s="191" t="str">
        <f>VLOOKUP(Z27,W$27:X$42,2,FALSE)</f>
        <v>Electricity Ashburton</v>
      </c>
      <c r="AB27" s="192">
        <f>INDEX(Outputs!$B$20:$S$45,MATCH(15,Outputs!$B$20:$B$45,0),MATCH(AA27,Outputs!$B$20:$S$20,0))*100-INDEX(Outputs!$B$20:$S$45,MATCH(14,Outputs!$B$20:$B$45,0),MATCH(AA27,Outputs!$B$20:$S$20,0))*100</f>
        <v>-0.13414859771728693</v>
      </c>
      <c r="AC27" s="134"/>
      <c r="AD27" s="191">
        <f>RANK(AF27,AF$27:AF$42,0)</f>
        <v>14</v>
      </c>
      <c r="AE27" s="191" t="s">
        <v>105</v>
      </c>
      <c r="AF27" s="192">
        <f>INDEX(Outputs!$B$20:$S$45,MATCH(23,Outputs!$B$20:$B$45,0),MATCH(AE27,Outputs!$B$20:$S$20,0))*100-INDEX(Outputs!$B$20:$S$45,MATCH(15,Outputs!$B$20:$B$45,0),MATCH(AE27,Outputs!$B$20:$S$20,0))*100</f>
        <v>-0.30718207359313876</v>
      </c>
      <c r="AG27" s="191">
        <v>1</v>
      </c>
      <c r="AH27" s="191" t="str">
        <f t="shared" ref="AH27:AH42" si="17">VLOOKUP(AG27,AD$27:AE$42,2,FALSE)</f>
        <v>OtagoNet</v>
      </c>
      <c r="AI27" s="192">
        <f>INDEX(Outputs!$B$20:$S$45,MATCH(23,Outputs!$B$20:$B$45,0),MATCH(AH27,Outputs!$B$20:$S$20,0))*100-INDEX(Outputs!$B$20:$S$45,MATCH(15,Outputs!$B$20:$B$45,0),MATCH(AH27,Outputs!$B$20:$S$20,0))*100</f>
        <v>0.41530251502990811</v>
      </c>
      <c r="AJ27" s="4"/>
      <c r="AK27" s="191">
        <f>RANK(AM27,AM$27:AM$43,0)</f>
        <v>15</v>
      </c>
      <c r="AL27" s="191" t="s">
        <v>105</v>
      </c>
      <c r="AM27" s="192">
        <f>INDEX(Outputs!$B$20:$S$45,MATCH(10,Outputs!$B$20:$B$45,0),MATCH(AL27,Outputs!$B$20:$S$20,0))*100-INDEX(Outputs!$B$20:$S$45,MATCH(9,Outputs!$B$20:$B$45,0),MATCH(AL27,Outputs!$B$20:$S$20,0))*100</f>
        <v>0.17405927181243896</v>
      </c>
      <c r="AN27" s="191">
        <v>1</v>
      </c>
      <c r="AO27" s="191" t="str">
        <f t="shared" ref="AO27:AO42" si="18">VLOOKUP(AN27,AK$27:AL$42,2,FALSE)</f>
        <v>Top Energy</v>
      </c>
      <c r="AP27" s="193">
        <f>INDEX(Outputs!$B$20:$S$45,MATCH(10,Outputs!$B$20:$B$45,0),MATCH(AO27,Outputs!$B$20:$S$20,0))-INDEX(Outputs!$B$20:$S$45,MATCH(9,Outputs!$B$20:$B$45,0),MATCH(AO27,Outputs!$B$20:$S$20,0))</f>
        <v>3.9605796337127686E-3</v>
      </c>
      <c r="AQ27" s="4"/>
      <c r="AR27" s="4"/>
      <c r="AS27" s="191" t="s">
        <v>105</v>
      </c>
      <c r="AT27" s="192">
        <f>INDEX(Outputs!$B$20:$S$45,MATCH(6,Outputs!$B$20:$B$45,0),MATCH(AS27,Outputs!$B$20:$S$20,0))*100-INDEX(Outputs!$B$20:$S$45,MATCH(5,Outputs!$B$20:$B$45,0),MATCH(AS27,Outputs!$B$20:$S$20,0))*100</f>
        <v>-1.4408522844314575</v>
      </c>
      <c r="AU27" s="192">
        <f>INDEX(Outputs!$B$20:$S$45,MATCH(14,Outputs!$B$20:$B$45,0),MATCH(AS27,Outputs!$B$20:$S$20,0))*100-INDEX(Outputs!$B$20:$S$45,MATCH(2,Outputs!$B$20:$B$45,0),MATCH(AS27,Outputs!$B$20:$S$20,0))*100</f>
        <v>0.55642962455749512</v>
      </c>
    </row>
    <row r="28" spans="1:57" x14ac:dyDescent="0.25">
      <c r="B28" s="191">
        <f t="shared" ref="B28:B42" si="19">RANK(D28,D$27:D$42,0)</f>
        <v>1</v>
      </c>
      <c r="C28" s="191" t="s">
        <v>6</v>
      </c>
      <c r="D28" s="192">
        <f>INDEX(Outputs!$B$20:$S$45,MATCH(14,Outputs!$B$20:$B$45,0),MATCH(C28,Outputs!$B$20:$S$20,0))*100-INDEX(Outputs!$B$20:$S$45,MATCH(2,Outputs!$B$20:$B$45,0),MATCH(C28,Outputs!$B$20:$S$20,0))*100</f>
        <v>1.4129638671875009</v>
      </c>
      <c r="E28" s="191">
        <v>2</v>
      </c>
      <c r="F28" s="191" t="str">
        <f t="shared" si="16"/>
        <v>Alpine Energy</v>
      </c>
      <c r="G28" s="192">
        <f>INDEX(Outputs!$B$20:$S$45,MATCH(14,Outputs!$B$20:$B$45,0),MATCH(F28,Outputs!$B$20:$S$20,0))*100-INDEX(Outputs!$B$20:$S$45,MATCH(2,Outputs!$B$20:$B$45,0),MATCH(F28,Outputs!$B$20:$S$20,0))*100</f>
        <v>0.55642962455749512</v>
      </c>
      <c r="H28" s="4"/>
      <c r="I28" s="191">
        <f t="shared" ref="I28:I42" si="20">RANK(K28,K$27:K$42,0)</f>
        <v>3</v>
      </c>
      <c r="J28" s="191" t="s">
        <v>113</v>
      </c>
      <c r="K28" s="192">
        <f>INDEX(Outputs!$B$20:$S$45,MATCH(16,Outputs!$B$20:$B$45,0),MATCH(J28,Outputs!$B$20:$S$20,0))*100-INDEX(Outputs!$B$20:$S$45,MATCH(15,Outputs!$B$20:$B$45,0),MATCH(J28,Outputs!$B$20:$S$20,0))*100</f>
        <v>-2.8914809226992411E-2</v>
      </c>
      <c r="L28" s="191">
        <v>2</v>
      </c>
      <c r="M28" s="191" t="str">
        <f t="shared" ref="M28:M42" si="21">VLOOKUP(L28,I$27:J$44,2,FALSE)</f>
        <v>Unison Networks</v>
      </c>
      <c r="N28" s="192">
        <f>INDEX(Outputs!$B$20:$S$45,MATCH(16,Outputs!$B$20:$B$45,0),MATCH(M28,Outputs!$B$20:$S$20,0))*100-INDEX(Outputs!$B$20:$S$45,MATCH(15,Outputs!$B$20:$B$45,0),MATCH(M28,Outputs!$B$20:$S$20,0))*100</f>
        <v>-2.4614334106446201E-2</v>
      </c>
      <c r="O28" s="164"/>
      <c r="P28" s="191">
        <f t="shared" ref="P28:P42" si="22">RANK(R28,R$27:R$42,0)</f>
        <v>1</v>
      </c>
      <c r="Q28" s="191" t="s">
        <v>3</v>
      </c>
      <c r="R28" s="192">
        <f>INDEX(Outputs!$B$20:$S$45,MATCH(22,Outputs!$B$20:$B$45,0),MATCH(Q28,Outputs!$B$20:$S$20,0))*100-INDEX(Outputs!$B$20:$S$45,MATCH(21,Outputs!$B$20:$B$45,0),MATCH(Q28,Outputs!$B$20:$S$20,0))*100</f>
        <v>0.55737435817718595</v>
      </c>
      <c r="S28" s="191">
        <v>2</v>
      </c>
      <c r="T28" s="191" t="str">
        <f t="shared" ref="T28:T42" si="23">VLOOKUP(S28,P$27:Q$44,2,FALSE)</f>
        <v>Nelson Electricity</v>
      </c>
      <c r="U28" s="192">
        <f>INDEX(Outputs!$B$20:$S$45,MATCH(22,Outputs!$B$20:$B$45,0),MATCH(T28,Outputs!$B$20:$S$20,0))*100-INDEX(Outputs!$B$20:$S$45,MATCH(21,Outputs!$B$20:$B$45,0),MATCH(T28,Outputs!$B$20:$S$20,0))*100</f>
        <v>0.28035402297973544</v>
      </c>
      <c r="V28" s="4"/>
      <c r="W28" s="191">
        <f t="shared" ref="W28:W42" si="24">RANK(Y28,Y$27:Y$42,0)</f>
        <v>6</v>
      </c>
      <c r="X28" s="191" t="s">
        <v>3</v>
      </c>
      <c r="Y28" s="192">
        <f>INDEX(Outputs!$B$20:$S$45,MATCH(15,Outputs!$B$20:$B$45,0),MATCH(X28,Outputs!$B$20:$S$20,0))*100-INDEX(Outputs!$B$20:$S$45,MATCH(14,Outputs!$B$20:$B$45,0),MATCH(X28,Outputs!$B$20:$S$20,0))*100</f>
        <v>-0.154105424880985</v>
      </c>
      <c r="Z28" s="191">
        <v>2</v>
      </c>
      <c r="AA28" s="191" t="str">
        <f t="shared" ref="AA28:AA42" si="25">VLOOKUP(Z28,W$27:X$42,2,FALSE)</f>
        <v>Vector Lines</v>
      </c>
      <c r="AB28" s="192">
        <f>INDEX(Outputs!$B$20:$S$45,MATCH(15,Outputs!$B$20:$B$45,0),MATCH(AA28,Outputs!$B$20:$S$20,0))*100-INDEX(Outputs!$B$20:$S$45,MATCH(14,Outputs!$B$20:$B$45,0),MATCH(AA28,Outputs!$B$20:$S$20,0))*100</f>
        <v>-0.14262616634368896</v>
      </c>
      <c r="AC28" s="134"/>
      <c r="AD28" s="191">
        <f t="shared" ref="AD28:AD42" si="26">RANK(AF28,AF$27:AF$42,0)</f>
        <v>2</v>
      </c>
      <c r="AE28" s="191" t="s">
        <v>3</v>
      </c>
      <c r="AF28" s="192">
        <f>INDEX(Outputs!$B$20:$S$45,MATCH(23,Outputs!$B$20:$B$45,0),MATCH(AE28,Outputs!$B$20:$S$20,0))*100-INDEX(Outputs!$B$20:$S$45,MATCH(15,Outputs!$B$20:$B$45,0),MATCH(AE28,Outputs!$B$20:$S$20,0))*100</f>
        <v>0.28808712959289817</v>
      </c>
      <c r="AG28" s="191">
        <v>2</v>
      </c>
      <c r="AH28" s="191" t="str">
        <f t="shared" si="17"/>
        <v>Aurora Energy</v>
      </c>
      <c r="AI28" s="192">
        <f>INDEX(Outputs!$B$20:$S$45,MATCH(23,Outputs!$B$20:$B$45,0),MATCH(AH28,Outputs!$B$20:$S$20,0))*100-INDEX(Outputs!$B$20:$S$45,MATCH(15,Outputs!$B$20:$B$45,0),MATCH(AH28,Outputs!$B$20:$S$20,0))*100</f>
        <v>0.28808712959289817</v>
      </c>
      <c r="AJ28" s="4"/>
      <c r="AK28" s="191">
        <f t="shared" ref="AK28:AK42" si="27">RANK(AM28,AM$27:AM$43,0)</f>
        <v>4</v>
      </c>
      <c r="AL28" s="191" t="s">
        <v>3</v>
      </c>
      <c r="AM28" s="192">
        <f>INDEX(Outputs!$B$20:$S$45,MATCH(10,Outputs!$B$20:$B$45,0),MATCH(AL28,Outputs!$B$20:$S$20,0))*100-INDEX(Outputs!$B$20:$S$45,MATCH(9,Outputs!$B$20:$B$45,0),MATCH(AL28,Outputs!$B$20:$S$20,0))*100</f>
        <v>0.34210801124572843</v>
      </c>
      <c r="AN28" s="191">
        <v>2</v>
      </c>
      <c r="AO28" s="191" t="str">
        <f t="shared" si="18"/>
        <v>Centralines</v>
      </c>
      <c r="AP28" s="193">
        <f>INDEX(Outputs!$B$20:$S$45,MATCH(10,Outputs!$B$20:$B$45,0),MATCH(AO28,Outputs!$B$20:$S$20,0))-INDEX(Outputs!$B$20:$S$45,MATCH(9,Outputs!$B$20:$B$45,0),MATCH(AO28,Outputs!$B$20:$S$20,0))</f>
        <v>3.9165496826171764E-3</v>
      </c>
      <c r="AQ28" s="4"/>
      <c r="AR28" s="4"/>
      <c r="AS28" s="191" t="s">
        <v>3</v>
      </c>
      <c r="AT28" s="192">
        <f>INDEX(Outputs!$B$20:$S$45,MATCH(6,Outputs!$B$20:$B$45,0),MATCH(AS28,Outputs!$B$20:$S$20,0))*100-INDEX(Outputs!$B$20:$S$45,MATCH(5,Outputs!$B$20:$B$45,0),MATCH(AS28,Outputs!$B$20:$S$20,0))*100</f>
        <v>-6.8532228469850409E-2</v>
      </c>
      <c r="AU28" s="192">
        <f>INDEX(Outputs!$B$20:$S$45,MATCH(14,Outputs!$B$20:$B$45,0),MATCH(AS28,Outputs!$B$20:$S$20,0))*100-INDEX(Outputs!$B$20:$S$45,MATCH(2,Outputs!$B$20:$B$45,0),MATCH(AS28,Outputs!$B$20:$S$20,0))*100</f>
        <v>-0.59806346893310547</v>
      </c>
    </row>
    <row r="29" spans="1:57" x14ac:dyDescent="0.25">
      <c r="B29" s="191">
        <f t="shared" si="19"/>
        <v>3</v>
      </c>
      <c r="C29" s="191" t="s">
        <v>4</v>
      </c>
      <c r="D29" s="192">
        <f>INDEX(Outputs!$B$20:$S$45,MATCH(14,Outputs!$B$20:$B$45,0),MATCH(C29,Outputs!$B$20:$S$20,0))*100-INDEX(Outputs!$B$20:$S$45,MATCH(2,Outputs!$B$20:$B$45,0),MATCH(C29,Outputs!$B$20:$S$20,0))*100</f>
        <v>0.47111749649048207</v>
      </c>
      <c r="E29" s="191">
        <v>3</v>
      </c>
      <c r="F29" s="191" t="str">
        <f t="shared" si="16"/>
        <v>Electricity Ashburton</v>
      </c>
      <c r="G29" s="192">
        <f>INDEX(Outputs!$B$20:$S$45,MATCH(14,Outputs!$B$20:$B$45,0),MATCH(F29,Outputs!$B$20:$S$20,0))*100-INDEX(Outputs!$B$20:$S$45,MATCH(2,Outputs!$B$20:$B$45,0),MATCH(F29,Outputs!$B$20:$S$20,0))*100</f>
        <v>0.47111749649048207</v>
      </c>
      <c r="H29" s="4"/>
      <c r="I29" s="191">
        <f t="shared" si="20"/>
        <v>5</v>
      </c>
      <c r="J29" s="191" t="s">
        <v>107</v>
      </c>
      <c r="K29" s="192">
        <f>INDEX(Outputs!$B$20:$S$45,MATCH(16,Outputs!$B$20:$B$45,0),MATCH(J29,Outputs!$B$20:$S$20,0))*100-INDEX(Outputs!$B$20:$S$45,MATCH(15,Outputs!$B$20:$B$45,0),MATCH(J29,Outputs!$B$20:$S$20,0))*100</f>
        <v>-4.8277378082275391E-2</v>
      </c>
      <c r="L29" s="191">
        <v>3</v>
      </c>
      <c r="M29" s="191" t="str">
        <f t="shared" si="21"/>
        <v>Wellington Electricity</v>
      </c>
      <c r="N29" s="192">
        <f>INDEX(Outputs!$B$20:$S$45,MATCH(16,Outputs!$B$20:$B$45,0),MATCH(M29,Outputs!$B$20:$S$20,0))*100-INDEX(Outputs!$B$20:$S$45,MATCH(15,Outputs!$B$20:$B$45,0),MATCH(M29,Outputs!$B$20:$S$20,0))*100</f>
        <v>-2.8914809226992411E-2</v>
      </c>
      <c r="O29" s="165"/>
      <c r="P29" s="191">
        <f t="shared" si="22"/>
        <v>11</v>
      </c>
      <c r="Q29" s="191" t="s">
        <v>111</v>
      </c>
      <c r="R29" s="192">
        <f>INDEX(Outputs!$B$20:$S$45,MATCH(22,Outputs!$B$20:$B$45,0),MATCH(Q29,Outputs!$B$20:$S$20,0))*100-INDEX(Outputs!$B$20:$S$45,MATCH(21,Outputs!$B$20:$B$45,0),MATCH(Q29,Outputs!$B$20:$S$20,0))*100</f>
        <v>1.3941526412963867E-2</v>
      </c>
      <c r="S29" s="191">
        <v>3</v>
      </c>
      <c r="T29" s="191" t="str">
        <f t="shared" si="23"/>
        <v>OtagoNet</v>
      </c>
      <c r="U29" s="192">
        <f>INDEX(Outputs!$B$20:$S$45,MATCH(22,Outputs!$B$20:$B$45,0),MATCH(T29,Outputs!$B$20:$S$20,0))*100-INDEX(Outputs!$B$20:$S$45,MATCH(21,Outputs!$B$20:$B$45,0),MATCH(T29,Outputs!$B$20:$S$20,0))*100</f>
        <v>0.26712596416473389</v>
      </c>
      <c r="V29" s="4"/>
      <c r="W29" s="191">
        <f t="shared" si="24"/>
        <v>9</v>
      </c>
      <c r="X29" s="191" t="s">
        <v>106</v>
      </c>
      <c r="Y29" s="192">
        <f>INDEX(Outputs!$B$20:$S$45,MATCH(15,Outputs!$B$20:$B$45,0),MATCH(X29,Outputs!$B$20:$S$20,0))*100-INDEX(Outputs!$B$20:$S$45,MATCH(14,Outputs!$B$20:$B$45,0),MATCH(X29,Outputs!$B$20:$S$20,0))*100</f>
        <v>-0.15591979026794522</v>
      </c>
      <c r="Z29" s="191">
        <v>3</v>
      </c>
      <c r="AA29" s="191" t="str">
        <f t="shared" si="25"/>
        <v>Alpine Energy</v>
      </c>
      <c r="AB29" s="192">
        <f>INDEX(Outputs!$B$20:$S$45,MATCH(15,Outputs!$B$20:$B$45,0),MATCH(AA29,Outputs!$B$20:$S$20,0))*100-INDEX(Outputs!$B$20:$S$45,MATCH(14,Outputs!$B$20:$B$45,0),MATCH(AA29,Outputs!$B$20:$S$20,0))*100</f>
        <v>-0.14357805252075462</v>
      </c>
      <c r="AC29" s="134"/>
      <c r="AD29" s="191">
        <f t="shared" si="26"/>
        <v>11</v>
      </c>
      <c r="AE29" s="191" t="s">
        <v>106</v>
      </c>
      <c r="AF29" s="192">
        <f>INDEX(Outputs!$B$20:$S$45,MATCH(23,Outputs!$B$20:$B$45,0),MATCH(AE29,Outputs!$B$20:$S$20,0))*100-INDEX(Outputs!$B$20:$S$45,MATCH(15,Outputs!$B$20:$B$45,0),MATCH(AE29,Outputs!$B$20:$S$20,0))*100</f>
        <v>-0.15141069889068515</v>
      </c>
      <c r="AG29" s="191">
        <v>3</v>
      </c>
      <c r="AH29" s="191" t="str">
        <f t="shared" si="17"/>
        <v>Nelson Electricity</v>
      </c>
      <c r="AI29" s="192">
        <f>INDEX(Outputs!$B$20:$S$45,MATCH(23,Outputs!$B$20:$B$45,0),MATCH(AH29,Outputs!$B$20:$S$20,0))*100-INDEX(Outputs!$B$20:$S$45,MATCH(15,Outputs!$B$20:$B$45,0),MATCH(AH29,Outputs!$B$20:$S$20,0))*100</f>
        <v>0.15077352523803622</v>
      </c>
      <c r="AJ29" s="4"/>
      <c r="AK29" s="191">
        <f t="shared" si="27"/>
        <v>2</v>
      </c>
      <c r="AL29" s="191" t="s">
        <v>106</v>
      </c>
      <c r="AM29" s="192">
        <f>INDEX(Outputs!$B$20:$S$45,MATCH(10,Outputs!$B$20:$B$45,0),MATCH(AL29,Outputs!$B$20:$S$20,0))*100-INDEX(Outputs!$B$20:$S$45,MATCH(9,Outputs!$B$20:$B$45,0),MATCH(AL29,Outputs!$B$20:$S$20,0))*100</f>
        <v>0.39165496826171786</v>
      </c>
      <c r="AN29" s="191">
        <v>3</v>
      </c>
      <c r="AO29" s="191" t="str">
        <f t="shared" si="18"/>
        <v>Electricity Ashburton</v>
      </c>
      <c r="AP29" s="193">
        <f>INDEX(Outputs!$B$20:$S$45,MATCH(10,Outputs!$B$20:$B$45,0),MATCH(AO29,Outputs!$B$20:$S$20,0))-INDEX(Outputs!$B$20:$S$45,MATCH(9,Outputs!$B$20:$B$45,0),MATCH(AO29,Outputs!$B$20:$S$20,0))</f>
        <v>3.6868751049041609E-3</v>
      </c>
      <c r="AQ29" s="4"/>
      <c r="AR29" s="4"/>
      <c r="AS29" s="191" t="s">
        <v>106</v>
      </c>
      <c r="AT29" s="192">
        <f>INDEX(Outputs!$B$20:$S$45,MATCH(6,Outputs!$B$20:$B$45,0),MATCH(AS29,Outputs!$B$20:$S$20,0))*100-INDEX(Outputs!$B$20:$S$45,MATCH(5,Outputs!$B$20:$B$45,0),MATCH(AS29,Outputs!$B$20:$S$20,0))*100</f>
        <v>-1.7220705747604388</v>
      </c>
      <c r="AU29" s="192">
        <f>INDEX(Outputs!$B$20:$S$45,MATCH(14,Outputs!$B$20:$B$45,0),MATCH(AS29,Outputs!$B$20:$S$20,0))*100-INDEX(Outputs!$B$20:$S$45,MATCH(2,Outputs!$B$20:$B$45,0),MATCH(AS29,Outputs!$B$20:$S$20,0))*100</f>
        <v>-0.16186714172363459</v>
      </c>
    </row>
    <row r="30" spans="1:57" x14ac:dyDescent="0.25">
      <c r="B30" s="191">
        <f t="shared" si="19"/>
        <v>5</v>
      </c>
      <c r="C30" s="191" t="s">
        <v>110</v>
      </c>
      <c r="D30" s="192">
        <f>INDEX(Outputs!$B$20:$S$45,MATCH(14,Outputs!$B$20:$B$45,0),MATCH(C30,Outputs!$B$20:$S$20,0))*100-INDEX(Outputs!$B$20:$S$45,MATCH(2,Outputs!$B$20:$B$45,0),MATCH(C30,Outputs!$B$20:$S$20,0))*100</f>
        <v>9.6574425697325772E-2</v>
      </c>
      <c r="E30" s="191">
        <v>4</v>
      </c>
      <c r="F30" s="191" t="str">
        <f t="shared" si="16"/>
        <v>Horizon Energy</v>
      </c>
      <c r="G30" s="192">
        <f>INDEX(Outputs!$B$20:$S$45,MATCH(14,Outputs!$B$20:$B$45,0),MATCH(F30,Outputs!$B$20:$S$20,0))*100-INDEX(Outputs!$B$20:$S$45,MATCH(2,Outputs!$B$20:$B$45,0),MATCH(F30,Outputs!$B$20:$S$20,0))*100</f>
        <v>0.12078404426574618</v>
      </c>
      <c r="H30" s="4"/>
      <c r="I30" s="191">
        <f t="shared" si="20"/>
        <v>6</v>
      </c>
      <c r="J30" s="191" t="s">
        <v>3</v>
      </c>
      <c r="K30" s="192">
        <f>INDEX(Outputs!$B$20:$S$45,MATCH(16,Outputs!$B$20:$B$45,0),MATCH(J30,Outputs!$B$20:$S$20,0))*100-INDEX(Outputs!$B$20:$S$45,MATCH(15,Outputs!$B$20:$B$45,0),MATCH(J30,Outputs!$B$20:$S$20,0))*100</f>
        <v>-5.7494044303894043E-2</v>
      </c>
      <c r="L30" s="191">
        <v>4</v>
      </c>
      <c r="M30" s="191" t="str">
        <f t="shared" si="21"/>
        <v>Eastland Network</v>
      </c>
      <c r="N30" s="192">
        <f>INDEX(Outputs!$B$20:$S$45,MATCH(16,Outputs!$B$20:$B$45,0),MATCH(M30,Outputs!$B$20:$S$20,0))*100-INDEX(Outputs!$B$20:$S$45,MATCH(15,Outputs!$B$20:$B$45,0),MATCH(M30,Outputs!$B$20:$S$20,0))*100</f>
        <v>-3.9558410644530362E-2</v>
      </c>
      <c r="O30" s="164"/>
      <c r="P30" s="191">
        <f t="shared" si="22"/>
        <v>12</v>
      </c>
      <c r="Q30" s="191" t="s">
        <v>105</v>
      </c>
      <c r="R30" s="192">
        <f>INDEX(Outputs!$B$20:$S$45,MATCH(22,Outputs!$B$20:$B$45,0),MATCH(Q30,Outputs!$B$20:$S$20,0))*100-INDEX(Outputs!$B$20:$S$45,MATCH(21,Outputs!$B$20:$B$45,0),MATCH(Q30,Outputs!$B$20:$S$20,0))*100</f>
        <v>5.4538249969455777E-3</v>
      </c>
      <c r="S30" s="191">
        <v>4</v>
      </c>
      <c r="T30" s="191" t="str">
        <f t="shared" si="23"/>
        <v>Top Energy</v>
      </c>
      <c r="U30" s="192">
        <f>INDEX(Outputs!$B$20:$S$45,MATCH(22,Outputs!$B$20:$B$45,0),MATCH(T30,Outputs!$B$20:$S$20,0))*100-INDEX(Outputs!$B$20:$S$45,MATCH(21,Outputs!$B$20:$B$45,0),MATCH(T30,Outputs!$B$20:$S$20,0))*100</f>
        <v>0.26267707347869962</v>
      </c>
      <c r="V30" s="4"/>
      <c r="W30" s="191">
        <f t="shared" si="24"/>
        <v>5</v>
      </c>
      <c r="X30" s="191" t="s">
        <v>474</v>
      </c>
      <c r="Y30" s="192">
        <f>INDEX(Outputs!$B$20:$S$45,MATCH(15,Outputs!$B$20:$B$45,0),MATCH(X30,Outputs!$B$20:$S$20,0))*100-INDEX(Outputs!$B$20:$S$45,MATCH(14,Outputs!$B$20:$B$45,0),MATCH(X30,Outputs!$B$20:$S$20,0))*100</f>
        <v>-0.15015423297882169</v>
      </c>
      <c r="Z30" s="191">
        <v>4</v>
      </c>
      <c r="AA30" s="191" t="str">
        <f t="shared" si="25"/>
        <v>OtagoNet</v>
      </c>
      <c r="AB30" s="192">
        <f>INDEX(Outputs!$B$20:$S$45,MATCH(15,Outputs!$B$20:$B$45,0),MATCH(AA30,Outputs!$B$20:$S$20,0))*100-INDEX(Outputs!$B$20:$S$45,MATCH(14,Outputs!$B$20:$B$45,0),MATCH(AA30,Outputs!$B$20:$S$20,0))*100</f>
        <v>-0.14652848243713468</v>
      </c>
      <c r="AC30" s="134"/>
      <c r="AD30" s="191">
        <f t="shared" si="26"/>
        <v>9</v>
      </c>
      <c r="AE30" s="191" t="s">
        <v>474</v>
      </c>
      <c r="AF30" s="192">
        <f>INDEX(Outputs!$B$20:$S$45,MATCH(23,Outputs!$B$20:$B$45,0),MATCH(AE30,Outputs!$B$20:$S$20,0))*100-INDEX(Outputs!$B$20:$S$45,MATCH(15,Outputs!$B$20:$B$45,0),MATCH(AE30,Outputs!$B$20:$S$20,0))*100</f>
        <v>-0.1134687662124616</v>
      </c>
      <c r="AG30" s="191">
        <v>4</v>
      </c>
      <c r="AH30" s="191" t="str">
        <f t="shared" si="17"/>
        <v>Unison Networks</v>
      </c>
      <c r="AI30" s="192">
        <f>INDEX(Outputs!$B$20:$S$45,MATCH(23,Outputs!$B$20:$B$45,0),MATCH(AH30,Outputs!$B$20:$S$20,0))*100-INDEX(Outputs!$B$20:$S$45,MATCH(15,Outputs!$B$20:$B$45,0),MATCH(AH30,Outputs!$B$20:$S$20,0))*100</f>
        <v>7.6581835746766025E-2</v>
      </c>
      <c r="AJ30" s="4"/>
      <c r="AK30" s="191">
        <f t="shared" si="27"/>
        <v>6</v>
      </c>
      <c r="AL30" s="191" t="s">
        <v>474</v>
      </c>
      <c r="AM30" s="192">
        <f>INDEX(Outputs!$B$20:$S$45,MATCH(10,Outputs!$B$20:$B$45,0),MATCH(AL30,Outputs!$B$20:$S$20,0))*100-INDEX(Outputs!$B$20:$S$45,MATCH(9,Outputs!$B$20:$B$45,0),MATCH(AL30,Outputs!$B$20:$S$20,0))*100</f>
        <v>0.33934652805328458</v>
      </c>
      <c r="AN30" s="191">
        <v>4</v>
      </c>
      <c r="AO30" s="191" t="str">
        <f t="shared" si="18"/>
        <v>Aurora Energy</v>
      </c>
      <c r="AP30" s="193">
        <f>INDEX(Outputs!$B$20:$S$45,MATCH(10,Outputs!$B$20:$B$45,0),MATCH(AO30,Outputs!$B$20:$S$20,0))-INDEX(Outputs!$B$20:$S$45,MATCH(9,Outputs!$B$20:$B$45,0),MATCH(AO30,Outputs!$B$20:$S$20,0))</f>
        <v>3.4210801124572865E-3</v>
      </c>
      <c r="AQ30" s="4"/>
      <c r="AR30" s="4"/>
      <c r="AS30" s="191" t="s">
        <v>474</v>
      </c>
      <c r="AT30" s="192">
        <f>INDEX(Outputs!$B$20:$S$45,MATCH(6,Outputs!$B$20:$B$45,0),MATCH(AS30,Outputs!$B$20:$S$20,0))*100-INDEX(Outputs!$B$20:$S$45,MATCH(5,Outputs!$B$20:$B$45,0),MATCH(AS30,Outputs!$B$20:$S$20,0))*100</f>
        <v>-0.87041854858398615</v>
      </c>
      <c r="AU30" s="192">
        <f>INDEX(Outputs!$B$20:$S$45,MATCH(14,Outputs!$B$20:$B$45,0),MATCH(AS30,Outputs!$B$20:$S$20,0))*100-INDEX(Outputs!$B$20:$S$45,MATCH(2,Outputs!$B$20:$B$45,0),MATCH(AS30,Outputs!$B$20:$S$20,0))*100</f>
        <v>-0.30574262142181485</v>
      </c>
    </row>
    <row r="31" spans="1:57" x14ac:dyDescent="0.25">
      <c r="B31" s="191">
        <f t="shared" si="19"/>
        <v>4</v>
      </c>
      <c r="C31" s="191" t="s">
        <v>107</v>
      </c>
      <c r="D31" s="192">
        <f>INDEX(Outputs!$B$20:$S$45,MATCH(14,Outputs!$B$20:$B$45,0),MATCH(C31,Outputs!$B$20:$S$20,0))*100-INDEX(Outputs!$B$20:$S$45,MATCH(2,Outputs!$B$20:$B$45,0),MATCH(C31,Outputs!$B$20:$S$20,0))*100</f>
        <v>0.12078404426574618</v>
      </c>
      <c r="E31" s="191">
        <v>5</v>
      </c>
      <c r="F31" s="191" t="str">
        <f t="shared" si="16"/>
        <v>OtagoNet</v>
      </c>
      <c r="G31" s="192">
        <f>INDEX(Outputs!$B$20:$S$45,MATCH(14,Outputs!$B$20:$B$45,0),MATCH(F31,Outputs!$B$20:$S$20,0))*100-INDEX(Outputs!$B$20:$S$45,MATCH(2,Outputs!$B$20:$B$45,0),MATCH(F31,Outputs!$B$20:$S$20,0))*100</f>
        <v>9.6574425697325772E-2</v>
      </c>
      <c r="H31" s="4"/>
      <c r="I31" s="191">
        <f t="shared" si="20"/>
        <v>1</v>
      </c>
      <c r="J31" s="191" t="s">
        <v>472</v>
      </c>
      <c r="K31" s="192">
        <f>INDEX(Outputs!$B$20:$S$45,MATCH(16,Outputs!$B$20:$B$45,0),MATCH(J31,Outputs!$B$20:$S$20,0))*100-INDEX(Outputs!$B$20:$S$45,MATCH(15,Outputs!$B$20:$B$45,0),MATCH(J31,Outputs!$B$20:$S$20,0))*100</f>
        <v>-1.1819601058977725E-3</v>
      </c>
      <c r="L31" s="191">
        <v>5</v>
      </c>
      <c r="M31" s="191" t="str">
        <f t="shared" si="21"/>
        <v>Horizon Energy</v>
      </c>
      <c r="N31" s="192">
        <f>INDEX(Outputs!$B$20:$S$45,MATCH(16,Outputs!$B$20:$B$45,0),MATCH(M31,Outputs!$B$20:$S$20,0))*100-INDEX(Outputs!$B$20:$S$45,MATCH(15,Outputs!$B$20:$B$45,0),MATCH(M31,Outputs!$B$20:$S$20,0))*100</f>
        <v>-4.8277378082275391E-2</v>
      </c>
      <c r="O31" s="165"/>
      <c r="P31" s="191">
        <f t="shared" si="22"/>
        <v>7</v>
      </c>
      <c r="Q31" s="191" t="s">
        <v>473</v>
      </c>
      <c r="R31" s="192">
        <f>INDEX(Outputs!$B$20:$S$45,MATCH(22,Outputs!$B$20:$B$45,0),MATCH(Q31,Outputs!$B$20:$S$20,0))*100-INDEX(Outputs!$B$20:$S$45,MATCH(21,Outputs!$B$20:$B$45,0),MATCH(Q31,Outputs!$B$20:$S$20,0))*100</f>
        <v>8.1325769424437588E-2</v>
      </c>
      <c r="S31" s="191">
        <v>5</v>
      </c>
      <c r="T31" s="191" t="str">
        <f t="shared" si="23"/>
        <v>Centralines</v>
      </c>
      <c r="U31" s="192">
        <f>INDEX(Outputs!$B$20:$S$45,MATCH(22,Outputs!$B$20:$B$45,0),MATCH(T31,Outputs!$B$20:$S$20,0))*100-INDEX(Outputs!$B$20:$S$45,MATCH(21,Outputs!$B$20:$B$45,0),MATCH(T31,Outputs!$B$20:$S$20,0))*100</f>
        <v>0.17897605895996005</v>
      </c>
      <c r="V31" s="4"/>
      <c r="W31" s="191">
        <f t="shared" si="24"/>
        <v>1</v>
      </c>
      <c r="X31" s="191" t="s">
        <v>4</v>
      </c>
      <c r="Y31" s="192">
        <f>INDEX(Outputs!$B$20:$S$45,MATCH(15,Outputs!$B$20:$B$45,0),MATCH(X31,Outputs!$B$20:$S$20,0))*100-INDEX(Outputs!$B$20:$S$45,MATCH(14,Outputs!$B$20:$B$45,0),MATCH(X31,Outputs!$B$20:$S$20,0))*100</f>
        <v>-0.13414859771728693</v>
      </c>
      <c r="Z31" s="191">
        <v>5</v>
      </c>
      <c r="AA31" s="191" t="str">
        <f t="shared" si="25"/>
        <v>Eastland Network</v>
      </c>
      <c r="AB31" s="192">
        <f>INDEX(Outputs!$B$20:$S$45,MATCH(15,Outputs!$B$20:$B$45,0),MATCH(AA31,Outputs!$B$20:$S$20,0))*100-INDEX(Outputs!$B$20:$S$45,MATCH(14,Outputs!$B$20:$B$45,0),MATCH(AA31,Outputs!$B$20:$S$20,0))*100</f>
        <v>-0.15015423297882169</v>
      </c>
      <c r="AC31" s="134"/>
      <c r="AD31" s="191">
        <f t="shared" si="26"/>
        <v>13</v>
      </c>
      <c r="AE31" s="191" t="s">
        <v>4</v>
      </c>
      <c r="AF31" s="192">
        <f>INDEX(Outputs!$B$20:$S$45,MATCH(23,Outputs!$B$20:$B$45,0),MATCH(AE31,Outputs!$B$20:$S$20,0))*100-INDEX(Outputs!$B$20:$S$45,MATCH(15,Outputs!$B$20:$B$45,0),MATCH(AE31,Outputs!$B$20:$S$20,0))*100</f>
        <v>-0.29084742069244207</v>
      </c>
      <c r="AG31" s="191">
        <v>5</v>
      </c>
      <c r="AH31" s="191" t="str">
        <f t="shared" si="17"/>
        <v>Horizon Energy</v>
      </c>
      <c r="AI31" s="192">
        <f>INDEX(Outputs!$B$20:$S$45,MATCH(23,Outputs!$B$20:$B$45,0),MATCH(AH31,Outputs!$B$20:$S$20,0))*100-INDEX(Outputs!$B$20:$S$45,MATCH(15,Outputs!$B$20:$B$45,0),MATCH(AH31,Outputs!$B$20:$S$20,0))*100</f>
        <v>-1.1324882507324219E-4</v>
      </c>
      <c r="AJ31" s="4"/>
      <c r="AK31" s="191">
        <f t="shared" si="27"/>
        <v>3</v>
      </c>
      <c r="AL31" s="191" t="s">
        <v>4</v>
      </c>
      <c r="AM31" s="192">
        <f>INDEX(Outputs!$B$20:$S$45,MATCH(10,Outputs!$B$20:$B$45,0),MATCH(AL31,Outputs!$B$20:$S$20,0))*100-INDEX(Outputs!$B$20:$S$45,MATCH(9,Outputs!$B$20:$B$45,0),MATCH(AL31,Outputs!$B$20:$S$20,0))*100</f>
        <v>0.3686875104904157</v>
      </c>
      <c r="AN31" s="191">
        <v>5</v>
      </c>
      <c r="AO31" s="191" t="str">
        <f t="shared" si="18"/>
        <v>The Lines Company</v>
      </c>
      <c r="AP31" s="193">
        <f>INDEX(Outputs!$B$20:$S$45,MATCH(10,Outputs!$B$20:$B$45,0),MATCH(AO31,Outputs!$B$20:$S$20,0))-INDEX(Outputs!$B$20:$S$45,MATCH(9,Outputs!$B$20:$B$45,0),MATCH(AO31,Outputs!$B$20:$S$20,0))</f>
        <v>3.4062862396240373E-3</v>
      </c>
      <c r="AQ31" s="4"/>
      <c r="AR31" s="4"/>
      <c r="AS31" s="191" t="s">
        <v>4</v>
      </c>
      <c r="AT31" s="192">
        <f>INDEX(Outputs!$B$20:$S$45,MATCH(6,Outputs!$B$20:$B$45,0),MATCH(AS31,Outputs!$B$20:$S$20,0))*100-INDEX(Outputs!$B$20:$S$45,MATCH(5,Outputs!$B$20:$B$45,0),MATCH(AS31,Outputs!$B$20:$S$20,0))*100</f>
        <v>-0.89665710926055997</v>
      </c>
      <c r="AU31" s="192">
        <f>INDEX(Outputs!$B$20:$S$45,MATCH(14,Outputs!$B$20:$B$45,0),MATCH(AS31,Outputs!$B$20:$S$20,0))*100-INDEX(Outputs!$B$20:$S$45,MATCH(2,Outputs!$B$20:$B$45,0),MATCH(AS31,Outputs!$B$20:$S$20,0))*100</f>
        <v>0.47111749649048207</v>
      </c>
    </row>
    <row r="32" spans="1:57" x14ac:dyDescent="0.25">
      <c r="B32" s="191">
        <f t="shared" si="19"/>
        <v>9</v>
      </c>
      <c r="C32" s="191" t="s">
        <v>106</v>
      </c>
      <c r="D32" s="192">
        <f>INDEX(Outputs!$B$20:$S$45,MATCH(14,Outputs!$B$20:$B$45,0),MATCH(C32,Outputs!$B$20:$S$20,0))*100-INDEX(Outputs!$B$20:$S$45,MATCH(2,Outputs!$B$20:$B$45,0),MATCH(C32,Outputs!$B$20:$S$20,0))*100</f>
        <v>-0.16186714172363459</v>
      </c>
      <c r="E32" s="191">
        <v>6</v>
      </c>
      <c r="F32" s="191" t="str">
        <f t="shared" si="16"/>
        <v>Unison Networks</v>
      </c>
      <c r="G32" s="192">
        <f>INDEX(Outputs!$B$20:$S$45,MATCH(14,Outputs!$B$20:$B$45,0),MATCH(F32,Outputs!$B$20:$S$20,0))*100-INDEX(Outputs!$B$20:$S$45,MATCH(2,Outputs!$B$20:$B$45,0),MATCH(F32,Outputs!$B$20:$S$20,0))*100</f>
        <v>-4.5095086097719062E-2</v>
      </c>
      <c r="H32" s="4"/>
      <c r="I32" s="191">
        <f t="shared" si="20"/>
        <v>8</v>
      </c>
      <c r="J32" s="191" t="s">
        <v>110</v>
      </c>
      <c r="K32" s="192">
        <f>INDEX(Outputs!$B$20:$S$45,MATCH(16,Outputs!$B$20:$B$45,0),MATCH(J32,Outputs!$B$20:$S$20,0))*100-INDEX(Outputs!$B$20:$S$45,MATCH(15,Outputs!$B$20:$B$45,0),MATCH(J32,Outputs!$B$20:$S$20,0))*100</f>
        <v>-6.3893198966981757E-2</v>
      </c>
      <c r="L32" s="191">
        <v>6</v>
      </c>
      <c r="M32" s="191" t="str">
        <f t="shared" si="21"/>
        <v>Aurora Energy</v>
      </c>
      <c r="N32" s="192">
        <f>INDEX(Outputs!$B$20:$S$45,MATCH(16,Outputs!$B$20:$B$45,0),MATCH(M32,Outputs!$B$20:$S$20,0))*100-INDEX(Outputs!$B$20:$S$45,MATCH(15,Outputs!$B$20:$B$45,0),MATCH(M32,Outputs!$B$20:$S$20,0))*100</f>
        <v>-5.7494044303894043E-2</v>
      </c>
      <c r="O32" s="164"/>
      <c r="P32" s="191">
        <f t="shared" si="22"/>
        <v>3</v>
      </c>
      <c r="Q32" s="191" t="s">
        <v>110</v>
      </c>
      <c r="R32" s="192">
        <f>INDEX(Outputs!$B$20:$S$45,MATCH(22,Outputs!$B$20:$B$45,0),MATCH(Q32,Outputs!$B$20:$S$20,0))*100-INDEX(Outputs!$B$20:$S$45,MATCH(21,Outputs!$B$20:$B$45,0),MATCH(Q32,Outputs!$B$20:$S$20,0))*100</f>
        <v>0.26712596416473389</v>
      </c>
      <c r="S32" s="191">
        <v>6</v>
      </c>
      <c r="T32" s="191" t="str">
        <f t="shared" si="23"/>
        <v>Network Tasman</v>
      </c>
      <c r="U32" s="192">
        <f>INDEX(Outputs!$B$20:$S$45,MATCH(22,Outputs!$B$20:$B$45,0),MATCH(T32,Outputs!$B$20:$S$20,0))*100-INDEX(Outputs!$B$20:$S$45,MATCH(21,Outputs!$B$20:$B$45,0),MATCH(T32,Outputs!$B$20:$S$20,0))*100</f>
        <v>0.17281353473663419</v>
      </c>
      <c r="V32" s="4"/>
      <c r="W32" s="191">
        <f t="shared" si="24"/>
        <v>16</v>
      </c>
      <c r="X32" s="191" t="s">
        <v>5</v>
      </c>
      <c r="Y32" s="192">
        <f>INDEX(Outputs!$B$20:$S$45,MATCH(15,Outputs!$B$20:$B$45,0),MATCH(X32,Outputs!$B$20:$S$20,0))*100-INDEX(Outputs!$B$20:$S$45,MATCH(14,Outputs!$B$20:$B$45,0),MATCH(X32,Outputs!$B$20:$S$20,0))*100</f>
        <v>-0.17491936683654874</v>
      </c>
      <c r="Z32" s="191">
        <v>6</v>
      </c>
      <c r="AA32" s="191" t="str">
        <f t="shared" si="25"/>
        <v>Aurora Energy</v>
      </c>
      <c r="AB32" s="192">
        <f>INDEX(Outputs!$B$20:$S$45,MATCH(15,Outputs!$B$20:$B$45,0),MATCH(AA32,Outputs!$B$20:$S$20,0))*100-INDEX(Outputs!$B$20:$S$45,MATCH(14,Outputs!$B$20:$B$45,0),MATCH(AA32,Outputs!$B$20:$S$20,0))*100</f>
        <v>-0.154105424880985</v>
      </c>
      <c r="AC32" s="134"/>
      <c r="AD32" s="191">
        <f t="shared" si="26"/>
        <v>12</v>
      </c>
      <c r="AE32" s="191" t="s">
        <v>5</v>
      </c>
      <c r="AF32" s="192">
        <f>INDEX(Outputs!$B$20:$S$45,MATCH(23,Outputs!$B$20:$B$45,0),MATCH(AE32,Outputs!$B$20:$S$20,0))*100-INDEX(Outputs!$B$20:$S$45,MATCH(15,Outputs!$B$20:$B$45,0),MATCH(AE32,Outputs!$B$20:$S$20,0))*100</f>
        <v>-0.17888963222503751</v>
      </c>
      <c r="AG32" s="191">
        <v>6</v>
      </c>
      <c r="AH32" s="191" t="str">
        <f t="shared" si="17"/>
        <v>Wellington Electricity</v>
      </c>
      <c r="AI32" s="192">
        <f>INDEX(Outputs!$B$20:$S$45,MATCH(23,Outputs!$B$20:$B$45,0),MATCH(AH32,Outputs!$B$20:$S$20,0))*100-INDEX(Outputs!$B$20:$S$45,MATCH(15,Outputs!$B$20:$B$45,0),MATCH(AH32,Outputs!$B$20:$S$20,0))*100</f>
        <v>-1.3017654418947089E-2</v>
      </c>
      <c r="AJ32" s="4"/>
      <c r="AK32" s="191">
        <f t="shared" si="27"/>
        <v>8</v>
      </c>
      <c r="AL32" s="191" t="s">
        <v>5</v>
      </c>
      <c r="AM32" s="192">
        <f>INDEX(Outputs!$B$20:$S$45,MATCH(10,Outputs!$B$20:$B$45,0),MATCH(AL32,Outputs!$B$20:$S$20,0))*100-INDEX(Outputs!$B$20:$S$45,MATCH(9,Outputs!$B$20:$B$45,0),MATCH(AL32,Outputs!$B$20:$S$20,0))*100</f>
        <v>0.30824303627014071</v>
      </c>
      <c r="AN32" s="191">
        <v>6</v>
      </c>
      <c r="AO32" s="191" t="str">
        <f t="shared" si="18"/>
        <v>Eastland Network</v>
      </c>
      <c r="AP32" s="193">
        <f>INDEX(Outputs!$B$20:$S$45,MATCH(10,Outputs!$B$20:$B$45,0),MATCH(AO32,Outputs!$B$20:$S$20,0))-INDEX(Outputs!$B$20:$S$45,MATCH(9,Outputs!$B$20:$B$45,0),MATCH(AO32,Outputs!$B$20:$S$20,0))</f>
        <v>3.3934652805328452E-3</v>
      </c>
      <c r="AQ32" s="4"/>
      <c r="AR32" s="4"/>
      <c r="AS32" s="191" t="s">
        <v>5</v>
      </c>
      <c r="AT32" s="192">
        <f>INDEX(Outputs!$B$20:$S$45,MATCH(6,Outputs!$B$20:$B$45,0),MATCH(AS32,Outputs!$B$20:$S$20,0))*100-INDEX(Outputs!$B$20:$S$45,MATCH(5,Outputs!$B$20:$B$45,0),MATCH(AS32,Outputs!$B$20:$S$20,0))*100</f>
        <v>-0.12630105018615723</v>
      </c>
      <c r="AU32" s="192">
        <f>INDEX(Outputs!$B$20:$S$45,MATCH(14,Outputs!$B$20:$B$45,0),MATCH(AS32,Outputs!$B$20:$S$20,0))*100-INDEX(Outputs!$B$20:$S$45,MATCH(2,Outputs!$B$20:$B$45,0),MATCH(AS32,Outputs!$B$20:$S$20,0))*100</f>
        <v>-0.41335582733154386</v>
      </c>
    </row>
    <row r="33" spans="2:54" x14ac:dyDescent="0.25">
      <c r="B33" s="191">
        <f t="shared" si="19"/>
        <v>8</v>
      </c>
      <c r="C33" s="191" t="s">
        <v>109</v>
      </c>
      <c r="D33" s="192">
        <f>INDEX(Outputs!$B$20:$S$45,MATCH(14,Outputs!$B$20:$B$45,0),MATCH(C33,Outputs!$B$20:$S$20,0))*100-INDEX(Outputs!$B$20:$S$45,MATCH(2,Outputs!$B$20:$B$45,0),MATCH(C33,Outputs!$B$20:$S$20,0))*100</f>
        <v>-0.12520015239715576</v>
      </c>
      <c r="E33" s="191">
        <v>7</v>
      </c>
      <c r="F33" s="191" t="str">
        <f t="shared" si="16"/>
        <v>Powerco</v>
      </c>
      <c r="G33" s="192">
        <f>INDEX(Outputs!$B$20:$S$45,MATCH(14,Outputs!$B$20:$B$45,0),MATCH(F33,Outputs!$B$20:$S$20,0))*100-INDEX(Outputs!$B$20:$S$45,MATCH(2,Outputs!$B$20:$B$45,0),MATCH(F33,Outputs!$B$20:$S$20,0))*100</f>
        <v>-0.11184930801391246</v>
      </c>
      <c r="H33" s="4"/>
      <c r="I33" s="191">
        <f t="shared" si="20"/>
        <v>9</v>
      </c>
      <c r="J33" s="191" t="s">
        <v>5</v>
      </c>
      <c r="K33" s="192">
        <f>INDEX(Outputs!$B$20:$S$45,MATCH(16,Outputs!$B$20:$B$45,0),MATCH(J33,Outputs!$B$20:$S$20,0))*100-INDEX(Outputs!$B$20:$S$45,MATCH(15,Outputs!$B$20:$B$45,0),MATCH(J33,Outputs!$B$20:$S$20,0))*100</f>
        <v>-0.12234807014465243</v>
      </c>
      <c r="L33" s="191">
        <v>7</v>
      </c>
      <c r="M33" s="191" t="str">
        <f t="shared" si="21"/>
        <v>Powerco</v>
      </c>
      <c r="N33" s="192">
        <f>INDEX(Outputs!$B$20:$S$45,MATCH(16,Outputs!$B$20:$B$45,0),MATCH(M33,Outputs!$B$20:$S$20,0))*100-INDEX(Outputs!$B$20:$S$45,MATCH(15,Outputs!$B$20:$B$45,0),MATCH(M33,Outputs!$B$20:$S$20,0))*100</f>
        <v>-6.3530206680299628E-2</v>
      </c>
      <c r="O33" s="164"/>
      <c r="P33" s="191">
        <f t="shared" si="22"/>
        <v>6</v>
      </c>
      <c r="Q33" s="191" t="s">
        <v>109</v>
      </c>
      <c r="R33" s="192">
        <f>INDEX(Outputs!$B$20:$S$45,MATCH(22,Outputs!$B$20:$B$45,0),MATCH(Q33,Outputs!$B$20:$S$20,0))*100-INDEX(Outputs!$B$20:$S$45,MATCH(21,Outputs!$B$20:$B$45,0),MATCH(Q33,Outputs!$B$20:$S$20,0))*100</f>
        <v>0.17281353473663419</v>
      </c>
      <c r="S33" s="191">
        <v>7</v>
      </c>
      <c r="T33" s="191" t="str">
        <f t="shared" si="23"/>
        <v>Unison Networks</v>
      </c>
      <c r="U33" s="192">
        <f>INDEX(Outputs!$B$20:$S$45,MATCH(22,Outputs!$B$20:$B$45,0),MATCH(T33,Outputs!$B$20:$S$20,0))*100-INDEX(Outputs!$B$20:$S$45,MATCH(21,Outputs!$B$20:$B$45,0),MATCH(T33,Outputs!$B$20:$S$20,0))*100</f>
        <v>8.1325769424437588E-2</v>
      </c>
      <c r="V33" s="4"/>
      <c r="W33" s="191">
        <f t="shared" si="24"/>
        <v>15</v>
      </c>
      <c r="X33" s="191" t="s">
        <v>107</v>
      </c>
      <c r="Y33" s="192">
        <f>INDEX(Outputs!$B$20:$S$45,MATCH(15,Outputs!$B$20:$B$45,0),MATCH(X33,Outputs!$B$20:$S$20,0))*100-INDEX(Outputs!$B$20:$S$45,MATCH(14,Outputs!$B$20:$B$45,0),MATCH(X33,Outputs!$B$20:$S$20,0))*100</f>
        <v>-0.16615986824035645</v>
      </c>
      <c r="Z33" s="191">
        <v>7</v>
      </c>
      <c r="AA33" s="191" t="str">
        <f t="shared" si="25"/>
        <v>Unison Networks</v>
      </c>
      <c r="AB33" s="192">
        <f>INDEX(Outputs!$B$20:$S$45,MATCH(15,Outputs!$B$20:$B$45,0),MATCH(AA33,Outputs!$B$20:$S$20,0))*100-INDEX(Outputs!$B$20:$S$45,MATCH(14,Outputs!$B$20:$B$45,0),MATCH(AA33,Outputs!$B$20:$S$20,0))*100</f>
        <v>-0.15519082546234042</v>
      </c>
      <c r="AC33" s="134"/>
      <c r="AD33" s="191">
        <f t="shared" si="26"/>
        <v>5</v>
      </c>
      <c r="AE33" s="191" t="s">
        <v>107</v>
      </c>
      <c r="AF33" s="192">
        <f>INDEX(Outputs!$B$20:$S$45,MATCH(23,Outputs!$B$20:$B$45,0),MATCH(AE33,Outputs!$B$20:$S$20,0))*100-INDEX(Outputs!$B$20:$S$45,MATCH(15,Outputs!$B$20:$B$45,0),MATCH(AE33,Outputs!$B$20:$S$20,0))*100</f>
        <v>-1.1324882507324219E-4</v>
      </c>
      <c r="AG33" s="191">
        <v>7</v>
      </c>
      <c r="AH33" s="191" t="str">
        <f t="shared" si="17"/>
        <v>Powerco</v>
      </c>
      <c r="AI33" s="192">
        <f>INDEX(Outputs!$B$20:$S$45,MATCH(23,Outputs!$B$20:$B$45,0),MATCH(AH33,Outputs!$B$20:$S$20,0))*100-INDEX(Outputs!$B$20:$S$45,MATCH(15,Outputs!$B$20:$B$45,0),MATCH(AH33,Outputs!$B$20:$S$20,0))*100</f>
        <v>-3.4484863281251776E-2</v>
      </c>
      <c r="AJ33" s="4"/>
      <c r="AK33" s="191">
        <f t="shared" si="27"/>
        <v>9</v>
      </c>
      <c r="AL33" s="191" t="s">
        <v>107</v>
      </c>
      <c r="AM33" s="192">
        <f>INDEX(Outputs!$B$20:$S$45,MATCH(10,Outputs!$B$20:$B$45,0),MATCH(AL33,Outputs!$B$20:$S$20,0))*100-INDEX(Outputs!$B$20:$S$45,MATCH(9,Outputs!$B$20:$B$45,0),MATCH(AL33,Outputs!$B$20:$S$20,0))*100</f>
        <v>0.29716908931732444</v>
      </c>
      <c r="AN33" s="191">
        <v>7</v>
      </c>
      <c r="AO33" s="191" t="str">
        <f t="shared" si="18"/>
        <v>Vector Lines</v>
      </c>
      <c r="AP33" s="193">
        <f>INDEX(Outputs!$B$20:$S$45,MATCH(10,Outputs!$B$20:$B$45,0),MATCH(AO33,Outputs!$B$20:$S$20,0))-INDEX(Outputs!$B$20:$S$45,MATCH(9,Outputs!$B$20:$B$45,0),MATCH(AO33,Outputs!$B$20:$S$20,0))</f>
        <v>3.1619191169738603E-3</v>
      </c>
      <c r="AQ33" s="4"/>
      <c r="AR33" s="4"/>
      <c r="AS33" s="191" t="s">
        <v>107</v>
      </c>
      <c r="AT33" s="192">
        <f>INDEX(Outputs!$B$20:$S$45,MATCH(6,Outputs!$B$20:$B$45,0),MATCH(AS33,Outputs!$B$20:$S$20,0))*100-INDEX(Outputs!$B$20:$S$45,MATCH(5,Outputs!$B$20:$B$45,0),MATCH(AS33,Outputs!$B$20:$S$20,0))*100</f>
        <v>-0.30896544456481845</v>
      </c>
      <c r="AU33" s="192">
        <f>INDEX(Outputs!$B$20:$S$45,MATCH(14,Outputs!$B$20:$B$45,0),MATCH(AS33,Outputs!$B$20:$S$20,0))*100-INDEX(Outputs!$B$20:$S$45,MATCH(2,Outputs!$B$20:$B$45,0),MATCH(AS33,Outputs!$B$20:$S$20,0))*100</f>
        <v>0.12078404426574618</v>
      </c>
    </row>
    <row r="34" spans="2:54" x14ac:dyDescent="0.25">
      <c r="B34" s="191">
        <f t="shared" si="19"/>
        <v>6</v>
      </c>
      <c r="C34" s="191" t="s">
        <v>473</v>
      </c>
      <c r="D34" s="192">
        <f>INDEX(Outputs!$B$20:$S$45,MATCH(14,Outputs!$B$20:$B$45,0),MATCH(C34,Outputs!$B$20:$S$20,0))*100-INDEX(Outputs!$B$20:$S$45,MATCH(2,Outputs!$B$20:$B$45,0),MATCH(C34,Outputs!$B$20:$S$20,0))*100</f>
        <v>-4.5095086097719062E-2</v>
      </c>
      <c r="E34" s="191">
        <v>8</v>
      </c>
      <c r="F34" s="191" t="str">
        <f t="shared" si="16"/>
        <v>Network Tasman</v>
      </c>
      <c r="G34" s="192">
        <f>INDEX(Outputs!$B$20:$S$45,MATCH(14,Outputs!$B$20:$B$45,0),MATCH(F34,Outputs!$B$20:$S$20,0))*100-INDEX(Outputs!$B$20:$S$45,MATCH(2,Outputs!$B$20:$B$45,0),MATCH(F34,Outputs!$B$20:$S$20,0))*100</f>
        <v>-0.12520015239715576</v>
      </c>
      <c r="H34" s="4"/>
      <c r="I34" s="191">
        <f t="shared" si="20"/>
        <v>7</v>
      </c>
      <c r="J34" s="191" t="s">
        <v>111</v>
      </c>
      <c r="K34" s="192">
        <f>INDEX(Outputs!$B$20:$S$45,MATCH(16,Outputs!$B$20:$B$45,0),MATCH(J34,Outputs!$B$20:$S$20,0))*100-INDEX(Outputs!$B$20:$S$45,MATCH(15,Outputs!$B$20:$B$45,0),MATCH(J34,Outputs!$B$20:$S$20,0))*100</f>
        <v>-6.3530206680299628E-2</v>
      </c>
      <c r="L34" s="191">
        <v>8</v>
      </c>
      <c r="M34" s="191" t="str">
        <f t="shared" si="21"/>
        <v>OtagoNet</v>
      </c>
      <c r="N34" s="192">
        <f>INDEX(Outputs!$B$20:$S$45,MATCH(16,Outputs!$B$20:$B$45,0),MATCH(M34,Outputs!$B$20:$S$20,0))*100-INDEX(Outputs!$B$20:$S$45,MATCH(15,Outputs!$B$20:$B$45,0),MATCH(M34,Outputs!$B$20:$S$20,0))*100</f>
        <v>-6.3893198966981757E-2</v>
      </c>
      <c r="O34" s="165"/>
      <c r="P34" s="191">
        <f t="shared" si="22"/>
        <v>8</v>
      </c>
      <c r="Q34" s="191" t="s">
        <v>107</v>
      </c>
      <c r="R34" s="192">
        <f>INDEX(Outputs!$B$20:$S$45,MATCH(22,Outputs!$B$20:$B$45,0),MATCH(Q34,Outputs!$B$20:$S$20,0))*100-INDEX(Outputs!$B$20:$S$45,MATCH(21,Outputs!$B$20:$B$45,0),MATCH(Q34,Outputs!$B$20:$S$20,0))*100</f>
        <v>6.8181753158568448E-2</v>
      </c>
      <c r="S34" s="191">
        <v>8</v>
      </c>
      <c r="T34" s="191" t="str">
        <f t="shared" si="23"/>
        <v>Horizon Energy</v>
      </c>
      <c r="U34" s="192">
        <f>INDEX(Outputs!$B$20:$S$45,MATCH(22,Outputs!$B$20:$B$45,0),MATCH(T34,Outputs!$B$20:$S$20,0))*100-INDEX(Outputs!$B$20:$S$45,MATCH(21,Outputs!$B$20:$B$45,0),MATCH(T34,Outputs!$B$20:$S$20,0))*100</f>
        <v>6.8181753158568448E-2</v>
      </c>
      <c r="V34" s="4"/>
      <c r="W34" s="191">
        <f t="shared" si="24"/>
        <v>12</v>
      </c>
      <c r="X34" s="191" t="s">
        <v>108</v>
      </c>
      <c r="Y34" s="192">
        <f>INDEX(Outputs!$B$20:$S$45,MATCH(15,Outputs!$B$20:$B$45,0),MATCH(X34,Outputs!$B$20:$S$20,0))*100-INDEX(Outputs!$B$20:$S$45,MATCH(14,Outputs!$B$20:$B$45,0),MATCH(X34,Outputs!$B$20:$S$20,0))*100</f>
        <v>-0.15833020210266113</v>
      </c>
      <c r="Z34" s="191">
        <v>8</v>
      </c>
      <c r="AA34" s="191" t="str">
        <f t="shared" si="25"/>
        <v>The Lines Company</v>
      </c>
      <c r="AB34" s="192">
        <f>INDEX(Outputs!$B$20:$S$45,MATCH(15,Outputs!$B$20:$B$45,0),MATCH(AA34,Outputs!$B$20:$S$20,0))*100-INDEX(Outputs!$B$20:$S$45,MATCH(14,Outputs!$B$20:$B$45,0),MATCH(AA34,Outputs!$B$20:$S$20,0))*100</f>
        <v>-0.1558297872543335</v>
      </c>
      <c r="AC34" s="134"/>
      <c r="AD34" s="191">
        <f t="shared" si="26"/>
        <v>3</v>
      </c>
      <c r="AE34" s="191" t="s">
        <v>108</v>
      </c>
      <c r="AF34" s="192">
        <f>INDEX(Outputs!$B$20:$S$45,MATCH(23,Outputs!$B$20:$B$45,0),MATCH(AE34,Outputs!$B$20:$S$20,0))*100-INDEX(Outputs!$B$20:$S$45,MATCH(15,Outputs!$B$20:$B$45,0),MATCH(AE34,Outputs!$B$20:$S$20,0))*100</f>
        <v>0.15077352523803622</v>
      </c>
      <c r="AG34" s="191">
        <v>8</v>
      </c>
      <c r="AH34" s="191" t="str">
        <f t="shared" si="17"/>
        <v>Top Energy</v>
      </c>
      <c r="AI34" s="192">
        <f>INDEX(Outputs!$B$20:$S$45,MATCH(23,Outputs!$B$20:$B$45,0),MATCH(AH34,Outputs!$B$20:$S$20,0))*100-INDEX(Outputs!$B$20:$S$45,MATCH(15,Outputs!$B$20:$B$45,0),MATCH(AH34,Outputs!$B$20:$S$20,0))*100</f>
        <v>-0.11087238788604559</v>
      </c>
      <c r="AJ34" s="4"/>
      <c r="AK34" s="191">
        <f t="shared" si="27"/>
        <v>13</v>
      </c>
      <c r="AL34" s="191" t="s">
        <v>108</v>
      </c>
      <c r="AM34" s="192">
        <f>INDEX(Outputs!$B$20:$S$45,MATCH(10,Outputs!$B$20:$B$45,0),MATCH(AL34,Outputs!$B$20:$S$20,0))*100-INDEX(Outputs!$B$20:$S$45,MATCH(9,Outputs!$B$20:$B$45,0),MATCH(AL34,Outputs!$B$20:$S$20,0))*100</f>
        <v>0.23627877235412509</v>
      </c>
      <c r="AN34" s="191">
        <v>8</v>
      </c>
      <c r="AO34" s="191" t="str">
        <f t="shared" si="18"/>
        <v>Electricity Invercargill</v>
      </c>
      <c r="AP34" s="193">
        <f>INDEX(Outputs!$B$20:$S$45,MATCH(10,Outputs!$B$20:$B$45,0),MATCH(AO34,Outputs!$B$20:$S$20,0))-INDEX(Outputs!$B$20:$S$45,MATCH(9,Outputs!$B$20:$B$45,0),MATCH(AO34,Outputs!$B$20:$S$20,0))</f>
        <v>3.0824303627014077E-3</v>
      </c>
      <c r="AQ34" s="4"/>
      <c r="AR34" s="4"/>
      <c r="AS34" s="191" t="s">
        <v>108</v>
      </c>
      <c r="AT34" s="192">
        <f>INDEX(Outputs!$B$20:$S$45,MATCH(6,Outputs!$B$20:$B$45,0),MATCH(AS34,Outputs!$B$20:$S$20,0))*100-INDEX(Outputs!$B$20:$S$45,MATCH(5,Outputs!$B$20:$B$45,0),MATCH(AS34,Outputs!$B$20:$S$20,0))*100</f>
        <v>0.54176330566406428</v>
      </c>
      <c r="AU34" s="192">
        <f>INDEX(Outputs!$B$20:$S$45,MATCH(14,Outputs!$B$20:$B$45,0),MATCH(AS34,Outputs!$B$20:$S$20,0))*100-INDEX(Outputs!$B$20:$S$45,MATCH(2,Outputs!$B$20:$B$45,0),MATCH(AS34,Outputs!$B$20:$S$20,0))*100</f>
        <v>-0.95834910869598566</v>
      </c>
    </row>
    <row r="35" spans="2:54" x14ac:dyDescent="0.25">
      <c r="B35" s="191">
        <f t="shared" si="19"/>
        <v>10</v>
      </c>
      <c r="C35" s="191" t="s">
        <v>474</v>
      </c>
      <c r="D35" s="192">
        <f>INDEX(Outputs!$B$20:$S$45,MATCH(14,Outputs!$B$20:$B$45,0),MATCH(C35,Outputs!$B$20:$S$20,0))*100-INDEX(Outputs!$B$20:$S$45,MATCH(2,Outputs!$B$20:$B$45,0),MATCH(C35,Outputs!$B$20:$S$20,0))*100</f>
        <v>-0.30574262142181485</v>
      </c>
      <c r="E35" s="191">
        <v>9</v>
      </c>
      <c r="F35" s="191" t="str">
        <f t="shared" si="16"/>
        <v>Centralines</v>
      </c>
      <c r="G35" s="192">
        <f>INDEX(Outputs!$B$20:$S$45,MATCH(14,Outputs!$B$20:$B$45,0),MATCH(F35,Outputs!$B$20:$S$20,0))*100-INDEX(Outputs!$B$20:$S$45,MATCH(2,Outputs!$B$20:$B$45,0),MATCH(F35,Outputs!$B$20:$S$20,0))*100</f>
        <v>-0.16186714172363459</v>
      </c>
      <c r="H35" s="4"/>
      <c r="I35" s="191">
        <f t="shared" si="20"/>
        <v>10</v>
      </c>
      <c r="J35" s="191" t="s">
        <v>108</v>
      </c>
      <c r="K35" s="192">
        <f>INDEX(Outputs!$B$20:$S$45,MATCH(16,Outputs!$B$20:$B$45,0),MATCH(J35,Outputs!$B$20:$S$20,0))*100-INDEX(Outputs!$B$20:$S$45,MATCH(15,Outputs!$B$20:$B$45,0),MATCH(J35,Outputs!$B$20:$S$20,0))*100</f>
        <v>-0.12739121913910001</v>
      </c>
      <c r="L35" s="191">
        <v>9</v>
      </c>
      <c r="M35" s="191" t="str">
        <f t="shared" si="21"/>
        <v>Electricity Invercargill</v>
      </c>
      <c r="N35" s="192">
        <f>INDEX(Outputs!$B$20:$S$45,MATCH(16,Outputs!$B$20:$B$45,0),MATCH(M35,Outputs!$B$20:$S$20,0))*100-INDEX(Outputs!$B$20:$S$45,MATCH(15,Outputs!$B$20:$B$45,0),MATCH(M35,Outputs!$B$20:$S$20,0))*100</f>
        <v>-0.12234807014465243</v>
      </c>
      <c r="O35" s="164"/>
      <c r="P35" s="191">
        <f t="shared" si="22"/>
        <v>10</v>
      </c>
      <c r="Q35" s="191" t="s">
        <v>113</v>
      </c>
      <c r="R35" s="192">
        <f>INDEX(Outputs!$B$20:$S$45,MATCH(22,Outputs!$B$20:$B$45,0),MATCH(Q35,Outputs!$B$20:$S$20,0))*100-INDEX(Outputs!$B$20:$S$45,MATCH(21,Outputs!$B$20:$B$45,0),MATCH(Q35,Outputs!$B$20:$S$20,0))*100</f>
        <v>1.9779205322267401E-2</v>
      </c>
      <c r="S35" s="191">
        <v>9</v>
      </c>
      <c r="T35" s="191" t="str">
        <f t="shared" si="23"/>
        <v>Electricity Ashburton</v>
      </c>
      <c r="U35" s="192">
        <f>INDEX(Outputs!$B$20:$S$45,MATCH(22,Outputs!$B$20:$B$45,0),MATCH(T35,Outputs!$B$20:$S$20,0))*100-INDEX(Outputs!$B$20:$S$45,MATCH(21,Outputs!$B$20:$B$45,0),MATCH(T35,Outputs!$B$20:$S$20,0))*100</f>
        <v>3.0457973480225498E-2</v>
      </c>
      <c r="V35" s="4"/>
      <c r="W35" s="191">
        <f t="shared" si="24"/>
        <v>11</v>
      </c>
      <c r="X35" s="191" t="s">
        <v>109</v>
      </c>
      <c r="Y35" s="192">
        <f>INDEX(Outputs!$B$20:$S$45,MATCH(15,Outputs!$B$20:$B$45,0),MATCH(X35,Outputs!$B$20:$S$20,0))*100-INDEX(Outputs!$B$20:$S$45,MATCH(14,Outputs!$B$20:$B$45,0),MATCH(X35,Outputs!$B$20:$S$20,0))*100</f>
        <v>-0.15817701816558749</v>
      </c>
      <c r="Z35" s="191">
        <v>9</v>
      </c>
      <c r="AA35" s="191" t="str">
        <f t="shared" si="25"/>
        <v>Centralines</v>
      </c>
      <c r="AB35" s="192">
        <f>INDEX(Outputs!$B$20:$S$45,MATCH(15,Outputs!$B$20:$B$45,0),MATCH(AA35,Outputs!$B$20:$S$20,0))*100-INDEX(Outputs!$B$20:$S$45,MATCH(14,Outputs!$B$20:$B$45,0),MATCH(AA35,Outputs!$B$20:$S$20,0))*100</f>
        <v>-0.15591979026794522</v>
      </c>
      <c r="AC35" s="134"/>
      <c r="AD35" s="191">
        <f t="shared" si="26"/>
        <v>15</v>
      </c>
      <c r="AE35" s="191" t="s">
        <v>109</v>
      </c>
      <c r="AF35" s="192">
        <f>INDEX(Outputs!$B$20:$S$45,MATCH(23,Outputs!$B$20:$B$45,0),MATCH(AE35,Outputs!$B$20:$S$20,0))*100-INDEX(Outputs!$B$20:$S$45,MATCH(15,Outputs!$B$20:$B$45,0),MATCH(AE35,Outputs!$B$20:$S$20,0))*100</f>
        <v>-0.84370315074920832</v>
      </c>
      <c r="AG35" s="191">
        <v>9</v>
      </c>
      <c r="AH35" s="191" t="str">
        <f t="shared" si="17"/>
        <v>Eastland Network</v>
      </c>
      <c r="AI35" s="192">
        <f>INDEX(Outputs!$B$20:$S$45,MATCH(23,Outputs!$B$20:$B$45,0),MATCH(AH35,Outputs!$B$20:$S$20,0))*100-INDEX(Outputs!$B$20:$S$45,MATCH(15,Outputs!$B$20:$B$45,0),MATCH(AH35,Outputs!$B$20:$S$20,0))*100</f>
        <v>-0.1134687662124616</v>
      </c>
      <c r="AJ35" s="4"/>
      <c r="AK35" s="191">
        <f t="shared" si="27"/>
        <v>16</v>
      </c>
      <c r="AL35" s="191" t="s">
        <v>109</v>
      </c>
      <c r="AM35" s="192">
        <f>INDEX(Outputs!$B$20:$S$45,MATCH(10,Outputs!$B$20:$B$45,0),MATCH(AL35,Outputs!$B$20:$S$20,0))*100-INDEX(Outputs!$B$20:$S$45,MATCH(9,Outputs!$B$20:$B$45,0),MATCH(AL35,Outputs!$B$20:$S$20,0))*100</f>
        <v>0.15631377696990967</v>
      </c>
      <c r="AN35" s="191">
        <v>9</v>
      </c>
      <c r="AO35" s="191" t="str">
        <f t="shared" si="18"/>
        <v>Horizon Energy</v>
      </c>
      <c r="AP35" s="193">
        <f>INDEX(Outputs!$B$20:$S$45,MATCH(10,Outputs!$B$20:$B$45,0),MATCH(AO35,Outputs!$B$20:$S$20,0))-INDEX(Outputs!$B$20:$S$45,MATCH(9,Outputs!$B$20:$B$45,0),MATCH(AO35,Outputs!$B$20:$S$20,0))</f>
        <v>2.9716908931732428E-3</v>
      </c>
      <c r="AQ35" s="4"/>
      <c r="AR35" s="4"/>
      <c r="AS35" s="191" t="s">
        <v>109</v>
      </c>
      <c r="AT35" s="192">
        <f>INDEX(Outputs!$B$20:$S$45,MATCH(6,Outputs!$B$20:$B$45,0),MATCH(AS35,Outputs!$B$20:$S$20,0))*100-INDEX(Outputs!$B$20:$S$45,MATCH(5,Outputs!$B$20:$B$45,0),MATCH(AS35,Outputs!$B$20:$S$20,0))*100</f>
        <v>-0.56626379489898859</v>
      </c>
      <c r="AU35" s="192">
        <f>INDEX(Outputs!$B$20:$S$45,MATCH(14,Outputs!$B$20:$B$45,0),MATCH(AS35,Outputs!$B$20:$S$20,0))*100-INDEX(Outputs!$B$20:$S$45,MATCH(2,Outputs!$B$20:$B$45,0),MATCH(AS35,Outputs!$B$20:$S$20,0))*100</f>
        <v>-0.12520015239715576</v>
      </c>
    </row>
    <row r="36" spans="2:54" x14ac:dyDescent="0.25">
      <c r="B36" s="191">
        <f t="shared" si="19"/>
        <v>7</v>
      </c>
      <c r="C36" s="191" t="s">
        <v>111</v>
      </c>
      <c r="D36" s="192">
        <f>INDEX(Outputs!$B$20:$S$45,MATCH(14,Outputs!$B$20:$B$45,0),MATCH(C36,Outputs!$B$20:$S$20,0))*100-INDEX(Outputs!$B$20:$S$45,MATCH(2,Outputs!$B$20:$B$45,0),MATCH(C36,Outputs!$B$20:$S$20,0))*100</f>
        <v>-0.11184930801391246</v>
      </c>
      <c r="E36" s="191">
        <v>10</v>
      </c>
      <c r="F36" s="191" t="str">
        <f t="shared" si="16"/>
        <v>Eastland Network</v>
      </c>
      <c r="G36" s="192">
        <f>INDEX(Outputs!$B$20:$S$45,MATCH(14,Outputs!$B$20:$B$45,0),MATCH(F36,Outputs!$B$20:$S$20,0))*100-INDEX(Outputs!$B$20:$S$45,MATCH(2,Outputs!$B$20:$B$45,0),MATCH(F36,Outputs!$B$20:$S$20,0))*100</f>
        <v>-0.30574262142181485</v>
      </c>
      <c r="H36" s="4"/>
      <c r="I36" s="191">
        <f t="shared" si="20"/>
        <v>11</v>
      </c>
      <c r="J36" s="191" t="s">
        <v>105</v>
      </c>
      <c r="K36" s="192">
        <f>INDEX(Outputs!$B$20:$S$45,MATCH(16,Outputs!$B$20:$B$45,0),MATCH(J36,Outputs!$B$20:$S$20,0))*100-INDEX(Outputs!$B$20:$S$45,MATCH(15,Outputs!$B$20:$B$45,0),MATCH(J36,Outputs!$B$20:$S$20,0))*100</f>
        <v>-0.23985803127288818</v>
      </c>
      <c r="L36" s="191">
        <v>10</v>
      </c>
      <c r="M36" s="191" t="str">
        <f t="shared" si="21"/>
        <v>Nelson Electricity</v>
      </c>
      <c r="N36" s="192">
        <f>INDEX(Outputs!$B$20:$S$45,MATCH(16,Outputs!$B$20:$B$45,0),MATCH(M36,Outputs!$B$20:$S$20,0))*100-INDEX(Outputs!$B$20:$S$45,MATCH(15,Outputs!$B$20:$B$45,0),MATCH(M36,Outputs!$B$20:$S$20,0))*100</f>
        <v>-0.12739121913910001</v>
      </c>
      <c r="O36" s="165"/>
      <c r="P36" s="191">
        <f t="shared" si="22"/>
        <v>9</v>
      </c>
      <c r="Q36" s="191" t="s">
        <v>4</v>
      </c>
      <c r="R36" s="192">
        <f>INDEX(Outputs!$B$20:$S$45,MATCH(22,Outputs!$B$20:$B$45,0),MATCH(Q36,Outputs!$B$20:$S$20,0))*100-INDEX(Outputs!$B$20:$S$45,MATCH(21,Outputs!$B$20:$B$45,0),MATCH(Q36,Outputs!$B$20:$S$20,0))*100</f>
        <v>3.0457973480225498E-2</v>
      </c>
      <c r="S36" s="191">
        <v>10</v>
      </c>
      <c r="T36" s="191" t="str">
        <f t="shared" si="23"/>
        <v>Wellington Electricity</v>
      </c>
      <c r="U36" s="192">
        <f>INDEX(Outputs!$B$20:$S$45,MATCH(22,Outputs!$B$20:$B$45,0),MATCH(T36,Outputs!$B$20:$S$20,0))*100-INDEX(Outputs!$B$20:$S$45,MATCH(21,Outputs!$B$20:$B$45,0),MATCH(T36,Outputs!$B$20:$S$20,0))*100</f>
        <v>1.9779205322267401E-2</v>
      </c>
      <c r="V36" s="4"/>
      <c r="W36" s="191">
        <f t="shared" si="24"/>
        <v>4</v>
      </c>
      <c r="X36" s="191" t="s">
        <v>110</v>
      </c>
      <c r="Y36" s="192">
        <f>INDEX(Outputs!$B$20:$S$45,MATCH(15,Outputs!$B$20:$B$45,0),MATCH(X36,Outputs!$B$20:$S$20,0))*100-INDEX(Outputs!$B$20:$S$45,MATCH(14,Outputs!$B$20:$B$45,0),MATCH(X36,Outputs!$B$20:$S$20,0))*100</f>
        <v>-0.14652848243713468</v>
      </c>
      <c r="Z36" s="191">
        <v>10</v>
      </c>
      <c r="AA36" s="191" t="str">
        <f t="shared" si="25"/>
        <v>Powerco</v>
      </c>
      <c r="AB36" s="192">
        <f>INDEX(Outputs!$B$20:$S$45,MATCH(15,Outputs!$B$20:$B$45,0),MATCH(AA36,Outputs!$B$20:$S$20,0))*100-INDEX(Outputs!$B$20:$S$45,MATCH(14,Outputs!$B$20:$B$45,0),MATCH(AA36,Outputs!$B$20:$S$20,0))*100</f>
        <v>-0.15617191791534513</v>
      </c>
      <c r="AC36" s="134"/>
      <c r="AD36" s="191">
        <f t="shared" si="26"/>
        <v>1</v>
      </c>
      <c r="AE36" s="191" t="s">
        <v>110</v>
      </c>
      <c r="AF36" s="192">
        <f>INDEX(Outputs!$B$20:$S$45,MATCH(23,Outputs!$B$20:$B$45,0),MATCH(AE36,Outputs!$B$20:$S$20,0))*100-INDEX(Outputs!$B$20:$S$45,MATCH(15,Outputs!$B$20:$B$45,0),MATCH(AE36,Outputs!$B$20:$S$20,0))*100</f>
        <v>0.41530251502990811</v>
      </c>
      <c r="AG36" s="191">
        <v>10</v>
      </c>
      <c r="AH36" s="191" t="str">
        <f t="shared" si="17"/>
        <v>Vector Lines</v>
      </c>
      <c r="AI36" s="192">
        <f>INDEX(Outputs!$B$20:$S$45,MATCH(23,Outputs!$B$20:$B$45,0),MATCH(AH36,Outputs!$B$20:$S$20,0))*100-INDEX(Outputs!$B$20:$S$45,MATCH(15,Outputs!$B$20:$B$45,0),MATCH(AH36,Outputs!$B$20:$S$20,0))*100</f>
        <v>-0.12367963790893821</v>
      </c>
      <c r="AJ36" s="4"/>
      <c r="AK36" s="191">
        <f t="shared" si="27"/>
        <v>12</v>
      </c>
      <c r="AL36" s="191" t="s">
        <v>110</v>
      </c>
      <c r="AM36" s="192">
        <f>INDEX(Outputs!$B$20:$S$45,MATCH(10,Outputs!$B$20:$B$45,0),MATCH(AL36,Outputs!$B$20:$S$20,0))*100-INDEX(Outputs!$B$20:$S$45,MATCH(9,Outputs!$B$20:$B$45,0),MATCH(AL36,Outputs!$B$20:$S$20,0))*100</f>
        <v>0.24538695812225519</v>
      </c>
      <c r="AN36" s="191">
        <v>10</v>
      </c>
      <c r="AO36" s="191" t="str">
        <f t="shared" si="18"/>
        <v>Unison Networks</v>
      </c>
      <c r="AP36" s="193">
        <f>INDEX(Outputs!$B$20:$S$45,MATCH(10,Outputs!$B$20:$B$45,0),MATCH(AO36,Outputs!$B$20:$S$20,0))-INDEX(Outputs!$B$20:$S$45,MATCH(9,Outputs!$B$20:$B$45,0),MATCH(AO36,Outputs!$B$20:$S$20,0))</f>
        <v>2.965611219406139E-3</v>
      </c>
      <c r="AQ36" s="4"/>
      <c r="AR36" s="4"/>
      <c r="AS36" s="191" t="s">
        <v>110</v>
      </c>
      <c r="AT36" s="192">
        <f>INDEX(Outputs!$B$20:$S$45,MATCH(6,Outputs!$B$20:$B$45,0),MATCH(AS36,Outputs!$B$20:$S$20,0))*100-INDEX(Outputs!$B$20:$S$45,MATCH(5,Outputs!$B$20:$B$45,0),MATCH(AS36,Outputs!$B$20:$S$20,0))*100</f>
        <v>-1.1261647939682033</v>
      </c>
      <c r="AU36" s="192">
        <f>INDEX(Outputs!$B$20:$S$45,MATCH(14,Outputs!$B$20:$B$45,0),MATCH(AS36,Outputs!$B$20:$S$20,0))*100-INDEX(Outputs!$B$20:$S$45,MATCH(2,Outputs!$B$20:$B$45,0),MATCH(AS36,Outputs!$B$20:$S$20,0))*100</f>
        <v>9.6574425697325772E-2</v>
      </c>
    </row>
    <row r="37" spans="2:54" x14ac:dyDescent="0.25">
      <c r="B37" s="191">
        <f t="shared" si="19"/>
        <v>14</v>
      </c>
      <c r="C37" s="191" t="s">
        <v>3</v>
      </c>
      <c r="D37" s="192">
        <f>INDEX(Outputs!$B$20:$S$45,MATCH(14,Outputs!$B$20:$B$45,0),MATCH(C37,Outputs!$B$20:$S$20,0))*100-INDEX(Outputs!$B$20:$S$45,MATCH(2,Outputs!$B$20:$B$45,0),MATCH(C37,Outputs!$B$20:$S$20,0))*100</f>
        <v>-0.59806346893310547</v>
      </c>
      <c r="E37" s="191">
        <v>11</v>
      </c>
      <c r="F37" s="191" t="str">
        <f t="shared" si="16"/>
        <v>Vector Lines</v>
      </c>
      <c r="G37" s="192">
        <f>INDEX(Outputs!$B$20:$S$45,MATCH(14,Outputs!$B$20:$B$45,0),MATCH(F37,Outputs!$B$20:$S$20,0))*100-INDEX(Outputs!$B$20:$S$45,MATCH(2,Outputs!$B$20:$B$45,0),MATCH(F37,Outputs!$B$20:$S$20,0))*100</f>
        <v>-0.37393271923065186</v>
      </c>
      <c r="H37" s="4"/>
      <c r="I37" s="191">
        <f t="shared" si="20"/>
        <v>4</v>
      </c>
      <c r="J37" s="191" t="s">
        <v>474</v>
      </c>
      <c r="K37" s="192">
        <f>INDEX(Outputs!$B$20:$S$45,MATCH(16,Outputs!$B$20:$B$45,0),MATCH(J37,Outputs!$B$20:$S$20,0))*100-INDEX(Outputs!$B$20:$S$45,MATCH(15,Outputs!$B$20:$B$45,0),MATCH(J37,Outputs!$B$20:$S$20,0))*100</f>
        <v>-3.9558410644530362E-2</v>
      </c>
      <c r="L37" s="191">
        <v>11</v>
      </c>
      <c r="M37" s="191" t="str">
        <f t="shared" si="21"/>
        <v>Alpine Energy</v>
      </c>
      <c r="N37" s="192">
        <f>INDEX(Outputs!$B$20:$S$45,MATCH(16,Outputs!$B$20:$B$45,0),MATCH(M37,Outputs!$B$20:$S$20,0))*100-INDEX(Outputs!$B$20:$S$45,MATCH(15,Outputs!$B$20:$B$45,0),MATCH(M37,Outputs!$B$20:$S$20,0))*100</f>
        <v>-0.23985803127288818</v>
      </c>
      <c r="O37" s="164"/>
      <c r="P37" s="191">
        <f t="shared" si="22"/>
        <v>15</v>
      </c>
      <c r="Q37" s="191" t="s">
        <v>474</v>
      </c>
      <c r="R37" s="192">
        <f>INDEX(Outputs!$B$20:$S$45,MATCH(22,Outputs!$B$20:$B$45,0),MATCH(Q37,Outputs!$B$20:$S$20,0))*100-INDEX(Outputs!$B$20:$S$45,MATCH(21,Outputs!$B$20:$B$45,0),MATCH(Q37,Outputs!$B$20:$S$20,0))*100</f>
        <v>-7.4139833450318271E-2</v>
      </c>
      <c r="S37" s="191">
        <v>11</v>
      </c>
      <c r="T37" s="191" t="str">
        <f t="shared" si="23"/>
        <v>Powerco</v>
      </c>
      <c r="U37" s="192">
        <f>INDEX(Outputs!$B$20:$S$45,MATCH(22,Outputs!$B$20:$B$45,0),MATCH(T37,Outputs!$B$20:$S$20,0))*100-INDEX(Outputs!$B$20:$S$45,MATCH(21,Outputs!$B$20:$B$45,0),MATCH(T37,Outputs!$B$20:$S$20,0))*100</f>
        <v>1.3941526412963867E-2</v>
      </c>
      <c r="V37" s="4"/>
      <c r="W37" s="191">
        <f t="shared" si="24"/>
        <v>10</v>
      </c>
      <c r="X37" s="191" t="s">
        <v>111</v>
      </c>
      <c r="Y37" s="192">
        <f>INDEX(Outputs!$B$20:$S$45,MATCH(15,Outputs!$B$20:$B$45,0),MATCH(X37,Outputs!$B$20:$S$20,0))*100-INDEX(Outputs!$B$20:$S$45,MATCH(14,Outputs!$B$20:$B$45,0),MATCH(X37,Outputs!$B$20:$S$20,0))*100</f>
        <v>-0.15617191791534513</v>
      </c>
      <c r="Z37" s="191">
        <v>11</v>
      </c>
      <c r="AA37" s="191" t="str">
        <f t="shared" si="25"/>
        <v>Network Tasman</v>
      </c>
      <c r="AB37" s="192">
        <f>INDEX(Outputs!$B$20:$S$45,MATCH(15,Outputs!$B$20:$B$45,0),MATCH(AA37,Outputs!$B$20:$S$20,0))*100-INDEX(Outputs!$B$20:$S$45,MATCH(14,Outputs!$B$20:$B$45,0),MATCH(AA37,Outputs!$B$20:$S$20,0))*100</f>
        <v>-0.15817701816558749</v>
      </c>
      <c r="AC37" s="134"/>
      <c r="AD37" s="191">
        <f t="shared" si="26"/>
        <v>7</v>
      </c>
      <c r="AE37" s="191" t="s">
        <v>111</v>
      </c>
      <c r="AF37" s="192">
        <f>INDEX(Outputs!$B$20:$S$45,MATCH(23,Outputs!$B$20:$B$45,0),MATCH(AE37,Outputs!$B$20:$S$20,0))*100-INDEX(Outputs!$B$20:$S$45,MATCH(15,Outputs!$B$20:$B$45,0),MATCH(AE37,Outputs!$B$20:$S$20,0))*100</f>
        <v>-3.4484863281251776E-2</v>
      </c>
      <c r="AG37" s="191">
        <v>11</v>
      </c>
      <c r="AH37" s="191" t="str">
        <f t="shared" si="17"/>
        <v>Centralines</v>
      </c>
      <c r="AI37" s="192">
        <f>INDEX(Outputs!$B$20:$S$45,MATCH(23,Outputs!$B$20:$B$45,0),MATCH(AH37,Outputs!$B$20:$S$20,0))*100-INDEX(Outputs!$B$20:$S$45,MATCH(15,Outputs!$B$20:$B$45,0),MATCH(AH37,Outputs!$B$20:$S$20,0))*100</f>
        <v>-0.15141069889068515</v>
      </c>
      <c r="AJ37" s="4"/>
      <c r="AK37" s="191">
        <f t="shared" si="27"/>
        <v>11</v>
      </c>
      <c r="AL37" s="191" t="s">
        <v>111</v>
      </c>
      <c r="AM37" s="192">
        <f>INDEX(Outputs!$B$20:$S$45,MATCH(10,Outputs!$B$20:$B$45,0),MATCH(AL37,Outputs!$B$20:$S$20,0))*100-INDEX(Outputs!$B$20:$S$45,MATCH(9,Outputs!$B$20:$B$45,0),MATCH(AL37,Outputs!$B$20:$S$20,0))*100</f>
        <v>0.27433156967163175</v>
      </c>
      <c r="AN37" s="191">
        <v>11</v>
      </c>
      <c r="AO37" s="191" t="str">
        <f t="shared" si="18"/>
        <v>Powerco</v>
      </c>
      <c r="AP37" s="193">
        <f>INDEX(Outputs!$B$20:$S$45,MATCH(10,Outputs!$B$20:$B$45,0),MATCH(AO37,Outputs!$B$20:$S$20,0))-INDEX(Outputs!$B$20:$S$45,MATCH(9,Outputs!$B$20:$B$45,0),MATCH(AO37,Outputs!$B$20:$S$20,0))</f>
        <v>2.7433156967163197E-3</v>
      </c>
      <c r="AQ37" s="4"/>
      <c r="AR37" s="4"/>
      <c r="AS37" s="191" t="s">
        <v>111</v>
      </c>
      <c r="AT37" s="192">
        <f>INDEX(Outputs!$B$20:$S$45,MATCH(6,Outputs!$B$20:$B$45,0),MATCH(AS37,Outputs!$B$20:$S$20,0))*100-INDEX(Outputs!$B$20:$S$45,MATCH(5,Outputs!$B$20:$B$45,0),MATCH(AS37,Outputs!$B$20:$S$20,0))*100</f>
        <v>-0.12931048870086759</v>
      </c>
      <c r="AU37" s="192">
        <f>INDEX(Outputs!$B$20:$S$45,MATCH(14,Outputs!$B$20:$B$45,0),MATCH(AS37,Outputs!$B$20:$S$20,0))*100-INDEX(Outputs!$B$20:$S$45,MATCH(2,Outputs!$B$20:$B$45,0),MATCH(AS37,Outputs!$B$20:$S$20,0))*100</f>
        <v>-0.11184930801391246</v>
      </c>
    </row>
    <row r="38" spans="2:54" x14ac:dyDescent="0.25">
      <c r="B38" s="191">
        <f t="shared" si="19"/>
        <v>12</v>
      </c>
      <c r="C38" s="191" t="s">
        <v>5</v>
      </c>
      <c r="D38" s="192">
        <f>INDEX(Outputs!$B$20:$S$45,MATCH(14,Outputs!$B$20:$B$45,0),MATCH(C38,Outputs!$B$20:$S$20,0))*100-INDEX(Outputs!$B$20:$S$45,MATCH(2,Outputs!$B$20:$B$45,0),MATCH(C38,Outputs!$B$20:$S$20,0))*100</f>
        <v>-0.41335582733154386</v>
      </c>
      <c r="E38" s="191">
        <v>12</v>
      </c>
      <c r="F38" s="191" t="str">
        <f t="shared" si="16"/>
        <v>Electricity Invercargill</v>
      </c>
      <c r="G38" s="192">
        <f>INDEX(Outputs!$B$20:$S$45,MATCH(14,Outputs!$B$20:$B$45,0),MATCH(F38,Outputs!$B$20:$S$20,0))*100-INDEX(Outputs!$B$20:$S$45,MATCH(2,Outputs!$B$20:$B$45,0),MATCH(F38,Outputs!$B$20:$S$20,0))*100</f>
        <v>-0.41335582733154386</v>
      </c>
      <c r="H38" s="4"/>
      <c r="I38" s="191">
        <f t="shared" si="20"/>
        <v>12</v>
      </c>
      <c r="J38" s="191" t="s">
        <v>106</v>
      </c>
      <c r="K38" s="192">
        <f>INDEX(Outputs!$B$20:$S$45,MATCH(16,Outputs!$B$20:$B$45,0),MATCH(J38,Outputs!$B$20:$S$20,0))*100-INDEX(Outputs!$B$20:$S$45,MATCH(15,Outputs!$B$20:$B$45,0),MATCH(J38,Outputs!$B$20:$S$20,0))*100</f>
        <v>-0.30297100543975652</v>
      </c>
      <c r="L38" s="191">
        <v>12</v>
      </c>
      <c r="M38" s="191" t="str">
        <f t="shared" si="21"/>
        <v>Centralines</v>
      </c>
      <c r="N38" s="192">
        <f>INDEX(Outputs!$B$20:$S$45,MATCH(16,Outputs!$B$20:$B$45,0),MATCH(M38,Outputs!$B$20:$S$20,0))*100-INDEX(Outputs!$B$20:$S$45,MATCH(15,Outputs!$B$20:$B$45,0),MATCH(M38,Outputs!$B$20:$S$20,0))*100</f>
        <v>-0.30297100543975652</v>
      </c>
      <c r="O38" s="164"/>
      <c r="P38" s="191">
        <f t="shared" si="22"/>
        <v>14</v>
      </c>
      <c r="Q38" s="191" t="s">
        <v>5</v>
      </c>
      <c r="R38" s="192">
        <f>INDEX(Outputs!$B$20:$S$45,MATCH(22,Outputs!$B$20:$B$45,0),MATCH(Q38,Outputs!$B$20:$S$20,0))*100-INDEX(Outputs!$B$20:$S$45,MATCH(21,Outputs!$B$20:$B$45,0),MATCH(Q38,Outputs!$B$20:$S$20,0))*100</f>
        <v>-5.6958794593811035E-2</v>
      </c>
      <c r="S38" s="191">
        <v>12</v>
      </c>
      <c r="T38" s="191" t="str">
        <f t="shared" si="23"/>
        <v>Alpine Energy</v>
      </c>
      <c r="U38" s="192">
        <f>INDEX(Outputs!$B$20:$S$45,MATCH(22,Outputs!$B$20:$B$45,0),MATCH(T38,Outputs!$B$20:$S$20,0))*100-INDEX(Outputs!$B$20:$S$45,MATCH(21,Outputs!$B$20:$B$45,0),MATCH(T38,Outputs!$B$20:$S$20,0))*100</f>
        <v>5.4538249969455777E-3</v>
      </c>
      <c r="V38" s="4"/>
      <c r="W38" s="191">
        <f t="shared" si="24"/>
        <v>8</v>
      </c>
      <c r="X38" s="191" t="s">
        <v>6</v>
      </c>
      <c r="Y38" s="192">
        <f>INDEX(Outputs!$B$20:$S$45,MATCH(15,Outputs!$B$20:$B$45,0),MATCH(X38,Outputs!$B$20:$S$20,0))*100-INDEX(Outputs!$B$20:$S$45,MATCH(14,Outputs!$B$20:$B$45,0),MATCH(X38,Outputs!$B$20:$S$20,0))*100</f>
        <v>-0.1558297872543335</v>
      </c>
      <c r="Z38" s="191">
        <v>12</v>
      </c>
      <c r="AA38" s="191" t="str">
        <f t="shared" si="25"/>
        <v>Nelson Electricity</v>
      </c>
      <c r="AB38" s="192">
        <f>INDEX(Outputs!$B$20:$S$45,MATCH(15,Outputs!$B$20:$B$45,0),MATCH(AA38,Outputs!$B$20:$S$20,0))*100-INDEX(Outputs!$B$20:$S$45,MATCH(14,Outputs!$B$20:$B$45,0),MATCH(AA38,Outputs!$B$20:$S$20,0))*100</f>
        <v>-0.15833020210266113</v>
      </c>
      <c r="AC38" s="134"/>
      <c r="AD38" s="191">
        <f t="shared" si="26"/>
        <v>16</v>
      </c>
      <c r="AE38" s="191" t="s">
        <v>6</v>
      </c>
      <c r="AF38" s="192">
        <f>INDEX(Outputs!$B$20:$S$45,MATCH(23,Outputs!$B$20:$B$45,0),MATCH(AE38,Outputs!$B$20:$S$20,0))*100-INDEX(Outputs!$B$20:$S$45,MATCH(15,Outputs!$B$20:$B$45,0),MATCH(AE38,Outputs!$B$20:$S$20,0))*100</f>
        <v>-2.7623593807220477</v>
      </c>
      <c r="AG38" s="191">
        <v>12</v>
      </c>
      <c r="AH38" s="191" t="str">
        <f t="shared" si="17"/>
        <v>Electricity Invercargill</v>
      </c>
      <c r="AI38" s="192">
        <f>INDEX(Outputs!$B$20:$S$45,MATCH(23,Outputs!$B$20:$B$45,0),MATCH(AH38,Outputs!$B$20:$S$20,0))*100-INDEX(Outputs!$B$20:$S$45,MATCH(15,Outputs!$B$20:$B$45,0),MATCH(AH38,Outputs!$B$20:$S$20,0))*100</f>
        <v>-0.17888963222503751</v>
      </c>
      <c r="AJ38" s="4"/>
      <c r="AK38" s="191">
        <f t="shared" si="27"/>
        <v>5</v>
      </c>
      <c r="AL38" s="191" t="s">
        <v>6</v>
      </c>
      <c r="AM38" s="192">
        <f>INDEX(Outputs!$B$20:$S$45,MATCH(10,Outputs!$B$20:$B$45,0),MATCH(AL38,Outputs!$B$20:$S$20,0))*100-INDEX(Outputs!$B$20:$S$45,MATCH(9,Outputs!$B$20:$B$45,0),MATCH(AL38,Outputs!$B$20:$S$20,0))*100</f>
        <v>0.34062862396240412</v>
      </c>
      <c r="AN38" s="191">
        <v>12</v>
      </c>
      <c r="AO38" s="191" t="str">
        <f t="shared" si="18"/>
        <v>OtagoNet</v>
      </c>
      <c r="AP38" s="193">
        <f>INDEX(Outputs!$B$20:$S$45,MATCH(10,Outputs!$B$20:$B$45,0),MATCH(AO38,Outputs!$B$20:$S$20,0))-INDEX(Outputs!$B$20:$S$45,MATCH(9,Outputs!$B$20:$B$45,0),MATCH(AO38,Outputs!$B$20:$S$20,0))</f>
        <v>2.4538695812225536E-3</v>
      </c>
      <c r="AQ38" s="4"/>
      <c r="AR38" s="4"/>
      <c r="AS38" s="191" t="s">
        <v>6</v>
      </c>
      <c r="AT38" s="192">
        <f>INDEX(Outputs!$B$20:$S$45,MATCH(6,Outputs!$B$20:$B$45,0),MATCH(AS38,Outputs!$B$20:$S$20,0))*100-INDEX(Outputs!$B$20:$S$45,MATCH(5,Outputs!$B$20:$B$45,0),MATCH(AS38,Outputs!$B$20:$S$20,0))*100</f>
        <v>-0.55477440357208163</v>
      </c>
      <c r="AU38" s="192">
        <f>INDEX(Outputs!$B$20:$S$45,MATCH(14,Outputs!$B$20:$B$45,0),MATCH(AS38,Outputs!$B$20:$S$20,0))*100-INDEX(Outputs!$B$20:$S$45,MATCH(2,Outputs!$B$20:$B$45,0),MATCH(AS38,Outputs!$B$20:$S$20,0))*100</f>
        <v>1.4129638671875009</v>
      </c>
    </row>
    <row r="39" spans="2:54" x14ac:dyDescent="0.25">
      <c r="B39" s="191">
        <f t="shared" si="19"/>
        <v>11</v>
      </c>
      <c r="C39" s="191" t="s">
        <v>472</v>
      </c>
      <c r="D39" s="192">
        <f>INDEX(Outputs!$B$20:$S$45,MATCH(14,Outputs!$B$20:$B$45,0),MATCH(C39,Outputs!$B$20:$S$20,0))*100-INDEX(Outputs!$B$20:$S$45,MATCH(2,Outputs!$B$20:$B$45,0),MATCH(C39,Outputs!$B$20:$S$20,0))*100</f>
        <v>-0.37393271923065186</v>
      </c>
      <c r="E39" s="191">
        <v>13</v>
      </c>
      <c r="F39" s="191" t="str">
        <f t="shared" si="16"/>
        <v>Top Energy</v>
      </c>
      <c r="G39" s="192">
        <f>INDEX(Outputs!$B$20:$S$45,MATCH(14,Outputs!$B$20:$B$45,0),MATCH(F39,Outputs!$B$20:$S$20,0))*100-INDEX(Outputs!$B$20:$S$45,MATCH(2,Outputs!$B$20:$B$45,0),MATCH(F39,Outputs!$B$20:$S$20,0))*100</f>
        <v>-0.58529675006866011</v>
      </c>
      <c r="H39" s="4"/>
      <c r="I39" s="191">
        <f t="shared" si="20"/>
        <v>13</v>
      </c>
      <c r="J39" s="191" t="s">
        <v>4</v>
      </c>
      <c r="K39" s="192">
        <f>INDEX(Outputs!$B$20:$S$45,MATCH(16,Outputs!$B$20:$B$45,0),MATCH(J39,Outputs!$B$20:$S$20,0))*100-INDEX(Outputs!$B$20:$S$45,MATCH(15,Outputs!$B$20:$B$45,0),MATCH(J39,Outputs!$B$20:$S$20,0))*100</f>
        <v>-0.31748056411743253</v>
      </c>
      <c r="L39" s="191">
        <v>13</v>
      </c>
      <c r="M39" s="191" t="str">
        <f t="shared" si="21"/>
        <v>Electricity Ashburton</v>
      </c>
      <c r="N39" s="192">
        <f>INDEX(Outputs!$B$20:$S$45,MATCH(16,Outputs!$B$20:$B$45,0),MATCH(M39,Outputs!$B$20:$S$20,0))*100-INDEX(Outputs!$B$20:$S$45,MATCH(15,Outputs!$B$20:$B$45,0),MATCH(M39,Outputs!$B$20:$S$20,0))*100</f>
        <v>-0.31748056411743253</v>
      </c>
      <c r="O39" s="165"/>
      <c r="P39" s="191">
        <f t="shared" si="22"/>
        <v>16</v>
      </c>
      <c r="Q39" s="191" t="s">
        <v>472</v>
      </c>
      <c r="R39" s="192">
        <f>INDEX(Outputs!$B$20:$S$45,MATCH(22,Outputs!$B$20:$B$45,0),MATCH(Q39,Outputs!$B$20:$S$20,0))*100-INDEX(Outputs!$B$20:$S$45,MATCH(21,Outputs!$B$20:$B$45,0),MATCH(Q39,Outputs!$B$20:$S$20,0))*100</f>
        <v>-0.12364625930786399</v>
      </c>
      <c r="S39" s="191">
        <v>13</v>
      </c>
      <c r="T39" s="191" t="str">
        <f t="shared" si="23"/>
        <v>The Lines Company</v>
      </c>
      <c r="U39" s="192">
        <f>INDEX(Outputs!$B$20:$S$45,MATCH(22,Outputs!$B$20:$B$45,0),MATCH(T39,Outputs!$B$20:$S$20,0))*100-INDEX(Outputs!$B$20:$S$45,MATCH(21,Outputs!$B$20:$B$45,0),MATCH(T39,Outputs!$B$20:$S$20,0))*100</f>
        <v>-2.1050572395323819E-2</v>
      </c>
      <c r="V39" s="4"/>
      <c r="W39" s="191">
        <f t="shared" si="24"/>
        <v>13</v>
      </c>
      <c r="X39" s="191" t="s">
        <v>112</v>
      </c>
      <c r="Y39" s="192">
        <f>INDEX(Outputs!$B$20:$S$45,MATCH(15,Outputs!$B$20:$B$45,0),MATCH(X39,Outputs!$B$20:$S$20,0))*100-INDEX(Outputs!$B$20:$S$45,MATCH(14,Outputs!$B$20:$B$45,0),MATCH(X39,Outputs!$B$20:$S$20,0))*100</f>
        <v>-0.1638203859329268</v>
      </c>
      <c r="Z39" s="191">
        <v>13</v>
      </c>
      <c r="AA39" s="191" t="str">
        <f t="shared" si="25"/>
        <v>Top Energy</v>
      </c>
      <c r="AB39" s="192">
        <f>INDEX(Outputs!$B$20:$S$45,MATCH(15,Outputs!$B$20:$B$45,0),MATCH(AA39,Outputs!$B$20:$S$20,0))*100-INDEX(Outputs!$B$20:$S$45,MATCH(14,Outputs!$B$20:$B$45,0),MATCH(AA39,Outputs!$B$20:$S$20,0))*100</f>
        <v>-0.1638203859329268</v>
      </c>
      <c r="AC39" s="134"/>
      <c r="AD39" s="191">
        <f t="shared" si="26"/>
        <v>8</v>
      </c>
      <c r="AE39" s="191" t="s">
        <v>112</v>
      </c>
      <c r="AF39" s="192">
        <f>INDEX(Outputs!$B$20:$S$45,MATCH(23,Outputs!$B$20:$B$45,0),MATCH(AE39,Outputs!$B$20:$S$20,0))*100-INDEX(Outputs!$B$20:$S$45,MATCH(15,Outputs!$B$20:$B$45,0),MATCH(AE39,Outputs!$B$20:$S$20,0))*100</f>
        <v>-0.11087238788604559</v>
      </c>
      <c r="AG39" s="191">
        <v>13</v>
      </c>
      <c r="AH39" s="191" t="str">
        <f t="shared" si="17"/>
        <v>Electricity Ashburton</v>
      </c>
      <c r="AI39" s="192">
        <f>INDEX(Outputs!$B$20:$S$45,MATCH(23,Outputs!$B$20:$B$45,0),MATCH(AH39,Outputs!$B$20:$S$20,0))*100-INDEX(Outputs!$B$20:$S$45,MATCH(15,Outputs!$B$20:$B$45,0),MATCH(AH39,Outputs!$B$20:$S$20,0))*100</f>
        <v>-0.29084742069244207</v>
      </c>
      <c r="AJ39" s="4"/>
      <c r="AK39" s="191">
        <f t="shared" si="27"/>
        <v>1</v>
      </c>
      <c r="AL39" s="191" t="s">
        <v>112</v>
      </c>
      <c r="AM39" s="192">
        <f>INDEX(Outputs!$B$20:$S$45,MATCH(10,Outputs!$B$20:$B$45,0),MATCH(AL39,Outputs!$B$20:$S$20,0))*100-INDEX(Outputs!$B$20:$S$45,MATCH(9,Outputs!$B$20:$B$45,0),MATCH(AL39,Outputs!$B$20:$S$20,0))*100</f>
        <v>0.39605796337127686</v>
      </c>
      <c r="AN39" s="191">
        <v>13</v>
      </c>
      <c r="AO39" s="191" t="str">
        <f t="shared" si="18"/>
        <v>Nelson Electricity</v>
      </c>
      <c r="AP39" s="193">
        <f>INDEX(Outputs!$B$20:$S$45,MATCH(10,Outputs!$B$20:$B$45,0),MATCH(AO39,Outputs!$B$20:$S$20,0))-INDEX(Outputs!$B$20:$S$45,MATCH(9,Outputs!$B$20:$B$45,0),MATCH(AO39,Outputs!$B$20:$S$20,0))</f>
        <v>2.3627877235412459E-3</v>
      </c>
      <c r="AQ39" s="4"/>
      <c r="AR39" s="4"/>
      <c r="AS39" s="191" t="s">
        <v>112</v>
      </c>
      <c r="AT39" s="192">
        <f>INDEX(Outputs!$B$20:$S$45,MATCH(6,Outputs!$B$20:$B$45,0),MATCH(AS39,Outputs!$B$20:$S$20,0))*100-INDEX(Outputs!$B$20:$S$45,MATCH(5,Outputs!$B$20:$B$45,0),MATCH(AS39,Outputs!$B$20:$S$20,0))*100</f>
        <v>-0.2719092369079581</v>
      </c>
      <c r="AU39" s="192">
        <f>INDEX(Outputs!$B$20:$S$45,MATCH(14,Outputs!$B$20:$B$45,0),MATCH(AS39,Outputs!$B$20:$S$20,0))*100-INDEX(Outputs!$B$20:$S$45,MATCH(2,Outputs!$B$20:$B$45,0),MATCH(AS39,Outputs!$B$20:$S$20,0))*100</f>
        <v>-0.58529675006866011</v>
      </c>
    </row>
    <row r="40" spans="2:54" x14ac:dyDescent="0.25">
      <c r="B40" s="191">
        <f t="shared" si="19"/>
        <v>15</v>
      </c>
      <c r="C40" s="191" t="s">
        <v>113</v>
      </c>
      <c r="D40" s="192">
        <f>INDEX(Outputs!$B$20:$S$45,MATCH(14,Outputs!$B$20:$B$45,0),MATCH(C40,Outputs!$B$20:$S$20,0))*100-INDEX(Outputs!$B$20:$S$45,MATCH(2,Outputs!$B$20:$B$45,0),MATCH(C40,Outputs!$B$20:$S$20,0))*100</f>
        <v>-0.75905323028564453</v>
      </c>
      <c r="E40" s="191">
        <v>14</v>
      </c>
      <c r="F40" s="191" t="str">
        <f t="shared" si="16"/>
        <v>Aurora Energy</v>
      </c>
      <c r="G40" s="192">
        <f>INDEX(Outputs!$B$20:$S$45,MATCH(14,Outputs!$B$20:$B$45,0),MATCH(F40,Outputs!$B$20:$S$20,0))*100-INDEX(Outputs!$B$20:$S$45,MATCH(2,Outputs!$B$20:$B$45,0),MATCH(F40,Outputs!$B$20:$S$20,0))*100</f>
        <v>-0.59806346893310547</v>
      </c>
      <c r="H40" s="4"/>
      <c r="I40" s="191">
        <f t="shared" si="20"/>
        <v>14</v>
      </c>
      <c r="J40" s="191" t="s">
        <v>109</v>
      </c>
      <c r="K40" s="192">
        <f>INDEX(Outputs!$B$20:$S$45,MATCH(16,Outputs!$B$20:$B$45,0),MATCH(J40,Outputs!$B$20:$S$20,0))*100-INDEX(Outputs!$B$20:$S$45,MATCH(15,Outputs!$B$20:$B$45,0),MATCH(J40,Outputs!$B$20:$S$20,0))*100</f>
        <v>-1.0148864984512365</v>
      </c>
      <c r="L40" s="191">
        <v>14</v>
      </c>
      <c r="M40" s="191" t="str">
        <f t="shared" si="21"/>
        <v>Network Tasman</v>
      </c>
      <c r="N40" s="192">
        <f>INDEX(Outputs!$B$20:$S$45,MATCH(16,Outputs!$B$20:$B$45,0),MATCH(M40,Outputs!$B$20:$S$20,0))*100-INDEX(Outputs!$B$20:$S$45,MATCH(15,Outputs!$B$20:$B$45,0),MATCH(M40,Outputs!$B$20:$S$20,0))*100</f>
        <v>-1.0148864984512365</v>
      </c>
      <c r="O40" s="164"/>
      <c r="P40" s="191">
        <f t="shared" si="22"/>
        <v>13</v>
      </c>
      <c r="Q40" s="191" t="s">
        <v>6</v>
      </c>
      <c r="R40" s="192">
        <f>INDEX(Outputs!$B$20:$S$45,MATCH(22,Outputs!$B$20:$B$45,0),MATCH(Q40,Outputs!$B$20:$S$20,0))*100-INDEX(Outputs!$B$20:$S$45,MATCH(21,Outputs!$B$20:$B$45,0),MATCH(Q40,Outputs!$B$20:$S$20,0))*100</f>
        <v>-2.1050572395323819E-2</v>
      </c>
      <c r="S40" s="191">
        <v>14</v>
      </c>
      <c r="T40" s="191" t="str">
        <f t="shared" si="23"/>
        <v>Electricity Invercargill</v>
      </c>
      <c r="U40" s="192">
        <f>INDEX(Outputs!$B$20:$S$45,MATCH(22,Outputs!$B$20:$B$45,0),MATCH(T40,Outputs!$B$20:$S$20,0))*100-INDEX(Outputs!$B$20:$S$45,MATCH(21,Outputs!$B$20:$B$45,0),MATCH(T40,Outputs!$B$20:$S$20,0))*100</f>
        <v>-5.6958794593811035E-2</v>
      </c>
      <c r="V40" s="4"/>
      <c r="W40" s="191">
        <f t="shared" si="24"/>
        <v>7</v>
      </c>
      <c r="X40" s="191" t="s">
        <v>473</v>
      </c>
      <c r="Y40" s="192">
        <f>INDEX(Outputs!$B$20:$S$45,MATCH(15,Outputs!$B$20:$B$45,0),MATCH(X40,Outputs!$B$20:$S$20,0))*100-INDEX(Outputs!$B$20:$S$45,MATCH(14,Outputs!$B$20:$B$45,0),MATCH(X40,Outputs!$B$20:$S$20,0))*100</f>
        <v>-0.15519082546234042</v>
      </c>
      <c r="Z40" s="191">
        <v>14</v>
      </c>
      <c r="AA40" s="191" t="str">
        <f t="shared" si="25"/>
        <v>Wellington Electricity</v>
      </c>
      <c r="AB40" s="192">
        <f>INDEX(Outputs!$B$20:$S$45,MATCH(15,Outputs!$B$20:$B$45,0),MATCH(AA40,Outputs!$B$20:$S$20,0))*100-INDEX(Outputs!$B$20:$S$45,MATCH(14,Outputs!$B$20:$B$45,0),MATCH(AA40,Outputs!$B$20:$S$20,0))*100</f>
        <v>-0.16579926013946356</v>
      </c>
      <c r="AC40" s="134"/>
      <c r="AD40" s="191">
        <f t="shared" si="26"/>
        <v>4</v>
      </c>
      <c r="AE40" s="191" t="s">
        <v>473</v>
      </c>
      <c r="AF40" s="192">
        <f>INDEX(Outputs!$B$20:$S$45,MATCH(23,Outputs!$B$20:$B$45,0),MATCH(AE40,Outputs!$B$20:$S$20,0))*100-INDEX(Outputs!$B$20:$S$45,MATCH(15,Outputs!$B$20:$B$45,0),MATCH(AE40,Outputs!$B$20:$S$20,0))*100</f>
        <v>7.6581835746766025E-2</v>
      </c>
      <c r="AG40" s="191">
        <v>14</v>
      </c>
      <c r="AH40" s="191" t="str">
        <f t="shared" si="17"/>
        <v>Alpine Energy</v>
      </c>
      <c r="AI40" s="192">
        <f>INDEX(Outputs!$B$20:$S$45,MATCH(23,Outputs!$B$20:$B$45,0),MATCH(AH40,Outputs!$B$20:$S$20,0))*100-INDEX(Outputs!$B$20:$S$45,MATCH(15,Outputs!$B$20:$B$45,0),MATCH(AH40,Outputs!$B$20:$S$20,0))*100</f>
        <v>-0.30718207359313876</v>
      </c>
      <c r="AJ40" s="4"/>
      <c r="AK40" s="191">
        <f t="shared" si="27"/>
        <v>10</v>
      </c>
      <c r="AL40" s="191" t="s">
        <v>473</v>
      </c>
      <c r="AM40" s="192">
        <f>INDEX(Outputs!$B$20:$S$45,MATCH(10,Outputs!$B$20:$B$45,0),MATCH(AL40,Outputs!$B$20:$S$20,0))*100-INDEX(Outputs!$B$20:$S$45,MATCH(9,Outputs!$B$20:$B$45,0),MATCH(AL40,Outputs!$B$20:$S$20,0))*100</f>
        <v>0.29656112194061368</v>
      </c>
      <c r="AN40" s="191">
        <v>14</v>
      </c>
      <c r="AO40" s="191" t="str">
        <f t="shared" si="18"/>
        <v>Wellington Electricity</v>
      </c>
      <c r="AP40" s="193">
        <f>INDEX(Outputs!$B$20:$S$45,MATCH(10,Outputs!$B$20:$B$45,0),MATCH(AO40,Outputs!$B$20:$S$20,0))-INDEX(Outputs!$B$20:$S$45,MATCH(9,Outputs!$B$20:$B$45,0),MATCH(AO40,Outputs!$B$20:$S$20,0))</f>
        <v>1.9557595252990556E-3</v>
      </c>
      <c r="AQ40" s="4"/>
      <c r="AR40" s="4"/>
      <c r="AS40" s="191" t="s">
        <v>473</v>
      </c>
      <c r="AT40" s="192">
        <f>INDEX(Outputs!$B$20:$S$45,MATCH(6,Outputs!$B$20:$B$45,0),MATCH(AS40,Outputs!$B$20:$S$20,0))*100-INDEX(Outputs!$B$20:$S$45,MATCH(5,Outputs!$B$20:$B$45,0),MATCH(AS40,Outputs!$B$20:$S$20,0))*100</f>
        <v>-1.0097920894622829</v>
      </c>
      <c r="AU40" s="192">
        <f>INDEX(Outputs!$B$20:$S$45,MATCH(14,Outputs!$B$20:$B$45,0),MATCH(AS40,Outputs!$B$20:$S$20,0))*100-INDEX(Outputs!$B$20:$S$45,MATCH(2,Outputs!$B$20:$B$45,0),MATCH(AS40,Outputs!$B$20:$S$20,0))*100</f>
        <v>-4.5095086097719062E-2</v>
      </c>
    </row>
    <row r="41" spans="2:54" x14ac:dyDescent="0.25">
      <c r="B41" s="191">
        <f t="shared" si="19"/>
        <v>13</v>
      </c>
      <c r="C41" s="191" t="s">
        <v>112</v>
      </c>
      <c r="D41" s="192">
        <f>INDEX(Outputs!$B$20:$S$45,MATCH(14,Outputs!$B$20:$B$45,0),MATCH(C41,Outputs!$B$20:$S$20,0))*100-INDEX(Outputs!$B$20:$S$45,MATCH(2,Outputs!$B$20:$B$45,0),MATCH(C41,Outputs!$B$20:$S$20,0))*100</f>
        <v>-0.58529675006866011</v>
      </c>
      <c r="E41" s="191">
        <v>15</v>
      </c>
      <c r="F41" s="191" t="str">
        <f t="shared" si="16"/>
        <v>Wellington Electricity</v>
      </c>
      <c r="G41" s="192">
        <f>INDEX(Outputs!$B$20:$S$45,MATCH(14,Outputs!$B$20:$B$45,0),MATCH(F41,Outputs!$B$20:$S$20,0))*100-INDEX(Outputs!$B$20:$S$45,MATCH(2,Outputs!$B$20:$B$45,0),MATCH(F41,Outputs!$B$20:$S$20,0))*100</f>
        <v>-0.75905323028564453</v>
      </c>
      <c r="H41" s="4"/>
      <c r="I41" s="191">
        <f t="shared" si="20"/>
        <v>15</v>
      </c>
      <c r="J41" s="191" t="s">
        <v>112</v>
      </c>
      <c r="K41" s="192">
        <f>INDEX(Outputs!$B$20:$S$45,MATCH(16,Outputs!$B$20:$B$45,0),MATCH(J41,Outputs!$B$20:$S$20,0))*100-INDEX(Outputs!$B$20:$S$45,MATCH(15,Outputs!$B$20:$B$45,0),MATCH(J41,Outputs!$B$20:$S$20,0))*100</f>
        <v>-1.1259663105010969</v>
      </c>
      <c r="L41" s="191">
        <v>15</v>
      </c>
      <c r="M41" s="191" t="str">
        <f t="shared" si="21"/>
        <v>Top Energy</v>
      </c>
      <c r="N41" s="192">
        <f>INDEX(Outputs!$B$20:$S$45,MATCH(16,Outputs!$B$20:$B$45,0),MATCH(M41,Outputs!$B$20:$S$20,0))*100-INDEX(Outputs!$B$20:$S$45,MATCH(15,Outputs!$B$20:$B$45,0),MATCH(M41,Outputs!$B$20:$S$20,0))*100</f>
        <v>-1.1259663105010969</v>
      </c>
      <c r="O41" s="164"/>
      <c r="P41" s="191">
        <f t="shared" si="22"/>
        <v>2</v>
      </c>
      <c r="Q41" s="191" t="s">
        <v>108</v>
      </c>
      <c r="R41" s="192">
        <f>INDEX(Outputs!$B$20:$S$45,MATCH(22,Outputs!$B$20:$B$45,0),MATCH(Q41,Outputs!$B$20:$S$20,0))*100-INDEX(Outputs!$B$20:$S$45,MATCH(21,Outputs!$B$20:$B$45,0),MATCH(Q41,Outputs!$B$20:$S$20,0))*100</f>
        <v>0.28035402297973544</v>
      </c>
      <c r="S41" s="191">
        <v>15</v>
      </c>
      <c r="T41" s="191" t="str">
        <f t="shared" si="23"/>
        <v>Eastland Network</v>
      </c>
      <c r="U41" s="192">
        <f>INDEX(Outputs!$B$20:$S$45,MATCH(22,Outputs!$B$20:$B$45,0),MATCH(T41,Outputs!$B$20:$S$20,0))*100-INDEX(Outputs!$B$20:$S$45,MATCH(21,Outputs!$B$20:$B$45,0),MATCH(T41,Outputs!$B$20:$S$20,0))*100</f>
        <v>-7.4139833450318271E-2</v>
      </c>
      <c r="V41" s="4"/>
      <c r="W41" s="191">
        <f t="shared" si="24"/>
        <v>2</v>
      </c>
      <c r="X41" s="191" t="s">
        <v>472</v>
      </c>
      <c r="Y41" s="192">
        <f>INDEX(Outputs!$B$20:$S$45,MATCH(15,Outputs!$B$20:$B$45,0),MATCH(X41,Outputs!$B$20:$S$20,0))*100-INDEX(Outputs!$B$20:$S$45,MATCH(14,Outputs!$B$20:$B$45,0),MATCH(X41,Outputs!$B$20:$S$20,0))*100</f>
        <v>-0.14262616634368896</v>
      </c>
      <c r="Z41" s="191">
        <v>15</v>
      </c>
      <c r="AA41" s="191" t="str">
        <f t="shared" si="25"/>
        <v>Horizon Energy</v>
      </c>
      <c r="AB41" s="192">
        <f>INDEX(Outputs!$B$20:$S$45,MATCH(15,Outputs!$B$20:$B$45,0),MATCH(AA41,Outputs!$B$20:$S$20,0))*100-INDEX(Outputs!$B$20:$S$45,MATCH(14,Outputs!$B$20:$B$45,0),MATCH(AA41,Outputs!$B$20:$S$20,0))*100</f>
        <v>-0.16615986824035645</v>
      </c>
      <c r="AC41" s="134"/>
      <c r="AD41" s="191">
        <f t="shared" si="26"/>
        <v>10</v>
      </c>
      <c r="AE41" s="191" t="s">
        <v>472</v>
      </c>
      <c r="AF41" s="192">
        <f>INDEX(Outputs!$B$20:$S$45,MATCH(23,Outputs!$B$20:$B$45,0),MATCH(AE41,Outputs!$B$20:$S$20,0))*100-INDEX(Outputs!$B$20:$S$45,MATCH(15,Outputs!$B$20:$B$45,0),MATCH(AE41,Outputs!$B$20:$S$20,0))*100</f>
        <v>-0.12367963790893821</v>
      </c>
      <c r="AG41" s="191">
        <v>15</v>
      </c>
      <c r="AH41" s="191" t="str">
        <f t="shared" si="17"/>
        <v>Network Tasman</v>
      </c>
      <c r="AI41" s="192">
        <f>INDEX(Outputs!$B$20:$S$45,MATCH(23,Outputs!$B$20:$B$45,0),MATCH(AH41,Outputs!$B$20:$S$20,0))*100-INDEX(Outputs!$B$20:$S$45,MATCH(15,Outputs!$B$20:$B$45,0),MATCH(AH41,Outputs!$B$20:$S$20,0))*100</f>
        <v>-0.84370315074920832</v>
      </c>
      <c r="AJ41" s="4"/>
      <c r="AK41" s="191">
        <f t="shared" si="27"/>
        <v>7</v>
      </c>
      <c r="AL41" s="191" t="s">
        <v>472</v>
      </c>
      <c r="AM41" s="192">
        <f>INDEX(Outputs!$B$20:$S$45,MATCH(10,Outputs!$B$20:$B$45,0),MATCH(AL41,Outputs!$B$20:$S$20,0))*100-INDEX(Outputs!$B$20:$S$45,MATCH(9,Outputs!$B$20:$B$45,0),MATCH(AL41,Outputs!$B$20:$S$20,0))*100</f>
        <v>0.31619191169738592</v>
      </c>
      <c r="AN41" s="191">
        <v>15</v>
      </c>
      <c r="AO41" s="191" t="str">
        <f t="shared" si="18"/>
        <v>Alpine Energy</v>
      </c>
      <c r="AP41" s="193">
        <f>INDEX(Outputs!$B$20:$S$45,MATCH(10,Outputs!$B$20:$B$45,0),MATCH(AO41,Outputs!$B$20:$S$20,0))-INDEX(Outputs!$B$20:$S$45,MATCH(9,Outputs!$B$20:$B$45,0),MATCH(AO41,Outputs!$B$20:$S$20,0))</f>
        <v>1.7405927181243924E-3</v>
      </c>
      <c r="AQ41" s="4"/>
      <c r="AR41" s="4"/>
      <c r="AS41" s="191" t="s">
        <v>472</v>
      </c>
      <c r="AT41" s="192">
        <f>INDEX(Outputs!$B$20:$S$45,MATCH(6,Outputs!$B$20:$B$45,0),MATCH(AS41,Outputs!$B$20:$S$20,0))*100-INDEX(Outputs!$B$20:$S$45,MATCH(5,Outputs!$B$20:$B$45,0),MATCH(AS41,Outputs!$B$20:$S$20,0))*100</f>
        <v>0.1979440450668335</v>
      </c>
      <c r="AU41" s="192">
        <f>INDEX(Outputs!$B$20:$S$45,MATCH(14,Outputs!$B$20:$B$45,0),MATCH(AS41,Outputs!$B$20:$S$20,0))*100-INDEX(Outputs!$B$20:$S$45,MATCH(2,Outputs!$B$20:$B$45,0),MATCH(AS41,Outputs!$B$20:$S$20,0))*100</f>
        <v>-0.37393271923065186</v>
      </c>
    </row>
    <row r="42" spans="2:54" x14ac:dyDescent="0.25">
      <c r="B42" s="191">
        <f t="shared" si="19"/>
        <v>16</v>
      </c>
      <c r="C42" s="191" t="s">
        <v>108</v>
      </c>
      <c r="D42" s="192">
        <f>INDEX(Outputs!$B$20:$S$45,MATCH(14,Outputs!$B$20:$B$45,0),MATCH(C42,Outputs!$B$20:$S$20,0))*100-INDEX(Outputs!$B$20:$S$45,MATCH(2,Outputs!$B$20:$B$45,0),MATCH(C42,Outputs!$B$20:$S$20,0))*100</f>
        <v>-0.95834910869598566</v>
      </c>
      <c r="E42" s="191">
        <v>16</v>
      </c>
      <c r="F42" s="191" t="str">
        <f t="shared" si="16"/>
        <v>Nelson Electricity</v>
      </c>
      <c r="G42" s="192">
        <f>INDEX(Outputs!$B$20:$S$45,MATCH(14,Outputs!$B$20:$B$45,0),MATCH(F42,Outputs!$B$20:$S$20,0))*100-INDEX(Outputs!$B$20:$S$45,MATCH(2,Outputs!$B$20:$B$45,0),MATCH(F42,Outputs!$B$20:$S$20,0))*100</f>
        <v>-0.95834910869598566</v>
      </c>
      <c r="H42" s="4"/>
      <c r="I42" s="191">
        <f t="shared" si="20"/>
        <v>16</v>
      </c>
      <c r="J42" s="191" t="s">
        <v>6</v>
      </c>
      <c r="K42" s="192">
        <f>INDEX(Outputs!$B$20:$S$45,MATCH(16,Outputs!$B$20:$B$45,0),MATCH(J42,Outputs!$B$20:$S$20,0))*100-INDEX(Outputs!$B$20:$S$45,MATCH(15,Outputs!$B$20:$B$45,0),MATCH(J42,Outputs!$B$20:$S$20,0))*100</f>
        <v>-1.7416477203369141</v>
      </c>
      <c r="L42" s="191">
        <v>16</v>
      </c>
      <c r="M42" s="191" t="str">
        <f t="shared" si="21"/>
        <v>The Lines Company</v>
      </c>
      <c r="N42" s="192">
        <f>INDEX(Outputs!$B$20:$S$45,MATCH(16,Outputs!$B$20:$B$45,0),MATCH(M42,Outputs!$B$20:$S$20,0))*100-INDEX(Outputs!$B$20:$S$45,MATCH(15,Outputs!$B$20:$B$45,0),MATCH(M42,Outputs!$B$20:$S$20,0))*100</f>
        <v>-1.7416477203369141</v>
      </c>
      <c r="O42" s="165"/>
      <c r="P42" s="191">
        <f t="shared" si="22"/>
        <v>4</v>
      </c>
      <c r="Q42" s="191" t="s">
        <v>112</v>
      </c>
      <c r="R42" s="192">
        <f>INDEX(Outputs!$B$20:$S$45,MATCH(22,Outputs!$B$20:$B$45,0),MATCH(Q42,Outputs!$B$20:$S$20,0))*100-INDEX(Outputs!$B$20:$S$45,MATCH(21,Outputs!$B$20:$B$45,0),MATCH(Q42,Outputs!$B$20:$S$20,0))*100</f>
        <v>0.26267707347869962</v>
      </c>
      <c r="S42" s="191">
        <v>16</v>
      </c>
      <c r="T42" s="191" t="str">
        <f t="shared" si="23"/>
        <v>Vector Lines</v>
      </c>
      <c r="U42" s="192">
        <f>INDEX(Outputs!$B$20:$S$45,MATCH(22,Outputs!$B$20:$B$45,0),MATCH(T42,Outputs!$B$20:$S$20,0))*100-INDEX(Outputs!$B$20:$S$45,MATCH(21,Outputs!$B$20:$B$45,0),MATCH(T42,Outputs!$B$20:$S$20,0))*100</f>
        <v>-0.12364625930786399</v>
      </c>
      <c r="V42" s="4"/>
      <c r="W42" s="191">
        <f t="shared" si="24"/>
        <v>14</v>
      </c>
      <c r="X42" s="191" t="s">
        <v>113</v>
      </c>
      <c r="Y42" s="192">
        <f>INDEX(Outputs!$B$20:$S$45,MATCH(15,Outputs!$B$20:$B$45,0),MATCH(X42,Outputs!$B$20:$S$20,0))*100-INDEX(Outputs!$B$20:$S$45,MATCH(14,Outputs!$B$20:$B$45,0),MATCH(X42,Outputs!$B$20:$S$20,0))*100</f>
        <v>-0.16579926013946356</v>
      </c>
      <c r="Z42" s="191">
        <v>16</v>
      </c>
      <c r="AA42" s="191" t="str">
        <f t="shared" si="25"/>
        <v>Electricity Invercargill</v>
      </c>
      <c r="AB42" s="192">
        <f>INDEX(Outputs!$B$20:$S$45,MATCH(15,Outputs!$B$20:$B$45,0),MATCH(AA42,Outputs!$B$20:$S$20,0))*100-INDEX(Outputs!$B$20:$S$45,MATCH(14,Outputs!$B$20:$B$45,0),MATCH(AA42,Outputs!$B$20:$S$20,0))*100</f>
        <v>-0.17491936683654874</v>
      </c>
      <c r="AC42" s="134"/>
      <c r="AD42" s="191">
        <f t="shared" si="26"/>
        <v>6</v>
      </c>
      <c r="AE42" s="191" t="s">
        <v>113</v>
      </c>
      <c r="AF42" s="192">
        <f>INDEX(Outputs!$B$20:$S$45,MATCH(23,Outputs!$B$20:$B$45,0),MATCH(AE42,Outputs!$B$20:$S$20,0))*100-INDEX(Outputs!$B$20:$S$45,MATCH(15,Outputs!$B$20:$B$45,0),MATCH(AE42,Outputs!$B$20:$S$20,0))*100</f>
        <v>-1.3017654418947089E-2</v>
      </c>
      <c r="AG42" s="191">
        <v>16</v>
      </c>
      <c r="AH42" s="191" t="str">
        <f t="shared" si="17"/>
        <v>The Lines Company</v>
      </c>
      <c r="AI42" s="192">
        <f>INDEX(Outputs!$B$20:$S$45,MATCH(23,Outputs!$B$20:$B$45,0),MATCH(AH42,Outputs!$B$20:$S$20,0))*100-INDEX(Outputs!$B$20:$S$45,MATCH(15,Outputs!$B$20:$B$45,0),MATCH(AH42,Outputs!$B$20:$S$20,0))*100</f>
        <v>-2.7623593807220477</v>
      </c>
      <c r="AJ42" s="4"/>
      <c r="AK42" s="191">
        <f t="shared" si="27"/>
        <v>14</v>
      </c>
      <c r="AL42" s="191" t="s">
        <v>113</v>
      </c>
      <c r="AM42" s="192">
        <f>INDEX(Outputs!$B$20:$S$45,MATCH(10,Outputs!$B$20:$B$45,0),MATCH(AL42,Outputs!$B$20:$S$20,0))*100-INDEX(Outputs!$B$20:$S$45,MATCH(9,Outputs!$B$20:$B$45,0),MATCH(AL42,Outputs!$B$20:$S$20,0))*100</f>
        <v>0.19557595252990545</v>
      </c>
      <c r="AN42" s="191">
        <v>16</v>
      </c>
      <c r="AO42" s="191" t="str">
        <f t="shared" si="18"/>
        <v>Network Tasman</v>
      </c>
      <c r="AP42" s="193">
        <f>INDEX(Outputs!$B$20:$S$45,MATCH(10,Outputs!$B$20:$B$45,0),MATCH(AO42,Outputs!$B$20:$S$20,0))-INDEX(Outputs!$B$20:$S$45,MATCH(9,Outputs!$B$20:$B$45,0),MATCH(AO42,Outputs!$B$20:$S$20,0))</f>
        <v>1.5631377696990884E-3</v>
      </c>
      <c r="AQ42" s="4"/>
      <c r="AR42" s="4"/>
      <c r="AS42" s="191" t="s">
        <v>113</v>
      </c>
      <c r="AT42" s="192">
        <f>INDEX(Outputs!$B$20:$S$45,MATCH(6,Outputs!$B$20:$B$45,0),MATCH(AS42,Outputs!$B$20:$S$20,0))*100-INDEX(Outputs!$B$20:$S$45,MATCH(5,Outputs!$B$20:$B$45,0),MATCH(AS42,Outputs!$B$20:$S$20,0))*100</f>
        <v>0.66753685474395663</v>
      </c>
      <c r="AU42" s="192">
        <f>INDEX(Outputs!$B$20:$S$45,MATCH(14,Outputs!$B$20:$B$45,0),MATCH(AS42,Outputs!$B$20:$S$20,0))*100-INDEX(Outputs!$B$20:$S$45,MATCH(2,Outputs!$B$20:$B$45,0),MATCH(AS42,Outputs!$B$20:$S$20,0))*100</f>
        <v>-0.75905323028564453</v>
      </c>
    </row>
    <row r="43" spans="2:54" x14ac:dyDescent="0.25">
      <c r="B43" s="134"/>
      <c r="C43" s="134"/>
      <c r="D43" s="134"/>
      <c r="E43" s="134"/>
      <c r="F43" s="134"/>
      <c r="G43" s="134"/>
      <c r="H43" s="134"/>
      <c r="I43" s="134"/>
      <c r="J43" s="134"/>
      <c r="K43" s="134"/>
      <c r="L43" s="134"/>
      <c r="M43" s="134"/>
      <c r="N43" s="134"/>
      <c r="O43" s="165"/>
      <c r="P43" s="134"/>
      <c r="Q43" s="134"/>
      <c r="R43" s="134"/>
      <c r="S43" s="134"/>
      <c r="T43" s="134"/>
      <c r="U43" s="134"/>
      <c r="V43" s="4"/>
      <c r="W43" s="134"/>
      <c r="X43" s="134"/>
      <c r="Y43" s="134"/>
      <c r="Z43" s="134"/>
      <c r="AA43" s="134"/>
      <c r="AB43" s="134"/>
      <c r="AC43" s="134"/>
      <c r="AD43" s="134"/>
      <c r="AE43" s="134"/>
      <c r="AF43" s="134"/>
      <c r="AG43" s="134"/>
      <c r="AH43" s="134"/>
      <c r="AI43" s="134"/>
      <c r="AJ43" s="4"/>
      <c r="AK43" s="134"/>
      <c r="AL43" s="134"/>
      <c r="AM43" s="134"/>
      <c r="AN43" s="134"/>
      <c r="AO43" s="134"/>
      <c r="AP43" s="134"/>
      <c r="AQ43" s="4"/>
      <c r="AR43" s="134"/>
      <c r="AS43" s="134"/>
      <c r="AT43" s="134"/>
      <c r="AU43" s="134"/>
      <c r="AV43" s="134"/>
      <c r="AW43" s="134"/>
    </row>
    <row r="47" spans="2:54" ht="21" x14ac:dyDescent="0.35">
      <c r="B47" s="99" t="s">
        <v>357</v>
      </c>
      <c r="C47" s="4"/>
      <c r="D47" s="4"/>
      <c r="E47" s="4"/>
      <c r="F47" s="4"/>
      <c r="G47" s="4"/>
      <c r="H47" s="4"/>
      <c r="I47" s="4"/>
      <c r="J47" s="4"/>
      <c r="K47" s="4"/>
      <c r="L47" s="4"/>
      <c r="M47" s="4"/>
      <c r="N47" s="4"/>
      <c r="O47" s="4"/>
      <c r="P47" s="4"/>
      <c r="Q47" s="4"/>
      <c r="R47" s="4"/>
      <c r="S47" s="4"/>
      <c r="T47" s="4"/>
      <c r="U47" s="4"/>
      <c r="V47" s="4"/>
      <c r="W47" s="4"/>
      <c r="X47" s="4"/>
      <c r="Y47" s="4"/>
      <c r="Z47" s="4"/>
      <c r="AA47" s="4"/>
      <c r="AB47" s="4"/>
    </row>
    <row r="48" spans="2:54" ht="26.25" x14ac:dyDescent="0.25">
      <c r="B48" s="133"/>
      <c r="C48" s="133"/>
      <c r="D48" s="133" t="s">
        <v>152</v>
      </c>
      <c r="E48" s="133"/>
      <c r="F48" s="133"/>
      <c r="G48" s="133"/>
      <c r="H48" s="133"/>
      <c r="I48" s="133"/>
      <c r="J48" s="133"/>
      <c r="K48" s="133"/>
      <c r="L48" s="133"/>
      <c r="M48" s="133"/>
      <c r="N48" s="133" t="s">
        <v>152</v>
      </c>
      <c r="O48" s="133"/>
      <c r="P48" s="133"/>
      <c r="Q48" s="133"/>
      <c r="R48" s="133"/>
      <c r="S48" s="181" t="s">
        <v>419</v>
      </c>
      <c r="T48" s="181" t="s">
        <v>420</v>
      </c>
      <c r="U48" s="181" t="s">
        <v>421</v>
      </c>
      <c r="V48" s="133"/>
      <c r="W48" s="133"/>
      <c r="X48" s="133"/>
      <c r="Y48" s="133" t="s">
        <v>159</v>
      </c>
      <c r="Z48" s="133"/>
      <c r="AA48" s="133"/>
      <c r="AB48" s="133"/>
      <c r="AC48" s="133"/>
      <c r="AD48" s="133"/>
      <c r="AE48" s="133"/>
      <c r="AF48" s="133" t="s">
        <v>159</v>
      </c>
      <c r="AG48" s="133"/>
      <c r="AH48" s="133"/>
      <c r="AI48" s="133"/>
      <c r="AJ48" s="133"/>
      <c r="AK48" s="133"/>
      <c r="AL48" s="133"/>
      <c r="AM48" s="133" t="s">
        <v>470</v>
      </c>
      <c r="AN48" s="133"/>
      <c r="AO48" s="133"/>
      <c r="AP48" s="133"/>
      <c r="AQ48" s="133"/>
      <c r="AR48" s="133"/>
      <c r="AS48" s="133"/>
      <c r="AT48" s="133" t="s">
        <v>546</v>
      </c>
      <c r="AU48" s="133" t="s">
        <v>167</v>
      </c>
      <c r="AV48" s="133" t="s">
        <v>432</v>
      </c>
      <c r="AW48" s="133"/>
      <c r="AX48" s="133"/>
      <c r="AY48" s="133"/>
      <c r="AZ48" s="133"/>
      <c r="BA48" s="133" t="s">
        <v>417</v>
      </c>
      <c r="BB48" s="133" t="s">
        <v>418</v>
      </c>
    </row>
    <row r="49" spans="2:54" x14ac:dyDescent="0.25">
      <c r="B49" s="191">
        <f>RANK(D49,D$49:D$65,0)</f>
        <v>2</v>
      </c>
      <c r="C49" s="191" t="s">
        <v>105</v>
      </c>
      <c r="D49" s="192">
        <f>INDEX(Outputs!$B$20:$S$45,MATCH(10,Outputs!$B$20:$B$45,0),MATCH(C49,Outputs!$B$20:$S$20,0))*100</f>
        <v>8.1641086935997027</v>
      </c>
      <c r="E49" s="191">
        <v>1</v>
      </c>
      <c r="F49" s="191" t="str">
        <f t="shared" ref="F49:F63" si="28">VLOOKUP(E49,B$49:C$64,2,FALSE)</f>
        <v>Network Tasman</v>
      </c>
      <c r="G49" s="193">
        <f>INDEX(Outputs!$B$20:$S$45,MATCH(10,Outputs!$B$20:$B$45,0),MATCH(F49,Outputs!$B$20:$S$20,0))</f>
        <v>8.3713665604591397E-2</v>
      </c>
      <c r="J49" s="191" t="str">
        <f>F49</f>
        <v>Network Tasman</v>
      </c>
      <c r="K49" s="192">
        <f>(G49-Selection!$B$13)*100</f>
        <v>-0.39863343954086028</v>
      </c>
      <c r="M49" s="191">
        <f>RANK(P49,P$49:P$78,0)</f>
        <v>4</v>
      </c>
      <c r="N49" s="191" t="s">
        <v>105</v>
      </c>
      <c r="O49" s="191" t="s">
        <v>415</v>
      </c>
      <c r="P49" s="192">
        <f>INDEX(Outputs!$A$8:$AH$17,MATCH(N$48,Outputs!$A$8:$A$17,0),MATCH(N49,Outputs!$A$8:$AH$8,0))*100</f>
        <v>8.1641086935997027</v>
      </c>
      <c r="Q49" s="191">
        <v>1</v>
      </c>
      <c r="R49" s="191" t="str">
        <f t="shared" ref="R49:R77" si="29">VLOOKUP(Q49,M$49:N$78,2,FALSE)</f>
        <v>Scanpower</v>
      </c>
      <c r="S49" s="192">
        <f>IF(VLOOKUP(R49,$N$49:$O$78,2,FALSE)="DPP",INDEX(Outputs!$A$8:$AH$17,MATCH(N$48,Outputs!$A$8:$A$17,0),MATCH(R49,Outputs!$A$8:$AH$8,0))*100,0)</f>
        <v>0</v>
      </c>
      <c r="T49" s="192">
        <f>IF(VLOOKUP(R49,$N$49:$O$78,2,FALSE)="ID",INDEX(Outputs!$A$8:$AH$17,MATCH(N$48,Outputs!$A$8:$A$17,0),MATCH(R49,Outputs!$A$8:$AH$8,0))*100,0)</f>
        <v>8.6973342299461383</v>
      </c>
      <c r="U49" s="192">
        <f>IF(VLOOKUP(R49,$N$49:$O$78,2,FALSE)="CPP",INDEX(Outputs!$A$8:$AH$17,MATCH(N$48,Outputs!$A$8:$A$17,0),MATCH(R49,Outputs!$A$8:$AH$8,0))*100,0)</f>
        <v>0</v>
      </c>
      <c r="W49" s="191">
        <f>RANK(Y49,Y$49:Y$65,0)</f>
        <v>14</v>
      </c>
      <c r="X49" s="191" t="s">
        <v>105</v>
      </c>
      <c r="Y49" s="192">
        <f>INDEX(Outputs!$A$8:$AH$17,MATCH(Y$48,Outputs!$A$8:$A$17,0),MATCH(X49,Outputs!$A$8:$AH$8,0))*100</f>
        <v>6.4586195349693298</v>
      </c>
      <c r="Z49" s="191">
        <v>1</v>
      </c>
      <c r="AA49" s="191" t="str">
        <f t="shared" ref="AA49:AA65" si="30">VLOOKUP(Z49,W$49:X$66,2,FALSE)</f>
        <v>Nelson Electricity</v>
      </c>
      <c r="AB49" s="192">
        <f>INDEX(Outputs!$A$8:$AH$17,MATCH(Y$48,Outputs!$A$8:$A$17,0),MATCH(AA49,Outputs!$A$8:$AH$8,0))*100</f>
        <v>9.2148515582084656</v>
      </c>
      <c r="AD49" s="191">
        <f t="shared" ref="AD49:AD78" si="31">RANK(AF49,AF$49:AF$78,1)</f>
        <v>9</v>
      </c>
      <c r="AE49" s="191" t="s">
        <v>105</v>
      </c>
      <c r="AF49" s="192">
        <f>INDEX(Outputs!$A$8:$AH$17,MATCH(AF$48,Outputs!$A$8:$A$17,0),MATCH(AE49,Outputs!$A$8:$AH$8,0))*100</f>
        <v>6.4586195349693298</v>
      </c>
      <c r="AG49" s="191">
        <v>1</v>
      </c>
      <c r="AH49" s="191" t="str">
        <f t="shared" ref="AH49:AH78" si="32">VLOOKUP(AG49,AD$49:AE$78,2,FALSE)</f>
        <v>Marlborough Lines</v>
      </c>
      <c r="AI49" s="192">
        <f>INDEX(Outputs!$A$8:$AH$17,MATCH(AF$48,Outputs!$A$8:$A$17,0),MATCH(AH49,Outputs!$A$8:$AH$8,0))*100</f>
        <v>2.579644620418549</v>
      </c>
      <c r="AK49" s="191">
        <f t="shared" ref="AK49:AK64" si="33">RANK(AM49,AM$49:AM$65,1)</f>
        <v>1</v>
      </c>
      <c r="AL49" s="191" t="s">
        <v>472</v>
      </c>
      <c r="AM49" s="192">
        <f>INDEX(Outputs!$B$20:$S$45,MATCH(11,Outputs!$B$20:$B$45,0),MATCH(AL49,Outputs!$B$20:$S$20,0))*100-INDEX(Outputs!$B$20:$S$45,MATCH(12,Outputs!$B$20:$B$45,0),MATCH(AL49,Outputs!$B$20:$S$20,0))*100</f>
        <v>-1.0003978013992336</v>
      </c>
      <c r="AN49" s="191">
        <v>1</v>
      </c>
      <c r="AO49" s="191" t="str">
        <f t="shared" ref="AO49:AO64" si="34">VLOOKUP(AN49,AK$49:AL$64,2,FALSE)</f>
        <v>Vector Lines</v>
      </c>
      <c r="AP49" s="192">
        <f>INDEX(Outputs!$B$20:$S$45,MATCH(11,Outputs!$B$20:$B$45,0),MATCH(AO49,Outputs!$B$20:$S$20,0))*100-INDEX(Outputs!$B$20:$S$45,MATCH(12,Outputs!$B$20:$B$45,0),MATCH(AO49,Outputs!$B$20:$S$20,0))*100</f>
        <v>-1.0003978013992336</v>
      </c>
      <c r="AS49" s="191" t="s">
        <v>105</v>
      </c>
      <c r="AT49" s="100">
        <f>INDEX(Outputs!$B$20:$S$45,MATCH(12,Outputs!$B$20:$B$45,0),MATCH(AS49,Outputs!$B$20:$S$20,0))</f>
        <v>3.414613902568818E-2</v>
      </c>
      <c r="AU49" s="100">
        <f>INDEX(Outputs!$B$20:$S$45,MATCH(11,Outputs!$B$20:$B$45,0),MATCH(AS49,Outputs!$B$20:$S$20,0))</f>
        <v>8.3209237456321722E-2</v>
      </c>
      <c r="AV49" s="100">
        <f>INDEX(Outputs!$B$20:$S$45,MATCH(10,Outputs!$B$20:$B$45,0),MATCH(AS49,Outputs!$B$20:$S$20,0))</f>
        <v>8.1641086935997031E-2</v>
      </c>
      <c r="AZ49" s="191" t="s">
        <v>105</v>
      </c>
      <c r="BA49" s="100">
        <f>INDEX(Outputs!$C$16:$AH$16,MATCH($AZ49,Outputs!$C$8:$AH$8,0))</f>
        <v>8.1641086935997031E-2</v>
      </c>
      <c r="BB49" s="100"/>
    </row>
    <row r="50" spans="2:54" x14ac:dyDescent="0.25">
      <c r="B50" s="191">
        <f t="shared" ref="B50:B64" si="35">RANK(D50,D$49:D$65,0)</f>
        <v>12</v>
      </c>
      <c r="C50" s="191" t="s">
        <v>3</v>
      </c>
      <c r="D50" s="192">
        <f>INDEX(Outputs!$B$20:$S$45,MATCH(10,Outputs!$B$20:$B$45,0),MATCH(C50,Outputs!$B$20:$S$20,0))*100</f>
        <v>6.5177473425865173</v>
      </c>
      <c r="E50" s="191">
        <v>2</v>
      </c>
      <c r="F50" s="191" t="str">
        <f t="shared" si="28"/>
        <v>Alpine Energy</v>
      </c>
      <c r="G50" s="193">
        <f>INDEX(Outputs!$B$20:$S$45,MATCH(10,Outputs!$B$20:$B$45,0),MATCH(F50,Outputs!$B$20:$S$20,0))</f>
        <v>8.1641086935997031E-2</v>
      </c>
      <c r="J50" s="191" t="str">
        <f t="shared" ref="J50:J64" si="36">F50</f>
        <v>Alpine Energy</v>
      </c>
      <c r="K50" s="192">
        <f>(G50-Selection!$B$13)*100</f>
        <v>-0.60589130640029687</v>
      </c>
      <c r="M50" s="191">
        <f t="shared" ref="M50:M77" si="37">RANK(P50,P$49:P$78,0)</f>
        <v>18</v>
      </c>
      <c r="N50" s="191" t="s">
        <v>3</v>
      </c>
      <c r="O50" s="191" t="s">
        <v>415</v>
      </c>
      <c r="P50" s="192">
        <f>INDEX(Outputs!$A$8:$AH$17,MATCH(N$48,Outputs!$A$8:$A$17,0),MATCH(N50,Outputs!$A$8:$AH$8,0))*100</f>
        <v>6.5177473425865173</v>
      </c>
      <c r="Q50" s="191">
        <v>2</v>
      </c>
      <c r="R50" s="191" t="str">
        <f t="shared" si="29"/>
        <v>Electra</v>
      </c>
      <c r="S50" s="192">
        <f>IF(VLOOKUP(R50,$N$49:$O$78,2,FALSE)="DPP",INDEX(Outputs!$A$8:$AH$17,MATCH(N$48,Outputs!$A$8:$A$17,0),MATCH(R50,Outputs!$A$8:$AH$8,0))*100,0)</f>
        <v>0</v>
      </c>
      <c r="T50" s="192">
        <f>IF(VLOOKUP(R50,$N$49:$O$78,2,FALSE)="ID",INDEX(Outputs!$A$8:$AH$17,MATCH(N$48,Outputs!$A$8:$A$17,0),MATCH(R50,Outputs!$A$8:$AH$8,0))*100,0)</f>
        <v>8.5058596730232239</v>
      </c>
      <c r="U50" s="192">
        <f>IF(VLOOKUP(R50,$N$49:$O$78,2,FALSE)="CPP",INDEX(Outputs!$A$8:$AH$17,MATCH(N$48,Outputs!$A$8:$A$17,0),MATCH(R50,Outputs!$A$8:$AH$8,0))*100,0)</f>
        <v>0</v>
      </c>
      <c r="W50" s="191">
        <f t="shared" ref="W50:W65" si="38">RANK(Y50,Y$49:Y$65,0)</f>
        <v>12</v>
      </c>
      <c r="X50" s="191" t="s">
        <v>3</v>
      </c>
      <c r="Y50" s="192">
        <f>INDEX(Outputs!$A$8:$AH$17,MATCH(Y$48,Outputs!$A$8:$A$17,0),MATCH(X50,Outputs!$A$8:$AH$8,0))*100</f>
        <v>7.089196741580964</v>
      </c>
      <c r="Z50" s="191">
        <v>2</v>
      </c>
      <c r="AA50" s="191" t="str">
        <f t="shared" si="30"/>
        <v>Network Tasman</v>
      </c>
      <c r="AB50" s="192">
        <f>INDEX(Outputs!$A$8:$AH$17,MATCH(Y$48,Outputs!$A$8:$A$17,0),MATCH(AA50,Outputs!$A$8:$AH$8,0))*100</f>
        <v>8.6241123080253619</v>
      </c>
      <c r="AD50" s="191">
        <f t="shared" si="31"/>
        <v>13</v>
      </c>
      <c r="AE50" s="191" t="s">
        <v>3</v>
      </c>
      <c r="AF50" s="192">
        <f>INDEX(Outputs!$A$8:$AH$17,MATCH(AF$48,Outputs!$A$8:$A$17,0),MATCH(AE50,Outputs!$A$8:$AH$8,0))*100</f>
        <v>7.089196741580964</v>
      </c>
      <c r="AG50" s="191">
        <v>2</v>
      </c>
      <c r="AH50" s="191" t="str">
        <f t="shared" si="32"/>
        <v>Westpower</v>
      </c>
      <c r="AI50" s="192">
        <f>INDEX(Outputs!$A$8:$AH$17,MATCH(AF$48,Outputs!$A$8:$A$17,0),MATCH(AH50,Outputs!$A$8:$AH$8,0))*100</f>
        <v>4.0842458605766314</v>
      </c>
      <c r="AJ50" s="4"/>
      <c r="AK50" s="191">
        <f t="shared" si="33"/>
        <v>2</v>
      </c>
      <c r="AL50" s="191" t="s">
        <v>474</v>
      </c>
      <c r="AM50" s="192">
        <f>INDEX(Outputs!$B$20:$S$45,MATCH(11,Outputs!$B$20:$B$45,0),MATCH(AL50,Outputs!$B$20:$S$20,0))*100-INDEX(Outputs!$B$20:$S$45,MATCH(12,Outputs!$B$20:$B$45,0),MATCH(AL50,Outputs!$B$20:$S$20,0))*100</f>
        <v>-0.53287804126739502</v>
      </c>
      <c r="AN50" s="191">
        <v>2</v>
      </c>
      <c r="AO50" s="191" t="str">
        <f t="shared" si="34"/>
        <v>Eastland Network</v>
      </c>
      <c r="AP50" s="192">
        <f>INDEX(Outputs!$B$20:$S$45,MATCH(11,Outputs!$B$20:$B$45,0),MATCH(AO50,Outputs!$B$20:$S$20,0))*100-INDEX(Outputs!$B$20:$S$45,MATCH(12,Outputs!$B$20:$B$45,0),MATCH(AO50,Outputs!$B$20:$S$20,0))*100</f>
        <v>-0.53287804126739502</v>
      </c>
      <c r="AS50" s="191" t="s">
        <v>3</v>
      </c>
      <c r="AT50" s="100">
        <f>INDEX(Outputs!$B$20:$S$45,MATCH(12,Outputs!$B$20:$B$45,0),MATCH(AS50,Outputs!$B$20:$S$20,0))</f>
        <v>6.4430120587348941E-2</v>
      </c>
      <c r="AU50" s="100">
        <f>INDEX(Outputs!$B$20:$S$45,MATCH(11,Outputs!$B$20:$B$45,0),MATCH(AS50,Outputs!$B$20:$S$20,0))</f>
        <v>6.5687397122383126E-2</v>
      </c>
      <c r="AV50" s="100">
        <f>INDEX(Outputs!$B$20:$S$45,MATCH(10,Outputs!$B$20:$B$45,0),MATCH(AS50,Outputs!$B$20:$S$20,0))</f>
        <v>6.5177473425865176E-2</v>
      </c>
      <c r="AZ50" s="191" t="s">
        <v>3</v>
      </c>
      <c r="BA50" s="100">
        <f>INDEX(Outputs!$C$16:$AH$16,MATCH($AZ50,Outputs!$C$8:$AH$8,0))</f>
        <v>6.5177473425865176E-2</v>
      </c>
      <c r="BB50" s="100"/>
    </row>
    <row r="51" spans="2:54" x14ac:dyDescent="0.25">
      <c r="B51" s="191">
        <f t="shared" si="35"/>
        <v>15</v>
      </c>
      <c r="C51" s="191" t="s">
        <v>106</v>
      </c>
      <c r="D51" s="192">
        <f>INDEX(Outputs!$B$20:$S$45,MATCH(10,Outputs!$B$20:$B$45,0),MATCH(C51,Outputs!$B$20:$S$20,0))*100</f>
        <v>5.5034896731376639</v>
      </c>
      <c r="E51" s="191">
        <v>3</v>
      </c>
      <c r="F51" s="191" t="str">
        <f t="shared" si="28"/>
        <v>Wellington Electricity</v>
      </c>
      <c r="G51" s="193">
        <f>INDEX(Outputs!$B$20:$S$45,MATCH(10,Outputs!$B$20:$B$45,0),MATCH(F51,Outputs!$B$20:$S$20,0))</f>
        <v>8.0735775828361514E-2</v>
      </c>
      <c r="J51" s="191" t="str">
        <f t="shared" si="36"/>
        <v>Wellington Electricity</v>
      </c>
      <c r="K51" s="192">
        <f>(G51-Selection!$B$13)*100</f>
        <v>-0.69642241716384867</v>
      </c>
      <c r="M51" s="191">
        <f t="shared" si="37"/>
        <v>26</v>
      </c>
      <c r="N51" s="191" t="s">
        <v>29</v>
      </c>
      <c r="O51" s="191" t="s">
        <v>209</v>
      </c>
      <c r="P51" s="192">
        <f>INDEX(Outputs!$A$8:$AH$17,MATCH(N$48,Outputs!$A$8:$A$17,0),MATCH(N51,Outputs!$A$8:$AH$8,0))*100</f>
        <v>4.5875385403633118</v>
      </c>
      <c r="Q51" s="191">
        <v>3</v>
      </c>
      <c r="R51" s="191" t="str">
        <f t="shared" si="29"/>
        <v>Network Tasman</v>
      </c>
      <c r="S51" s="192">
        <f>IF(VLOOKUP(R51,$N$49:$O$78,2,FALSE)="DPP",INDEX(Outputs!$A$8:$AH$17,MATCH(N$48,Outputs!$A$8:$A$17,0),MATCH(R51,Outputs!$A$8:$AH$8,0))*100,0)</f>
        <v>8.3713665604591405</v>
      </c>
      <c r="T51" s="192">
        <f>IF(VLOOKUP(R51,$N$49:$O$78,2,FALSE)="ID",INDEX(Outputs!$A$8:$AH$17,MATCH(N$48,Outputs!$A$8:$A$17,0),MATCH(R51,Outputs!$A$8:$AH$8,0))*100,0)</f>
        <v>0</v>
      </c>
      <c r="U51" s="192">
        <f>IF(VLOOKUP(R51,$N$49:$O$78,2,FALSE)="CPP",INDEX(Outputs!$A$8:$AH$17,MATCH(N$48,Outputs!$A$8:$A$17,0),MATCH(R51,Outputs!$A$8:$AH$8,0))*100,0)</f>
        <v>0</v>
      </c>
      <c r="W51" s="191">
        <f t="shared" si="38"/>
        <v>17</v>
      </c>
      <c r="X51" s="191" t="s">
        <v>106</v>
      </c>
      <c r="Y51" s="192">
        <f>INDEX(Outputs!$A$8:$AH$17,MATCH(Y$48,Outputs!$A$8:$A$17,0),MATCH(X51,Outputs!$A$8:$AH$8,0))*100</f>
        <v>5.4127731919288644</v>
      </c>
      <c r="Z51" s="191">
        <v>3</v>
      </c>
      <c r="AA51" s="191" t="str">
        <f t="shared" si="30"/>
        <v>Wellington Electricity</v>
      </c>
      <c r="AB51" s="192">
        <f>INDEX(Outputs!$A$8:$AH$17,MATCH(Y$48,Outputs!$A$8:$A$17,0),MATCH(AA51,Outputs!$A$8:$AH$8,0))*100</f>
        <v>8.2492747902870178</v>
      </c>
      <c r="AD51" s="191">
        <f t="shared" si="31"/>
        <v>4</v>
      </c>
      <c r="AE51" s="191" t="s">
        <v>29</v>
      </c>
      <c r="AF51" s="192">
        <f>INDEX(Outputs!$A$8:$AH$17,MATCH(AF$48,Outputs!$A$8:$A$17,0),MATCH(AE51,Outputs!$A$8:$AH$8,0))*100</f>
        <v>4.3426355719566354</v>
      </c>
      <c r="AG51" s="191">
        <v>3</v>
      </c>
      <c r="AH51" s="191" t="str">
        <f t="shared" si="32"/>
        <v>Network Waitaki</v>
      </c>
      <c r="AI51" s="192">
        <f>INDEX(Outputs!$A$8:$AH$17,MATCH(AF$48,Outputs!$A$8:$A$17,0),MATCH(AH51,Outputs!$A$8:$AH$8,0))*100</f>
        <v>4.3345740437507638</v>
      </c>
      <c r="AJ51" s="4"/>
      <c r="AK51" s="191">
        <f t="shared" si="33"/>
        <v>3</v>
      </c>
      <c r="AL51" s="191" t="s">
        <v>107</v>
      </c>
      <c r="AM51" s="192">
        <f>INDEX(Outputs!$B$20:$S$45,MATCH(11,Outputs!$B$20:$B$45,0),MATCH(AL51,Outputs!$B$20:$S$20,0))*100-INDEX(Outputs!$B$20:$S$45,MATCH(12,Outputs!$B$20:$B$45,0),MATCH(AL51,Outputs!$B$20:$S$20,0))*100</f>
        <v>-0.38635790348053067</v>
      </c>
      <c r="AN51" s="191">
        <v>3</v>
      </c>
      <c r="AO51" s="191" t="str">
        <f t="shared" si="34"/>
        <v>Horizon Energy</v>
      </c>
      <c r="AP51" s="192">
        <f>INDEX(Outputs!$B$20:$S$45,MATCH(11,Outputs!$B$20:$B$45,0),MATCH(AO51,Outputs!$B$20:$S$20,0))*100-INDEX(Outputs!$B$20:$S$45,MATCH(12,Outputs!$B$20:$B$45,0),MATCH(AO51,Outputs!$B$20:$S$20,0))*100</f>
        <v>-0.38635790348053067</v>
      </c>
      <c r="AS51" s="191" t="s">
        <v>106</v>
      </c>
      <c r="AT51" s="100">
        <f>INDEX(Outputs!$B$20:$S$45,MATCH(12,Outputs!$B$20:$B$45,0),MATCH(AS51,Outputs!$B$20:$S$20,0))</f>
        <v>3.3519467711448675E-2</v>
      </c>
      <c r="AU51" s="100">
        <f>INDEX(Outputs!$B$20:$S$45,MATCH(11,Outputs!$B$20:$B$45,0),MATCH(AS51,Outputs!$B$20:$S$20,0))</f>
        <v>5.7321104407310489E-2</v>
      </c>
      <c r="AV51" s="100">
        <f>INDEX(Outputs!$B$20:$S$45,MATCH(10,Outputs!$B$20:$B$45,0),MATCH(AS51,Outputs!$B$20:$S$20,0))</f>
        <v>5.503489673137664E-2</v>
      </c>
      <c r="AZ51" s="191" t="s">
        <v>106</v>
      </c>
      <c r="BA51" s="100">
        <f>INDEX(Outputs!$C$16:$AH$16,MATCH($AZ51,Outputs!$C$8:$AH$8,0))</f>
        <v>5.503489673137664E-2</v>
      </c>
      <c r="BB51" s="100"/>
    </row>
    <row r="52" spans="2:54" x14ac:dyDescent="0.25">
      <c r="B52" s="191">
        <f t="shared" si="35"/>
        <v>13</v>
      </c>
      <c r="C52" s="191" t="s">
        <v>474</v>
      </c>
      <c r="D52" s="192">
        <f>INDEX(Outputs!$B$20:$S$45,MATCH(10,Outputs!$B$20:$B$45,0),MATCH(C52,Outputs!$B$20:$S$20,0))*100</f>
        <v>6.1593458056449908</v>
      </c>
      <c r="E52" s="191">
        <v>4</v>
      </c>
      <c r="F52" s="191" t="str">
        <f t="shared" si="28"/>
        <v>Nelson Electricity</v>
      </c>
      <c r="G52" s="193">
        <f>INDEX(Outputs!$B$20:$S$45,MATCH(10,Outputs!$B$20:$B$45,0),MATCH(F52,Outputs!$B$20:$S$20,0))</f>
        <v>7.8456476330757155E-2</v>
      </c>
      <c r="J52" s="191" t="str">
        <f t="shared" si="36"/>
        <v>Nelson Electricity</v>
      </c>
      <c r="K52" s="192">
        <f>(G52-Selection!$B$13)*100</f>
        <v>-0.92435236692428457</v>
      </c>
      <c r="M52" s="191">
        <f t="shared" si="37"/>
        <v>23</v>
      </c>
      <c r="N52" s="191" t="s">
        <v>106</v>
      </c>
      <c r="O52" s="191" t="s">
        <v>415</v>
      </c>
      <c r="P52" s="192">
        <f>INDEX(Outputs!$A$8:$AH$17,MATCH(N$48,Outputs!$A$8:$A$17,0),MATCH(N52,Outputs!$A$8:$AH$8,0))*100</f>
        <v>5.5034896731376639</v>
      </c>
      <c r="Q52" s="191">
        <v>4</v>
      </c>
      <c r="R52" s="191" t="str">
        <f t="shared" si="29"/>
        <v>Alpine Energy</v>
      </c>
      <c r="S52" s="192">
        <f>IF(VLOOKUP(R52,$N$49:$O$78,2,FALSE)="DPP",INDEX(Outputs!$A$8:$AH$17,MATCH(N$48,Outputs!$A$8:$A$17,0),MATCH(R52,Outputs!$A$8:$AH$8,0))*100,0)</f>
        <v>8.1641086935997027</v>
      </c>
      <c r="T52" s="192">
        <f>IF(VLOOKUP(R52,$N$49:$O$78,2,FALSE)="ID",INDEX(Outputs!$A$8:$AH$17,MATCH(N$48,Outputs!$A$8:$A$17,0),MATCH(R52,Outputs!$A$8:$AH$8,0))*100,0)</f>
        <v>0</v>
      </c>
      <c r="U52" s="192">
        <f>IF(VLOOKUP(R52,$N$49:$O$78,2,FALSE)="CPP",INDEX(Outputs!$A$8:$AH$17,MATCH(N$48,Outputs!$A$8:$A$17,0),MATCH(R52,Outputs!$A$8:$AH$8,0))*100,0)</f>
        <v>0</v>
      </c>
      <c r="W52" s="191">
        <f t="shared" si="38"/>
        <v>9</v>
      </c>
      <c r="X52" s="191" t="s">
        <v>474</v>
      </c>
      <c r="Y52" s="192">
        <f>INDEX(Outputs!$A$8:$AH$17,MATCH(Y$48,Outputs!$A$8:$A$17,0),MATCH(X52,Outputs!$A$8:$AH$8,0))*100</f>
        <v>7.1833327412605303</v>
      </c>
      <c r="Z52" s="191">
        <v>4</v>
      </c>
      <c r="AA52" s="191" t="str">
        <f t="shared" si="30"/>
        <v>Vector Lines</v>
      </c>
      <c r="AB52" s="192">
        <f>INDEX(Outputs!$A$8:$AH$17,MATCH(Y$48,Outputs!$A$8:$A$17,0),MATCH(AA52,Outputs!$A$8:$AH$8,0))*100</f>
        <v>7.9988887906074568</v>
      </c>
      <c r="AD52" s="191">
        <f t="shared" si="31"/>
        <v>6</v>
      </c>
      <c r="AE52" s="191" t="s">
        <v>106</v>
      </c>
      <c r="AF52" s="192">
        <f>INDEX(Outputs!$A$8:$AH$17,MATCH(AF$48,Outputs!$A$8:$A$17,0),MATCH(AE52,Outputs!$A$8:$AH$8,0))*100</f>
        <v>5.4127731919288644</v>
      </c>
      <c r="AG52" s="191">
        <v>4</v>
      </c>
      <c r="AH52" s="191" t="str">
        <f t="shared" si="32"/>
        <v>Buller Electricity</v>
      </c>
      <c r="AI52" s="192">
        <f>INDEX(Outputs!$A$8:$AH$17,MATCH(AF$48,Outputs!$A$8:$A$17,0),MATCH(AH52,Outputs!$A$8:$AH$8,0))*100</f>
        <v>4.3426355719566354</v>
      </c>
      <c r="AJ52" s="4"/>
      <c r="AK52" s="191">
        <f t="shared" si="33"/>
        <v>4</v>
      </c>
      <c r="AL52" s="191" t="s">
        <v>108</v>
      </c>
      <c r="AM52" s="192">
        <f>INDEX(Outputs!$B$20:$S$45,MATCH(11,Outputs!$B$20:$B$45,0),MATCH(AL52,Outputs!$B$20:$S$20,0))*100-INDEX(Outputs!$B$20:$S$45,MATCH(12,Outputs!$B$20:$B$45,0),MATCH(AL52,Outputs!$B$20:$S$20,0))*100</f>
        <v>-0.19037306308746427</v>
      </c>
      <c r="AN52" s="191">
        <v>4</v>
      </c>
      <c r="AO52" s="191" t="str">
        <f t="shared" si="34"/>
        <v>Nelson Electricity</v>
      </c>
      <c r="AP52" s="192">
        <f>INDEX(Outputs!$B$20:$S$45,MATCH(11,Outputs!$B$20:$B$45,0),MATCH(AO52,Outputs!$B$20:$S$20,0))*100-INDEX(Outputs!$B$20:$S$45,MATCH(12,Outputs!$B$20:$B$45,0),MATCH(AO52,Outputs!$B$20:$S$20,0))*100</f>
        <v>-0.19037306308746427</v>
      </c>
      <c r="AS52" s="191" t="s">
        <v>474</v>
      </c>
      <c r="AT52" s="100">
        <f>INDEX(Outputs!$B$20:$S$45,MATCH(12,Outputs!$B$20:$B$45,0),MATCH(AS52,Outputs!$B$20:$S$20,0))</f>
        <v>6.7304751276969929E-2</v>
      </c>
      <c r="AU52" s="100">
        <f>INDEX(Outputs!$B$20:$S$45,MATCH(11,Outputs!$B$20:$B$45,0),MATCH(AS52,Outputs!$B$20:$S$20,0))</f>
        <v>6.1975970864295973E-2</v>
      </c>
      <c r="AV52" s="100">
        <f>INDEX(Outputs!$B$20:$S$45,MATCH(10,Outputs!$B$20:$B$45,0),MATCH(AS52,Outputs!$B$20:$S$20,0))</f>
        <v>6.1593458056449904E-2</v>
      </c>
      <c r="AZ52" s="191" t="s">
        <v>474</v>
      </c>
      <c r="BA52" s="100">
        <f>INDEX(Outputs!$C$16:$AH$16,MATCH($AZ52,Outputs!$C$8:$AH$8,0))</f>
        <v>6.1593458056449904E-2</v>
      </c>
      <c r="BB52" s="100"/>
    </row>
    <row r="53" spans="2:54" x14ac:dyDescent="0.25">
      <c r="B53" s="191">
        <f t="shared" si="35"/>
        <v>8</v>
      </c>
      <c r="C53" s="191" t="s">
        <v>4</v>
      </c>
      <c r="D53" s="192">
        <f>INDEX(Outputs!$B$20:$S$45,MATCH(10,Outputs!$B$20:$B$45,0),MATCH(C53,Outputs!$B$20:$S$20,0))*100</f>
        <v>6.8603917956352216</v>
      </c>
      <c r="E53" s="191">
        <v>5</v>
      </c>
      <c r="F53" s="191" t="str">
        <f t="shared" si="28"/>
        <v>OtagoNet</v>
      </c>
      <c r="G53" s="193">
        <f>INDEX(Outputs!$B$20:$S$45,MATCH(10,Outputs!$B$20:$B$45,0),MATCH(F53,Outputs!$B$20:$S$20,0))</f>
        <v>7.4018034338951127E-2</v>
      </c>
      <c r="J53" s="191" t="str">
        <f t="shared" si="36"/>
        <v>OtagoNet</v>
      </c>
      <c r="K53" s="192">
        <f>(G53-Selection!$B$13)*100</f>
        <v>-1.3681965661048872</v>
      </c>
      <c r="M53" s="191">
        <f t="shared" si="37"/>
        <v>8</v>
      </c>
      <c r="N53" s="191" t="s">
        <v>30</v>
      </c>
      <c r="O53" s="191" t="s">
        <v>209</v>
      </c>
      <c r="P53" s="192">
        <f>INDEX(Outputs!$A$8:$AH$17,MATCH(N$48,Outputs!$A$8:$A$17,0),MATCH(N53,Outputs!$A$8:$AH$8,0))*100</f>
        <v>7.5588443875312814</v>
      </c>
      <c r="Q53" s="191">
        <v>5</v>
      </c>
      <c r="R53" s="191" t="str">
        <f t="shared" si="29"/>
        <v>Wellington Electricity</v>
      </c>
      <c r="S53" s="192">
        <f>IF(VLOOKUP(R53,$N$49:$O$78,2,FALSE)="DPP",INDEX(Outputs!$A$8:$AH$17,MATCH(N$48,Outputs!$A$8:$A$17,0),MATCH(R53,Outputs!$A$8:$AH$8,0))*100,0)</f>
        <v>8.0735775828361511</v>
      </c>
      <c r="T53" s="192">
        <f>IF(VLOOKUP(R53,$N$49:$O$78,2,FALSE)="ID",INDEX(Outputs!$A$8:$AH$17,MATCH(N$48,Outputs!$A$8:$A$17,0),MATCH(R53,Outputs!$A$8:$AH$8,0))*100,0)</f>
        <v>0</v>
      </c>
      <c r="U53" s="192">
        <f>IF(VLOOKUP(R53,$N$49:$O$78,2,FALSE)="CPP",INDEX(Outputs!$A$8:$AH$17,MATCH(N$48,Outputs!$A$8:$A$17,0),MATCH(R53,Outputs!$A$8:$AH$8,0))*100,0)</f>
        <v>0</v>
      </c>
      <c r="W53" s="191">
        <f t="shared" si="38"/>
        <v>10</v>
      </c>
      <c r="X53" s="191" t="s">
        <v>4</v>
      </c>
      <c r="Y53" s="192">
        <f>INDEX(Outputs!$A$8:$AH$17,MATCH(Y$48,Outputs!$A$8:$A$17,0),MATCH(X53,Outputs!$A$8:$AH$8,0))*100</f>
        <v>7.1758499741554251</v>
      </c>
      <c r="Z53" s="191">
        <v>5</v>
      </c>
      <c r="AA53" s="191" t="str">
        <f t="shared" si="30"/>
        <v>OtagoNet</v>
      </c>
      <c r="AB53" s="192">
        <f>INDEX(Outputs!$A$8:$AH$17,MATCH(Y$48,Outputs!$A$8:$A$17,0),MATCH(AA53,Outputs!$A$8:$AH$8,0))*100</f>
        <v>7.9019305109977722</v>
      </c>
      <c r="AD53" s="191">
        <f t="shared" si="31"/>
        <v>21</v>
      </c>
      <c r="AE53" s="191" t="s">
        <v>30</v>
      </c>
      <c r="AF53" s="192">
        <f>INDEX(Outputs!$A$8:$AH$17,MATCH(AF$48,Outputs!$A$8:$A$17,0),MATCH(AE53,Outputs!$A$8:$AH$8,0))*100</f>
        <v>7.4273094534873962</v>
      </c>
      <c r="AG53" s="191">
        <v>5</v>
      </c>
      <c r="AH53" s="191" t="str">
        <f t="shared" si="32"/>
        <v>The Power Company</v>
      </c>
      <c r="AI53" s="192">
        <f>INDEX(Outputs!$A$8:$AH$17,MATCH(AF$48,Outputs!$A$8:$A$17,0),MATCH(AH53,Outputs!$A$8:$AH$8,0))*100</f>
        <v>5.2027973532676697</v>
      </c>
      <c r="AJ53" s="4"/>
      <c r="AK53" s="191">
        <f t="shared" si="33"/>
        <v>5</v>
      </c>
      <c r="AL53" s="191" t="s">
        <v>111</v>
      </c>
      <c r="AM53" s="192">
        <f>INDEX(Outputs!$B$20:$S$45,MATCH(11,Outputs!$B$20:$B$45,0),MATCH(AL53,Outputs!$B$20:$S$20,0))*100-INDEX(Outputs!$B$20:$S$45,MATCH(12,Outputs!$B$20:$B$45,0),MATCH(AL53,Outputs!$B$20:$S$20,0))*100</f>
        <v>6.0205459594726563E-2</v>
      </c>
      <c r="AN53" s="191">
        <v>5</v>
      </c>
      <c r="AO53" s="191" t="str">
        <f t="shared" si="34"/>
        <v>Powerco</v>
      </c>
      <c r="AP53" s="192">
        <f>INDEX(Outputs!$B$20:$S$45,MATCH(11,Outputs!$B$20:$B$45,0),MATCH(AO53,Outputs!$B$20:$S$20,0))*100-INDEX(Outputs!$B$20:$S$45,MATCH(12,Outputs!$B$20:$B$45,0),MATCH(AO53,Outputs!$B$20:$S$20,0))*100</f>
        <v>6.0205459594726563E-2</v>
      </c>
      <c r="AS53" s="191" t="s">
        <v>4</v>
      </c>
      <c r="AT53" s="100">
        <f>INDEX(Outputs!$B$20:$S$45,MATCH(12,Outputs!$B$20:$B$45,0),MATCH(AS53,Outputs!$B$20:$S$20,0))</f>
        <v>6.6171929240226759E-2</v>
      </c>
      <c r="AU53" s="100">
        <f>INDEX(Outputs!$B$20:$S$45,MATCH(11,Outputs!$B$20:$B$45,0),MATCH(AS53,Outputs!$B$20:$S$20,0))</f>
        <v>7.143664062023164E-2</v>
      </c>
      <c r="AV53" s="100">
        <f>INDEX(Outputs!$B$20:$S$45,MATCH(10,Outputs!$B$20:$B$45,0),MATCH(AS53,Outputs!$B$20:$S$20,0))</f>
        <v>6.860391795635222E-2</v>
      </c>
      <c r="AZ53" s="191" t="s">
        <v>4</v>
      </c>
      <c r="BA53" s="100">
        <f>INDEX(Outputs!$C$16:$AH$16,MATCH($AZ53,Outputs!$C$8:$AH$8,0))</f>
        <v>6.860391795635222E-2</v>
      </c>
      <c r="BB53" s="100"/>
    </row>
    <row r="54" spans="2:54" x14ac:dyDescent="0.25">
      <c r="B54" s="191">
        <f t="shared" si="35"/>
        <v>10</v>
      </c>
      <c r="C54" s="191" t="s">
        <v>5</v>
      </c>
      <c r="D54" s="192">
        <f>INDEX(Outputs!$B$20:$S$45,MATCH(10,Outputs!$B$20:$B$45,0),MATCH(C54,Outputs!$B$20:$S$20,0))*100</f>
        <v>6.7422375082969666</v>
      </c>
      <c r="E54" s="191">
        <v>6</v>
      </c>
      <c r="F54" s="191" t="str">
        <f t="shared" si="28"/>
        <v>Powerco</v>
      </c>
      <c r="G54" s="193">
        <f>INDEX(Outputs!$B$20:$S$45,MATCH(10,Outputs!$B$20:$B$45,0),MATCH(F54,Outputs!$B$20:$S$20,0))</f>
        <v>7.1314582228660592E-2</v>
      </c>
      <c r="J54" s="191" t="str">
        <f t="shared" si="36"/>
        <v>Powerco</v>
      </c>
      <c r="K54" s="192">
        <f>(G54-Selection!$B$13)*100</f>
        <v>-1.6385417771339408</v>
      </c>
      <c r="M54" s="191">
        <f t="shared" si="37"/>
        <v>21</v>
      </c>
      <c r="N54" s="191" t="s">
        <v>474</v>
      </c>
      <c r="O54" s="191" t="s">
        <v>415</v>
      </c>
      <c r="P54" s="192">
        <f>INDEX(Outputs!$A$8:$AH$17,MATCH(N$48,Outputs!$A$8:$A$17,0),MATCH(N54,Outputs!$A$8:$AH$8,0))*100</f>
        <v>6.1593458056449908</v>
      </c>
      <c r="Q54" s="191">
        <v>6</v>
      </c>
      <c r="R54" s="191" t="str">
        <f t="shared" si="29"/>
        <v>Nelson Electricity</v>
      </c>
      <c r="S54" s="192">
        <f>IF(VLOOKUP(R54,$N$49:$O$78,2,FALSE)="DPP",INDEX(Outputs!$A$8:$AH$17,MATCH(N$48,Outputs!$A$8:$A$17,0),MATCH(R54,Outputs!$A$8:$AH$8,0))*100,0)</f>
        <v>7.8456476330757159</v>
      </c>
      <c r="T54" s="192">
        <f>IF(VLOOKUP(R54,$N$49:$O$78,2,FALSE)="ID",INDEX(Outputs!$A$8:$AH$17,MATCH(N$48,Outputs!$A$8:$A$17,0),MATCH(R54,Outputs!$A$8:$AH$8,0))*100,0)</f>
        <v>0</v>
      </c>
      <c r="U54" s="192">
        <f>IF(VLOOKUP(R54,$N$49:$O$78,2,FALSE)="CPP",INDEX(Outputs!$A$8:$AH$17,MATCH(N$48,Outputs!$A$8:$A$17,0),MATCH(R54,Outputs!$A$8:$AH$8,0))*100,0)</f>
        <v>0</v>
      </c>
      <c r="W54" s="191">
        <f t="shared" si="38"/>
        <v>11</v>
      </c>
      <c r="X54" s="191" t="s">
        <v>5</v>
      </c>
      <c r="Y54" s="192">
        <f>INDEX(Outputs!$A$8:$AH$17,MATCH(Y$48,Outputs!$A$8:$A$17,0),MATCH(X54,Outputs!$A$8:$AH$8,0))*100</f>
        <v>7.106240689754487</v>
      </c>
      <c r="Z54" s="191">
        <v>6</v>
      </c>
      <c r="AA54" s="191" t="str">
        <f t="shared" si="30"/>
        <v>DPP Total</v>
      </c>
      <c r="AB54" s="192">
        <f>INDEX(Outputs!$A$8:$AH$17,MATCH(Y$48,Outputs!$A$8:$A$17,0),MATCH(AA54,Outputs!$A$8:$AH$8,0))*100</f>
        <v>7.5636538863182059</v>
      </c>
      <c r="AD54" s="191">
        <f t="shared" si="31"/>
        <v>16</v>
      </c>
      <c r="AE54" s="191" t="s">
        <v>474</v>
      </c>
      <c r="AF54" s="192">
        <f>INDEX(Outputs!$A$8:$AH$17,MATCH(AF$48,Outputs!$A$8:$A$17,0),MATCH(AE54,Outputs!$A$8:$AH$8,0))*100</f>
        <v>7.1833327412605303</v>
      </c>
      <c r="AG54" s="191">
        <v>6</v>
      </c>
      <c r="AH54" s="191" t="str">
        <f t="shared" si="32"/>
        <v>Centralines</v>
      </c>
      <c r="AI54" s="192">
        <f>INDEX(Outputs!$A$8:$AH$17,MATCH(AF$48,Outputs!$A$8:$A$17,0),MATCH(AH54,Outputs!$A$8:$AH$8,0))*100</f>
        <v>5.4127731919288644</v>
      </c>
      <c r="AJ54" s="4"/>
      <c r="AK54" s="191">
        <f t="shared" si="33"/>
        <v>6</v>
      </c>
      <c r="AL54" s="191" t="s">
        <v>3</v>
      </c>
      <c r="AM54" s="192">
        <f>INDEX(Outputs!$B$20:$S$45,MATCH(11,Outputs!$B$20:$B$45,0),MATCH(AL54,Outputs!$B$20:$S$20,0))*100-INDEX(Outputs!$B$20:$S$45,MATCH(12,Outputs!$B$20:$B$45,0),MATCH(AL54,Outputs!$B$20:$S$20,0))*100</f>
        <v>0.12572765350341886</v>
      </c>
      <c r="AN54" s="191">
        <v>6</v>
      </c>
      <c r="AO54" s="191" t="str">
        <f t="shared" si="34"/>
        <v>Aurora Energy</v>
      </c>
      <c r="AP54" s="192">
        <f>INDEX(Outputs!$B$20:$S$45,MATCH(11,Outputs!$B$20:$B$45,0),MATCH(AO54,Outputs!$B$20:$S$20,0))*100-INDEX(Outputs!$B$20:$S$45,MATCH(12,Outputs!$B$20:$B$45,0),MATCH(AO54,Outputs!$B$20:$S$20,0))*100</f>
        <v>0.12572765350341886</v>
      </c>
      <c r="AS54" s="191" t="s">
        <v>5</v>
      </c>
      <c r="AT54" s="100">
        <f>INDEX(Outputs!$B$20:$S$45,MATCH(12,Outputs!$B$20:$B$45,0),MATCH(AS54,Outputs!$B$20:$S$20,0))</f>
        <v>6.5448614954948442E-2</v>
      </c>
      <c r="AU54" s="100">
        <f>INDEX(Outputs!$B$20:$S$45,MATCH(11,Outputs!$B$20:$B$45,0),MATCH(AS54,Outputs!$B$20:$S$20,0))</f>
        <v>6.8602541089057931E-2</v>
      </c>
      <c r="AV54" s="100">
        <f>INDEX(Outputs!$B$20:$S$45,MATCH(10,Outputs!$B$20:$B$45,0),MATCH(AS54,Outputs!$B$20:$S$20,0))</f>
        <v>6.7422375082969666E-2</v>
      </c>
      <c r="AZ54" s="191" t="s">
        <v>5</v>
      </c>
      <c r="BA54" s="100">
        <f>INDEX(Outputs!$C$16:$AH$16,MATCH($AZ54,Outputs!$C$8:$AH$8,0))</f>
        <v>6.7422375082969666E-2</v>
      </c>
      <c r="BB54" s="100"/>
    </row>
    <row r="55" spans="2:54" x14ac:dyDescent="0.25">
      <c r="B55" s="191">
        <f t="shared" si="35"/>
        <v>11</v>
      </c>
      <c r="C55" s="191" t="s">
        <v>107</v>
      </c>
      <c r="D55" s="192">
        <f>INDEX(Outputs!$B$20:$S$45,MATCH(10,Outputs!$B$20:$B$45,0),MATCH(C55,Outputs!$B$20:$S$20,0))*100</f>
        <v>6.554950177669526</v>
      </c>
      <c r="E55" s="191">
        <v>7</v>
      </c>
      <c r="F55" s="191" t="str">
        <f t="shared" si="28"/>
        <v>Vector Lines</v>
      </c>
      <c r="G55" s="193">
        <f>INDEX(Outputs!$B$20:$S$45,MATCH(10,Outputs!$B$20:$B$45,0),MATCH(F55,Outputs!$B$20:$S$20,0))</f>
        <v>7.0359322428703311E-2</v>
      </c>
      <c r="J55" s="191" t="str">
        <f t="shared" si="36"/>
        <v>Vector Lines</v>
      </c>
      <c r="K55" s="192">
        <f>(G55-Selection!$B$13)*100</f>
        <v>-1.734067757129669</v>
      </c>
      <c r="M55" s="191">
        <f t="shared" si="37"/>
        <v>2</v>
      </c>
      <c r="N55" s="191" t="s">
        <v>31</v>
      </c>
      <c r="O55" s="191" t="s">
        <v>209</v>
      </c>
      <c r="P55" s="192">
        <f>INDEX(Outputs!$A$8:$AH$17,MATCH(N$48,Outputs!$A$8:$A$17,0),MATCH(N55,Outputs!$A$8:$AH$8,0))*100</f>
        <v>8.5058596730232239</v>
      </c>
      <c r="Q55" s="191">
        <v>7</v>
      </c>
      <c r="R55" s="191" t="str">
        <f t="shared" si="29"/>
        <v>MainPower</v>
      </c>
      <c r="S55" s="192">
        <f>IF(VLOOKUP(R55,$N$49:$O$78,2,FALSE)="DPP",INDEX(Outputs!$A$8:$AH$17,MATCH(N$48,Outputs!$A$8:$A$17,0),MATCH(R55,Outputs!$A$8:$AH$8,0))*100,0)</f>
        <v>0</v>
      </c>
      <c r="T55" s="192">
        <f>IF(VLOOKUP(R55,$N$49:$O$78,2,FALSE)="ID",INDEX(Outputs!$A$8:$AH$17,MATCH(N$48,Outputs!$A$8:$A$17,0),MATCH(R55,Outputs!$A$8:$AH$8,0))*100,0)</f>
        <v>7.7743104100227391</v>
      </c>
      <c r="U55" s="192">
        <f>IF(VLOOKUP(R55,$N$49:$O$78,2,FALSE)="CPP",INDEX(Outputs!$A$8:$AH$17,MATCH(N$48,Outputs!$A$8:$A$17,0),MATCH(R55,Outputs!$A$8:$AH$8,0))*100,0)</f>
        <v>0</v>
      </c>
      <c r="W55" s="191">
        <f t="shared" si="38"/>
        <v>8</v>
      </c>
      <c r="X55" s="191" t="s">
        <v>107</v>
      </c>
      <c r="Y55" s="192">
        <f>INDEX(Outputs!$A$8:$AH$17,MATCH(Y$48,Outputs!$A$8:$A$17,0),MATCH(X55,Outputs!$A$8:$AH$8,0))*100</f>
        <v>7.2648599743843096</v>
      </c>
      <c r="Z55" s="191">
        <v>7</v>
      </c>
      <c r="AA55" s="191" t="str">
        <f t="shared" si="30"/>
        <v>Powerco</v>
      </c>
      <c r="AB55" s="192">
        <f>INDEX(Outputs!$A$8:$AH$17,MATCH(Y$48,Outputs!$A$8:$A$17,0),MATCH(AA55,Outputs!$A$8:$AH$8,0))*100</f>
        <v>7.4369093775749224</v>
      </c>
      <c r="AD55" s="191">
        <f t="shared" si="31"/>
        <v>28</v>
      </c>
      <c r="AE55" s="191" t="s">
        <v>31</v>
      </c>
      <c r="AF55" s="192">
        <f>INDEX(Outputs!$A$8:$AH$17,MATCH(AF$48,Outputs!$A$8:$A$17,0),MATCH(AE55,Outputs!$A$8:$AH$8,0))*100</f>
        <v>8.5508713126182556</v>
      </c>
      <c r="AG55" s="191">
        <v>7</v>
      </c>
      <c r="AH55" s="191" t="str">
        <f t="shared" si="32"/>
        <v>The Lines Company</v>
      </c>
      <c r="AI55" s="192">
        <f>INDEX(Outputs!$A$8:$AH$17,MATCH(AF$48,Outputs!$A$8:$A$17,0),MATCH(AH55,Outputs!$A$8:$AH$8,0))*100</f>
        <v>5.5703875422477704</v>
      </c>
      <c r="AJ55" s="4"/>
      <c r="AK55" s="191">
        <f t="shared" si="33"/>
        <v>8</v>
      </c>
      <c r="AL55" s="191" t="s">
        <v>5</v>
      </c>
      <c r="AM55" s="192">
        <f>INDEX(Outputs!$B$20:$S$45,MATCH(11,Outputs!$B$20:$B$45,0),MATCH(AL55,Outputs!$B$20:$S$20,0))*100-INDEX(Outputs!$B$20:$S$45,MATCH(12,Outputs!$B$20:$B$45,0),MATCH(AL55,Outputs!$B$20:$S$20,0))*100</f>
        <v>0.31539261341094882</v>
      </c>
      <c r="AN55" s="191">
        <v>7</v>
      </c>
      <c r="AO55" s="191" t="str">
        <f t="shared" si="34"/>
        <v>Wellington Electricity</v>
      </c>
      <c r="AP55" s="192">
        <f>INDEX(Outputs!$B$20:$S$45,MATCH(11,Outputs!$B$20:$B$45,0),MATCH(AO55,Outputs!$B$20:$S$20,0))*100-INDEX(Outputs!$B$20:$S$45,MATCH(12,Outputs!$B$20:$B$45,0),MATCH(AO55,Outputs!$B$20:$S$20,0))*100</f>
        <v>0.310533046722413</v>
      </c>
      <c r="AS55" s="191" t="s">
        <v>107</v>
      </c>
      <c r="AT55" s="100">
        <f>INDEX(Outputs!$B$20:$S$45,MATCH(12,Outputs!$B$20:$B$45,0),MATCH(AS55,Outputs!$B$20:$S$20,0))</f>
        <v>6.988703906536102E-2</v>
      </c>
      <c r="AU55" s="100">
        <f>INDEX(Outputs!$B$20:$S$45,MATCH(11,Outputs!$B$20:$B$45,0),MATCH(AS55,Outputs!$B$20:$S$20,0))</f>
        <v>6.6023460030555717E-2</v>
      </c>
      <c r="AV55" s="100">
        <f>INDEX(Outputs!$B$20:$S$45,MATCH(10,Outputs!$B$20:$B$45,0),MATCH(AS55,Outputs!$B$20:$S$20,0))</f>
        <v>6.554950177669526E-2</v>
      </c>
      <c r="AZ55" s="191" t="s">
        <v>107</v>
      </c>
      <c r="BA55" s="100">
        <f>INDEX(Outputs!$C$16:$AH$16,MATCH($AZ55,Outputs!$C$8:$AH$8,0))</f>
        <v>6.554950177669526E-2</v>
      </c>
      <c r="BB55" s="100"/>
    </row>
    <row r="56" spans="2:54" x14ac:dyDescent="0.25">
      <c r="B56" s="191">
        <f t="shared" si="35"/>
        <v>4</v>
      </c>
      <c r="C56" s="191" t="s">
        <v>108</v>
      </c>
      <c r="D56" s="192">
        <f>INDEX(Outputs!$B$20:$S$45,MATCH(10,Outputs!$B$20:$B$45,0),MATCH(C56,Outputs!$B$20:$S$20,0))*100</f>
        <v>7.8456476330757159</v>
      </c>
      <c r="E56" s="191">
        <v>8</v>
      </c>
      <c r="F56" s="191" t="str">
        <f t="shared" si="28"/>
        <v>Electricity Ashburton</v>
      </c>
      <c r="G56" s="193">
        <f>INDEX(Outputs!$B$20:$S$45,MATCH(10,Outputs!$B$20:$B$45,0),MATCH(F56,Outputs!$B$20:$S$20,0))</f>
        <v>6.860391795635222E-2</v>
      </c>
      <c r="J56" s="191" t="str">
        <f t="shared" si="36"/>
        <v>Electricity Ashburton</v>
      </c>
      <c r="K56" s="192">
        <f>(G56-Selection!$B$13)*100</f>
        <v>-1.909608204364778</v>
      </c>
      <c r="M56" s="191">
        <f t="shared" si="37"/>
        <v>13</v>
      </c>
      <c r="N56" s="191" t="s">
        <v>4</v>
      </c>
      <c r="O56" s="191" t="s">
        <v>415</v>
      </c>
      <c r="P56" s="192">
        <f>INDEX(Outputs!$A$8:$AH$17,MATCH(N$48,Outputs!$A$8:$A$17,0),MATCH(N56,Outputs!$A$8:$AH$8,0))*100</f>
        <v>6.8603917956352216</v>
      </c>
      <c r="Q56" s="191">
        <v>8</v>
      </c>
      <c r="R56" s="191" t="str">
        <f t="shared" si="29"/>
        <v>Counties Power</v>
      </c>
      <c r="S56" s="192">
        <f>IF(VLOOKUP(R56,$N$49:$O$78,2,FALSE)="DPP",INDEX(Outputs!$A$8:$AH$17,MATCH(N$48,Outputs!$A$8:$A$17,0),MATCH(R56,Outputs!$A$8:$AH$8,0))*100,0)</f>
        <v>0</v>
      </c>
      <c r="T56" s="192">
        <f>IF(VLOOKUP(R56,$N$49:$O$78,2,FALSE)="ID",INDEX(Outputs!$A$8:$AH$17,MATCH(N$48,Outputs!$A$8:$A$17,0),MATCH(R56,Outputs!$A$8:$AH$8,0))*100,0)</f>
        <v>7.5588443875312814</v>
      </c>
      <c r="U56" s="192">
        <f>IF(VLOOKUP(R56,$N$49:$O$78,2,FALSE)="CPP",INDEX(Outputs!$A$8:$AH$17,MATCH(N$48,Outputs!$A$8:$A$17,0),MATCH(R56,Outputs!$A$8:$AH$8,0))*100,0)</f>
        <v>0</v>
      </c>
      <c r="W56" s="191">
        <f t="shared" si="38"/>
        <v>1</v>
      </c>
      <c r="X56" s="191" t="s">
        <v>108</v>
      </c>
      <c r="Y56" s="192">
        <f>INDEX(Outputs!$A$8:$AH$17,MATCH(Y$48,Outputs!$A$8:$A$17,0),MATCH(X56,Outputs!$A$8:$AH$8,0))*100</f>
        <v>9.2148515582084656</v>
      </c>
      <c r="Z56" s="191">
        <v>8</v>
      </c>
      <c r="AA56" s="191" t="str">
        <f t="shared" si="30"/>
        <v>Horizon Energy</v>
      </c>
      <c r="AB56" s="192">
        <f>INDEX(Outputs!$A$8:$AH$17,MATCH(Y$48,Outputs!$A$8:$A$17,0),MATCH(AA56,Outputs!$A$8:$AH$8,0))*100</f>
        <v>7.2648599743843096</v>
      </c>
      <c r="AD56" s="191">
        <f t="shared" si="31"/>
        <v>15</v>
      </c>
      <c r="AE56" s="191" t="s">
        <v>4</v>
      </c>
      <c r="AF56" s="192">
        <f>INDEX(Outputs!$A$8:$AH$17,MATCH(AF$48,Outputs!$A$8:$A$17,0),MATCH(AE56,Outputs!$A$8:$AH$8,0))*100</f>
        <v>7.1758499741554251</v>
      </c>
      <c r="AG56" s="191">
        <v>8</v>
      </c>
      <c r="AH56" s="191" t="str">
        <f t="shared" si="32"/>
        <v>Top Energy</v>
      </c>
      <c r="AI56" s="192">
        <f>INDEX(Outputs!$A$8:$AH$17,MATCH(AF$48,Outputs!$A$8:$A$17,0),MATCH(AH56,Outputs!$A$8:$AH$8,0))*100</f>
        <v>5.7024469971656808</v>
      </c>
      <c r="AJ56" s="4"/>
      <c r="AK56" s="191">
        <f t="shared" si="33"/>
        <v>7</v>
      </c>
      <c r="AL56" s="191" t="s">
        <v>113</v>
      </c>
      <c r="AM56" s="192">
        <f>INDEX(Outputs!$B$20:$S$45,MATCH(11,Outputs!$B$20:$B$45,0),MATCH(AL56,Outputs!$B$20:$S$20,0))*100-INDEX(Outputs!$B$20:$S$45,MATCH(12,Outputs!$B$20:$B$45,0),MATCH(AL56,Outputs!$B$20:$S$20,0))*100</f>
        <v>0.310533046722413</v>
      </c>
      <c r="AN56" s="191">
        <v>8</v>
      </c>
      <c r="AO56" s="191" t="str">
        <f t="shared" si="34"/>
        <v>Electricity Invercargill</v>
      </c>
      <c r="AP56" s="192">
        <f>INDEX(Outputs!$B$20:$S$45,MATCH(11,Outputs!$B$20:$B$45,0),MATCH(AO56,Outputs!$B$20:$S$20,0))*100-INDEX(Outputs!$B$20:$S$45,MATCH(12,Outputs!$B$20:$B$45,0),MATCH(AO56,Outputs!$B$20:$S$20,0))*100</f>
        <v>0.31539261341094882</v>
      </c>
      <c r="AS56" s="191" t="s">
        <v>108</v>
      </c>
      <c r="AT56" s="100">
        <f>INDEX(Outputs!$B$20:$S$45,MATCH(12,Outputs!$B$20:$B$45,0),MATCH(AS56,Outputs!$B$20:$S$20,0))</f>
        <v>8.1676509976387049E-2</v>
      </c>
      <c r="AU56" s="100">
        <f>INDEX(Outputs!$B$20:$S$45,MATCH(11,Outputs!$B$20:$B$45,0),MATCH(AS56,Outputs!$B$20:$S$20,0))</f>
        <v>7.9772779345512398E-2</v>
      </c>
      <c r="AV56" s="100">
        <f>INDEX(Outputs!$B$20:$S$45,MATCH(10,Outputs!$B$20:$B$45,0),MATCH(AS56,Outputs!$B$20:$S$20,0))</f>
        <v>7.8456476330757155E-2</v>
      </c>
      <c r="AZ56" s="191" t="s">
        <v>108</v>
      </c>
      <c r="BA56" s="100">
        <f>INDEX(Outputs!$C$16:$AH$16,MATCH($AZ56,Outputs!$C$8:$AH$8,0))</f>
        <v>7.8456476330757155E-2</v>
      </c>
      <c r="BB56" s="100"/>
    </row>
    <row r="57" spans="2:54" x14ac:dyDescent="0.25">
      <c r="B57" s="191">
        <f t="shared" si="35"/>
        <v>1</v>
      </c>
      <c r="C57" s="191" t="s">
        <v>109</v>
      </c>
      <c r="D57" s="192">
        <f>INDEX(Outputs!$B$20:$S$45,MATCH(10,Outputs!$B$20:$B$45,0),MATCH(C57,Outputs!$B$20:$S$20,0))*100</f>
        <v>8.3713665604591405</v>
      </c>
      <c r="E57" s="191">
        <v>9</v>
      </c>
      <c r="F57" s="191" t="str">
        <f t="shared" si="28"/>
        <v>Unison Networks</v>
      </c>
      <c r="G57" s="193">
        <f>INDEX(Outputs!$B$20:$S$45,MATCH(10,Outputs!$B$20:$B$45,0),MATCH(F57,Outputs!$B$20:$S$20,0))</f>
        <v>6.7834106087684642E-2</v>
      </c>
      <c r="J57" s="191" t="str">
        <f t="shared" si="36"/>
        <v>Unison Networks</v>
      </c>
      <c r="K57" s="192">
        <f>(G57-Selection!$B$13)*100</f>
        <v>-1.9865893912315358</v>
      </c>
      <c r="M57" s="191">
        <f t="shared" si="37"/>
        <v>16</v>
      </c>
      <c r="N57" s="191" t="s">
        <v>5</v>
      </c>
      <c r="O57" s="191" t="s">
        <v>415</v>
      </c>
      <c r="P57" s="192">
        <f>INDEX(Outputs!$A$8:$AH$17,MATCH(N$48,Outputs!$A$8:$A$17,0),MATCH(N57,Outputs!$A$8:$AH$8,0))*100</f>
        <v>6.7422375082969666</v>
      </c>
      <c r="Q57" s="191">
        <v>9</v>
      </c>
      <c r="R57" s="191" t="str">
        <f t="shared" si="29"/>
        <v>OtagoNet</v>
      </c>
      <c r="S57" s="192">
        <f>IF(VLOOKUP(R57,$N$49:$O$78,2,FALSE)="DPP",INDEX(Outputs!$A$8:$AH$17,MATCH(N$48,Outputs!$A$8:$A$17,0),MATCH(R57,Outputs!$A$8:$AH$8,0))*100,0)</f>
        <v>7.4018034338951129</v>
      </c>
      <c r="T57" s="192">
        <f>IF(VLOOKUP(R57,$N$49:$O$78,2,FALSE)="ID",INDEX(Outputs!$A$8:$AH$17,MATCH(N$48,Outputs!$A$8:$A$17,0),MATCH(R57,Outputs!$A$8:$AH$8,0))*100,0)</f>
        <v>0</v>
      </c>
      <c r="U57" s="192">
        <f>IF(VLOOKUP(R57,$N$49:$O$78,2,FALSE)="CPP",INDEX(Outputs!$A$8:$AH$17,MATCH(N$48,Outputs!$A$8:$A$17,0),MATCH(R57,Outputs!$A$8:$AH$8,0))*100,0)</f>
        <v>0</v>
      </c>
      <c r="W57" s="191">
        <f t="shared" si="38"/>
        <v>2</v>
      </c>
      <c r="X57" s="191" t="s">
        <v>109</v>
      </c>
      <c r="Y57" s="192">
        <f>INDEX(Outputs!$A$8:$AH$17,MATCH(Y$48,Outputs!$A$8:$A$17,0),MATCH(X57,Outputs!$A$8:$AH$8,0))*100</f>
        <v>8.6241123080253619</v>
      </c>
      <c r="Z57" s="191">
        <v>9</v>
      </c>
      <c r="AA57" s="191" t="str">
        <f t="shared" si="30"/>
        <v>Eastland Network</v>
      </c>
      <c r="AB57" s="192">
        <f>INDEX(Outputs!$A$8:$AH$17,MATCH(Y$48,Outputs!$A$8:$A$17,0),MATCH(AA57,Outputs!$A$8:$AH$8,0))*100</f>
        <v>7.1833327412605303</v>
      </c>
      <c r="AD57" s="191">
        <f t="shared" si="31"/>
        <v>14</v>
      </c>
      <c r="AE57" s="191" t="s">
        <v>5</v>
      </c>
      <c r="AF57" s="192">
        <f>INDEX(Outputs!$A$8:$AH$17,MATCH(AF$48,Outputs!$A$8:$A$17,0),MATCH(AE57,Outputs!$A$8:$AH$8,0))*100</f>
        <v>7.106240689754487</v>
      </c>
      <c r="AG57" s="191">
        <v>9</v>
      </c>
      <c r="AH57" s="191" t="str">
        <f t="shared" si="32"/>
        <v>Alpine Energy</v>
      </c>
      <c r="AI57" s="192">
        <f>INDEX(Outputs!$A$8:$AH$17,MATCH(AF$48,Outputs!$A$8:$A$17,0),MATCH(AH57,Outputs!$A$8:$AH$8,0))*100</f>
        <v>6.4586195349693298</v>
      </c>
      <c r="AJ57" s="4"/>
      <c r="AK57" s="191">
        <f t="shared" si="33"/>
        <v>9</v>
      </c>
      <c r="AL57" s="191" t="s">
        <v>110</v>
      </c>
      <c r="AM57" s="192">
        <f>INDEX(Outputs!$B$20:$S$45,MATCH(11,Outputs!$B$20:$B$45,0),MATCH(AL57,Outputs!$B$20:$S$20,0))*100-INDEX(Outputs!$B$20:$S$45,MATCH(12,Outputs!$B$20:$B$45,0),MATCH(AL57,Outputs!$B$20:$S$20,0))*100</f>
        <v>0.46807587146759211</v>
      </c>
      <c r="AN57" s="191">
        <v>9</v>
      </c>
      <c r="AO57" s="191" t="str">
        <f t="shared" si="34"/>
        <v>OtagoNet</v>
      </c>
      <c r="AP57" s="192">
        <f>INDEX(Outputs!$B$20:$S$45,MATCH(11,Outputs!$B$20:$B$45,0),MATCH(AO57,Outputs!$B$20:$S$20,0))*100-INDEX(Outputs!$B$20:$S$45,MATCH(12,Outputs!$B$20:$B$45,0),MATCH(AO57,Outputs!$B$20:$S$20,0))*100</f>
        <v>0.46807587146759211</v>
      </c>
      <c r="AS57" s="191" t="s">
        <v>109</v>
      </c>
      <c r="AT57" s="100">
        <f>INDEX(Outputs!$B$20:$S$45,MATCH(12,Outputs!$B$20:$B$45,0),MATCH(AS57,Outputs!$B$20:$S$20,0))</f>
        <v>8.2522490620613106E-2</v>
      </c>
      <c r="AU57" s="100">
        <f>INDEX(Outputs!$B$20:$S$45,MATCH(11,Outputs!$B$20:$B$45,0),MATCH(AS57,Outputs!$B$20:$S$20,0))</f>
        <v>9.3586054444313033E-2</v>
      </c>
      <c r="AV57" s="100">
        <f>INDEX(Outputs!$B$20:$S$45,MATCH(10,Outputs!$B$20:$B$45,0),MATCH(AS57,Outputs!$B$20:$S$20,0))</f>
        <v>8.3713665604591397E-2</v>
      </c>
      <c r="AZ57" s="191" t="s">
        <v>109</v>
      </c>
      <c r="BA57" s="100">
        <f>INDEX(Outputs!$C$16:$AH$16,MATCH($AZ57,Outputs!$C$8:$AH$8,0))</f>
        <v>8.3713665604591397E-2</v>
      </c>
      <c r="BB57" s="100"/>
    </row>
    <row r="58" spans="2:54" x14ac:dyDescent="0.25">
      <c r="B58" s="191">
        <f t="shared" si="35"/>
        <v>5</v>
      </c>
      <c r="C58" s="191" t="s">
        <v>110</v>
      </c>
      <c r="D58" s="192">
        <f>INDEX(Outputs!$B$20:$S$45,MATCH(10,Outputs!$B$20:$B$45,0),MATCH(C58,Outputs!$B$20:$S$20,0))*100</f>
        <v>7.4018034338951129</v>
      </c>
      <c r="E58" s="191">
        <v>10</v>
      </c>
      <c r="F58" s="191" t="str">
        <f t="shared" si="28"/>
        <v>Electricity Invercargill</v>
      </c>
      <c r="G58" s="193">
        <f>INDEX(Outputs!$B$20:$S$45,MATCH(10,Outputs!$B$20:$B$45,0),MATCH(F58,Outputs!$B$20:$S$20,0))</f>
        <v>6.7422375082969666E-2</v>
      </c>
      <c r="J58" s="191" t="str">
        <f t="shared" si="36"/>
        <v>Electricity Invercargill</v>
      </c>
      <c r="K58" s="192">
        <f>(G58-Selection!$B$13)*100</f>
        <v>-2.0277624917030335</v>
      </c>
      <c r="M58" s="191">
        <f t="shared" si="37"/>
        <v>17</v>
      </c>
      <c r="N58" s="191" t="s">
        <v>107</v>
      </c>
      <c r="O58" s="191" t="s">
        <v>415</v>
      </c>
      <c r="P58" s="192">
        <f>INDEX(Outputs!$A$8:$AH$17,MATCH(N$48,Outputs!$A$8:$A$17,0),MATCH(N58,Outputs!$A$8:$AH$8,0))*100</f>
        <v>6.554950177669526</v>
      </c>
      <c r="Q58" s="191">
        <v>10</v>
      </c>
      <c r="R58" s="191" t="str">
        <f t="shared" si="29"/>
        <v>Orion NZ</v>
      </c>
      <c r="S58" s="192">
        <f>IF(VLOOKUP(R58,$N$49:$O$78,2,FALSE)="DPP",INDEX(Outputs!$A$8:$AH$17,MATCH(N$48,Outputs!$A$8:$A$17,0),MATCH(R58,Outputs!$A$8:$AH$8,0))*100,0)</f>
        <v>0</v>
      </c>
      <c r="T58" s="192">
        <f>IF(VLOOKUP(R58,$N$49:$O$78,2,FALSE)="ID",INDEX(Outputs!$A$8:$AH$17,MATCH(N$48,Outputs!$A$8:$A$17,0),MATCH(R58,Outputs!$A$8:$AH$8,0))*100,0)</f>
        <v>0</v>
      </c>
      <c r="U58" s="192">
        <f>IF(VLOOKUP(R58,$N$49:$O$78,2,FALSE)="CPP",INDEX(Outputs!$A$8:$AH$17,MATCH(N$48,Outputs!$A$8:$A$17,0),MATCH(R58,Outputs!$A$8:$AH$8,0))*100,0)</f>
        <v>7.1431246399879464</v>
      </c>
      <c r="W58" s="191">
        <f t="shared" si="38"/>
        <v>5</v>
      </c>
      <c r="X58" s="191" t="s">
        <v>110</v>
      </c>
      <c r="Y58" s="192">
        <f>INDEX(Outputs!$A$8:$AH$17,MATCH(Y$48,Outputs!$A$8:$A$17,0),MATCH(X58,Outputs!$A$8:$AH$8,0))*100</f>
        <v>7.9019305109977722</v>
      </c>
      <c r="Z58" s="191">
        <v>10</v>
      </c>
      <c r="AA58" s="191" t="str">
        <f t="shared" si="30"/>
        <v>Electricity Ashburton</v>
      </c>
      <c r="AB58" s="192">
        <f>INDEX(Outputs!$A$8:$AH$17,MATCH(Y$48,Outputs!$A$8:$A$17,0),MATCH(AA58,Outputs!$A$8:$AH$8,0))*100</f>
        <v>7.1758499741554251</v>
      </c>
      <c r="AD58" s="191">
        <f t="shared" si="31"/>
        <v>18</v>
      </c>
      <c r="AE58" s="191" t="s">
        <v>107</v>
      </c>
      <c r="AF58" s="192">
        <f>INDEX(Outputs!$A$8:$AH$17,MATCH(AF$48,Outputs!$A$8:$A$17,0),MATCH(AE58,Outputs!$A$8:$AH$8,0))*100</f>
        <v>7.2648599743843096</v>
      </c>
      <c r="AG58" s="191">
        <v>10</v>
      </c>
      <c r="AH58" s="191" t="str">
        <f t="shared" si="32"/>
        <v>Northpower</v>
      </c>
      <c r="AI58" s="192">
        <f>INDEX(Outputs!$A$8:$AH$17,MATCH(AF$48,Outputs!$A$8:$A$17,0),MATCH(AH58,Outputs!$A$8:$AH$8,0))*100</f>
        <v>6.4910462498664865</v>
      </c>
      <c r="AJ58" s="4"/>
      <c r="AK58" s="191">
        <f t="shared" si="33"/>
        <v>10</v>
      </c>
      <c r="AL58" s="191" t="s">
        <v>4</v>
      </c>
      <c r="AM58" s="192">
        <f>INDEX(Outputs!$B$20:$S$45,MATCH(11,Outputs!$B$20:$B$45,0),MATCH(AL58,Outputs!$B$20:$S$20,0))*100-INDEX(Outputs!$B$20:$S$45,MATCH(12,Outputs!$B$20:$B$45,0),MATCH(AL58,Outputs!$B$20:$S$20,0))*100</f>
        <v>0.52647113800048739</v>
      </c>
      <c r="AN58" s="191">
        <v>10</v>
      </c>
      <c r="AO58" s="191" t="str">
        <f t="shared" si="34"/>
        <v>Electricity Ashburton</v>
      </c>
      <c r="AP58" s="192">
        <f>INDEX(Outputs!$B$20:$S$45,MATCH(11,Outputs!$B$20:$B$45,0),MATCH(AO58,Outputs!$B$20:$S$20,0))*100-INDEX(Outputs!$B$20:$S$45,MATCH(12,Outputs!$B$20:$B$45,0),MATCH(AO58,Outputs!$B$20:$S$20,0))*100</f>
        <v>0.52647113800048739</v>
      </c>
      <c r="AS58" s="191" t="s">
        <v>110</v>
      </c>
      <c r="AT58" s="100">
        <f>INDEX(Outputs!$B$20:$S$45,MATCH(12,Outputs!$B$20:$B$45,0),MATCH(AS58,Outputs!$B$20:$S$20,0))</f>
        <v>6.9926193356513969E-2</v>
      </c>
      <c r="AU58" s="100">
        <f>INDEX(Outputs!$B$20:$S$45,MATCH(11,Outputs!$B$20:$B$45,0),MATCH(AS58,Outputs!$B$20:$S$20,0))</f>
        <v>7.4606952071189891E-2</v>
      </c>
      <c r="AV58" s="100">
        <f>INDEX(Outputs!$B$20:$S$45,MATCH(10,Outputs!$B$20:$B$45,0),MATCH(AS58,Outputs!$B$20:$S$20,0))</f>
        <v>7.4018034338951127E-2</v>
      </c>
      <c r="AZ58" s="191" t="s">
        <v>110</v>
      </c>
      <c r="BA58" s="100">
        <f>INDEX(Outputs!$C$16:$AH$16,MATCH($AZ58,Outputs!$C$8:$AH$8,0))</f>
        <v>7.4018034338951127E-2</v>
      </c>
      <c r="BB58" s="100"/>
    </row>
    <row r="59" spans="2:54" x14ac:dyDescent="0.25">
      <c r="B59" s="191">
        <f t="shared" si="35"/>
        <v>6</v>
      </c>
      <c r="C59" s="191" t="s">
        <v>111</v>
      </c>
      <c r="D59" s="192">
        <f>INDEX(Outputs!$B$20:$S$45,MATCH(10,Outputs!$B$20:$B$45,0),MATCH(C59,Outputs!$B$20:$S$20,0))*100</f>
        <v>7.1314582228660592</v>
      </c>
      <c r="E59" s="191">
        <v>11</v>
      </c>
      <c r="F59" s="191" t="str">
        <f t="shared" si="28"/>
        <v>Horizon Energy</v>
      </c>
      <c r="G59" s="193">
        <f>INDEX(Outputs!$B$20:$S$45,MATCH(10,Outputs!$B$20:$B$45,0),MATCH(F59,Outputs!$B$20:$S$20,0))</f>
        <v>6.554950177669526E-2</v>
      </c>
      <c r="J59" s="191" t="str">
        <f t="shared" si="36"/>
        <v>Horizon Energy</v>
      </c>
      <c r="K59" s="192">
        <f>(G59-Selection!$B$13)*100</f>
        <v>-2.215049822330474</v>
      </c>
      <c r="M59" s="191">
        <f t="shared" si="37"/>
        <v>7</v>
      </c>
      <c r="N59" s="191" t="s">
        <v>32</v>
      </c>
      <c r="O59" s="191" t="s">
        <v>209</v>
      </c>
      <c r="P59" s="192">
        <f>INDEX(Outputs!$A$8:$AH$17,MATCH(N$48,Outputs!$A$8:$A$17,0),MATCH(N59,Outputs!$A$8:$AH$8,0))*100</f>
        <v>7.7743104100227391</v>
      </c>
      <c r="Q59" s="191">
        <v>11</v>
      </c>
      <c r="R59" s="191" t="str">
        <f t="shared" si="29"/>
        <v>Powerco</v>
      </c>
      <c r="S59" s="192">
        <f>IF(VLOOKUP(R59,$N$49:$O$78,2,FALSE)="DPP",INDEX(Outputs!$A$8:$AH$17,MATCH(N$48,Outputs!$A$8:$A$17,0),MATCH(R59,Outputs!$A$8:$AH$8,0))*100,0)</f>
        <v>7.1314582228660592</v>
      </c>
      <c r="T59" s="192">
        <f>IF(VLOOKUP(R59,$N$49:$O$78,2,FALSE)="ID",INDEX(Outputs!$A$8:$AH$17,MATCH(N$48,Outputs!$A$8:$A$17,0),MATCH(R59,Outputs!$A$8:$AH$8,0))*100,0)</f>
        <v>0</v>
      </c>
      <c r="U59" s="192">
        <f>IF(VLOOKUP(R59,$N$49:$O$78,2,FALSE)="CPP",INDEX(Outputs!$A$8:$AH$17,MATCH(N$48,Outputs!$A$8:$A$17,0),MATCH(R59,Outputs!$A$8:$AH$8,0))*100,0)</f>
        <v>0</v>
      </c>
      <c r="W59" s="191">
        <f t="shared" si="38"/>
        <v>7</v>
      </c>
      <c r="X59" s="191" t="s">
        <v>111</v>
      </c>
      <c r="Y59" s="192">
        <f>INDEX(Outputs!$A$8:$AH$17,MATCH(Y$48,Outputs!$A$8:$A$17,0),MATCH(X59,Outputs!$A$8:$AH$8,0))*100</f>
        <v>7.4369093775749224</v>
      </c>
      <c r="Z59" s="191">
        <v>11</v>
      </c>
      <c r="AA59" s="191" t="str">
        <f t="shared" si="30"/>
        <v>Electricity Invercargill</v>
      </c>
      <c r="AB59" s="192">
        <f>INDEX(Outputs!$A$8:$AH$17,MATCH(Y$48,Outputs!$A$8:$A$17,0),MATCH(AA59,Outputs!$A$8:$AH$8,0))*100</f>
        <v>7.106240689754487</v>
      </c>
      <c r="AD59" s="191">
        <f t="shared" si="31"/>
        <v>23</v>
      </c>
      <c r="AE59" s="191" t="s">
        <v>32</v>
      </c>
      <c r="AF59" s="192">
        <f>INDEX(Outputs!$A$8:$AH$17,MATCH(AF$48,Outputs!$A$8:$A$17,0),MATCH(AE59,Outputs!$A$8:$AH$8,0))*100</f>
        <v>7.6339766383171099</v>
      </c>
      <c r="AG59" s="191">
        <v>11</v>
      </c>
      <c r="AH59" s="191" t="str">
        <f t="shared" si="32"/>
        <v>Unison Networks</v>
      </c>
      <c r="AI59" s="192">
        <f>INDEX(Outputs!$A$8:$AH$17,MATCH(AF$48,Outputs!$A$8:$A$17,0),MATCH(AH59,Outputs!$A$8:$AH$8,0))*100</f>
        <v>7.0212480425834656</v>
      </c>
      <c r="AJ59" s="4"/>
      <c r="AK59" s="191">
        <f t="shared" si="33"/>
        <v>11</v>
      </c>
      <c r="AL59" s="191" t="s">
        <v>109</v>
      </c>
      <c r="AM59" s="192">
        <f>INDEX(Outputs!$B$20:$S$45,MATCH(11,Outputs!$B$20:$B$45,0),MATCH(AL59,Outputs!$B$20:$S$20,0))*100-INDEX(Outputs!$B$20:$S$45,MATCH(12,Outputs!$B$20:$B$45,0),MATCH(AL59,Outputs!$B$20:$S$20,0))*100</f>
        <v>1.1063563823699933</v>
      </c>
      <c r="AN59" s="191">
        <v>11</v>
      </c>
      <c r="AO59" s="191" t="str">
        <f t="shared" si="34"/>
        <v>Network Tasman</v>
      </c>
      <c r="AP59" s="192">
        <f>INDEX(Outputs!$B$20:$S$45,MATCH(11,Outputs!$B$20:$B$45,0),MATCH(AO59,Outputs!$B$20:$S$20,0))*100-INDEX(Outputs!$B$20:$S$45,MATCH(12,Outputs!$B$20:$B$45,0),MATCH(AO59,Outputs!$B$20:$S$20,0))*100</f>
        <v>1.1063563823699933</v>
      </c>
      <c r="AS59" s="191" t="s">
        <v>111</v>
      </c>
      <c r="AT59" s="100">
        <f>INDEX(Outputs!$B$20:$S$45,MATCH(12,Outputs!$B$20:$B$45,0),MATCH(AS59,Outputs!$B$20:$S$20,0))</f>
        <v>7.1344235539436349E-2</v>
      </c>
      <c r="AU59" s="100">
        <f>INDEX(Outputs!$B$20:$S$45,MATCH(11,Outputs!$B$20:$B$45,0),MATCH(AS59,Outputs!$B$20:$S$20,0))</f>
        <v>7.1946290135383617E-2</v>
      </c>
      <c r="AV59" s="100">
        <f>INDEX(Outputs!$B$20:$S$45,MATCH(10,Outputs!$B$20:$B$45,0),MATCH(AS59,Outputs!$B$20:$S$20,0))</f>
        <v>7.1314582228660592E-2</v>
      </c>
      <c r="AZ59" s="191" t="s">
        <v>111</v>
      </c>
      <c r="BA59" s="100">
        <f>INDEX(Outputs!$C$16:$AH$16,MATCH($AZ59,Outputs!$C$8:$AH$8,0))</f>
        <v>7.1314582228660592E-2</v>
      </c>
      <c r="BB59" s="100"/>
    </row>
    <row r="60" spans="2:54" x14ac:dyDescent="0.25">
      <c r="B60" s="191">
        <f t="shared" si="35"/>
        <v>16</v>
      </c>
      <c r="C60" s="191" t="s">
        <v>6</v>
      </c>
      <c r="D60" s="192">
        <f>INDEX(Outputs!$B$20:$S$45,MATCH(10,Outputs!$B$20:$B$45,0),MATCH(C60,Outputs!$B$20:$S$20,0))*100</f>
        <v>5.3291299939155587</v>
      </c>
      <c r="E60" s="191">
        <v>12</v>
      </c>
      <c r="F60" s="191" t="str">
        <f t="shared" si="28"/>
        <v>Aurora Energy</v>
      </c>
      <c r="G60" s="193">
        <f>INDEX(Outputs!$B$20:$S$45,MATCH(10,Outputs!$B$20:$B$45,0),MATCH(F60,Outputs!$B$20:$S$20,0))</f>
        <v>6.5177473425865176E-2</v>
      </c>
      <c r="J60" s="191" t="str">
        <f t="shared" si="36"/>
        <v>Aurora Energy</v>
      </c>
      <c r="K60" s="192">
        <f>(G60-Selection!$B$13)*100</f>
        <v>-2.2522526574134822</v>
      </c>
      <c r="M60" s="191">
        <f t="shared" si="37"/>
        <v>29</v>
      </c>
      <c r="N60" s="191" t="s">
        <v>33</v>
      </c>
      <c r="O60" s="191" t="s">
        <v>209</v>
      </c>
      <c r="P60" s="192">
        <f>INDEX(Outputs!$A$8:$AH$17,MATCH(N$48,Outputs!$A$8:$A$17,0),MATCH(N60,Outputs!$A$8:$AH$8,0))*100</f>
        <v>2.643084824085236</v>
      </c>
      <c r="Q60" s="191">
        <v>12</v>
      </c>
      <c r="R60" s="191" t="str">
        <f t="shared" si="29"/>
        <v>Vector Lines</v>
      </c>
      <c r="S60" s="192">
        <f>IF(VLOOKUP(R60,$N$49:$O$78,2,FALSE)="DPP",INDEX(Outputs!$A$8:$AH$17,MATCH(N$48,Outputs!$A$8:$A$17,0),MATCH(R60,Outputs!$A$8:$AH$8,0))*100,0)</f>
        <v>7.0359322428703308</v>
      </c>
      <c r="T60" s="192">
        <f>IF(VLOOKUP(R60,$N$49:$O$78,2,FALSE)="ID",INDEX(Outputs!$A$8:$AH$17,MATCH(N$48,Outputs!$A$8:$A$17,0),MATCH(R60,Outputs!$A$8:$AH$8,0))*100,0)</f>
        <v>0</v>
      </c>
      <c r="U60" s="192">
        <f>IF(VLOOKUP(R60,$N$49:$O$78,2,FALSE)="CPP",INDEX(Outputs!$A$8:$AH$17,MATCH(N$48,Outputs!$A$8:$A$17,0),MATCH(R60,Outputs!$A$8:$AH$8,0))*100,0)</f>
        <v>0</v>
      </c>
      <c r="W60" s="191">
        <f t="shared" si="38"/>
        <v>16</v>
      </c>
      <c r="X60" s="191" t="s">
        <v>6</v>
      </c>
      <c r="Y60" s="192">
        <f>INDEX(Outputs!$A$8:$AH$17,MATCH(Y$48,Outputs!$A$8:$A$17,0),MATCH(X60,Outputs!$A$8:$AH$8,0))*100</f>
        <v>5.5703875422477704</v>
      </c>
      <c r="Z60" s="191">
        <v>12</v>
      </c>
      <c r="AA60" s="191" t="str">
        <f t="shared" si="30"/>
        <v>Aurora Energy</v>
      </c>
      <c r="AB60" s="192">
        <f>INDEX(Outputs!$A$8:$AH$17,MATCH(Y$48,Outputs!$A$8:$A$17,0),MATCH(AA60,Outputs!$A$8:$AH$8,0))*100</f>
        <v>7.089196741580964</v>
      </c>
      <c r="AD60" s="191">
        <f t="shared" si="31"/>
        <v>1</v>
      </c>
      <c r="AE60" s="191" t="s">
        <v>33</v>
      </c>
      <c r="AF60" s="192">
        <f>INDEX(Outputs!$A$8:$AH$17,MATCH(AF$48,Outputs!$A$8:$A$17,0),MATCH(AE60,Outputs!$A$8:$AH$8,0))*100</f>
        <v>2.579644620418549</v>
      </c>
      <c r="AG60" s="191">
        <v>12</v>
      </c>
      <c r="AH60" s="191" t="str">
        <f t="shared" si="32"/>
        <v>WEL Networks</v>
      </c>
      <c r="AI60" s="192">
        <f>INDEX(Outputs!$A$8:$AH$17,MATCH(AF$48,Outputs!$A$8:$A$17,0),MATCH(AH60,Outputs!$A$8:$AH$8,0))*100</f>
        <v>7.0564666390418997</v>
      </c>
      <c r="AJ60" s="4"/>
      <c r="AK60" s="191">
        <f t="shared" si="33"/>
        <v>13</v>
      </c>
      <c r="AL60" s="191" t="s">
        <v>6</v>
      </c>
      <c r="AM60" s="192">
        <f>INDEX(Outputs!$B$20:$S$45,MATCH(11,Outputs!$B$20:$B$45,0),MATCH(AL60,Outputs!$B$20:$S$20,0))*100-INDEX(Outputs!$B$20:$S$45,MATCH(12,Outputs!$B$20:$B$45,0),MATCH(AL60,Outputs!$B$20:$S$20,0))*100</f>
        <v>1.3645350933074987</v>
      </c>
      <c r="AN60" s="191">
        <v>12</v>
      </c>
      <c r="AO60" s="191" t="str">
        <f t="shared" si="34"/>
        <v>Unison Networks</v>
      </c>
      <c r="AP60" s="192">
        <f>INDEX(Outputs!$B$20:$S$45,MATCH(11,Outputs!$B$20:$B$45,0),MATCH(AO60,Outputs!$B$20:$S$20,0))*100-INDEX(Outputs!$B$20:$S$45,MATCH(12,Outputs!$B$20:$B$45,0),MATCH(AO60,Outputs!$B$20:$S$20,0))*100</f>
        <v>1.3552409410476676</v>
      </c>
      <c r="AS60" s="191" t="s">
        <v>6</v>
      </c>
      <c r="AT60" s="100">
        <f>INDEX(Outputs!$B$20:$S$45,MATCH(12,Outputs!$B$20:$B$45,0),MATCH(AS60,Outputs!$B$20:$S$20,0))</f>
        <v>5.6570872664451585E-2</v>
      </c>
      <c r="AU60" s="100">
        <f>INDEX(Outputs!$B$20:$S$45,MATCH(11,Outputs!$B$20:$B$45,0),MATCH(AS60,Outputs!$B$20:$S$20,0))</f>
        <v>7.0216223597526564E-2</v>
      </c>
      <c r="AV60" s="100">
        <f>INDEX(Outputs!$B$20:$S$45,MATCH(10,Outputs!$B$20:$B$45,0),MATCH(AS60,Outputs!$B$20:$S$20,0))</f>
        <v>5.3291299939155587E-2</v>
      </c>
      <c r="AZ60" s="191" t="s">
        <v>6</v>
      </c>
      <c r="BA60" s="100">
        <f>INDEX(Outputs!$C$16:$AH$16,MATCH($AZ60,Outputs!$C$8:$AH$8,0))</f>
        <v>5.3291299939155587E-2</v>
      </c>
      <c r="BB60" s="100"/>
    </row>
    <row r="61" spans="2:54" x14ac:dyDescent="0.25">
      <c r="B61" s="191">
        <f t="shared" si="35"/>
        <v>14</v>
      </c>
      <c r="C61" s="191" t="s">
        <v>112</v>
      </c>
      <c r="D61" s="192">
        <f>INDEX(Outputs!$B$20:$S$45,MATCH(10,Outputs!$B$20:$B$45,0),MATCH(C61,Outputs!$B$20:$S$20,0))*100</f>
        <v>5.8486852049827576</v>
      </c>
      <c r="E61" s="191">
        <v>13</v>
      </c>
      <c r="F61" s="191" t="str">
        <f t="shared" si="28"/>
        <v>Eastland Network</v>
      </c>
      <c r="G61" s="193">
        <f>INDEX(Outputs!$B$20:$S$45,MATCH(10,Outputs!$B$20:$B$45,0),MATCH(F61,Outputs!$B$20:$S$20,0))</f>
        <v>6.1593458056449904E-2</v>
      </c>
      <c r="J61" s="191" t="str">
        <f t="shared" si="36"/>
        <v>Eastland Network</v>
      </c>
      <c r="K61" s="192">
        <f>(G61-Selection!$B$13)*100</f>
        <v>-2.6106541943550097</v>
      </c>
      <c r="M61" s="191">
        <f t="shared" si="37"/>
        <v>6</v>
      </c>
      <c r="N61" s="191" t="s">
        <v>108</v>
      </c>
      <c r="O61" s="191" t="s">
        <v>415</v>
      </c>
      <c r="P61" s="192">
        <f>INDEX(Outputs!$A$8:$AH$17,MATCH(N$48,Outputs!$A$8:$A$17,0),MATCH(N61,Outputs!$A$8:$AH$8,0))*100</f>
        <v>7.8456476330757159</v>
      </c>
      <c r="Q61" s="191">
        <v>13</v>
      </c>
      <c r="R61" s="191" t="str">
        <f t="shared" si="29"/>
        <v>Electricity Ashburton</v>
      </c>
      <c r="S61" s="192">
        <f>IF(VLOOKUP(R61,$N$49:$O$78,2,FALSE)="DPP",INDEX(Outputs!$A$8:$AH$17,MATCH(N$48,Outputs!$A$8:$A$17,0),MATCH(R61,Outputs!$A$8:$AH$8,0))*100,0)</f>
        <v>6.8603917956352216</v>
      </c>
      <c r="T61" s="192">
        <f>IF(VLOOKUP(R61,$N$49:$O$78,2,FALSE)="ID",INDEX(Outputs!$A$8:$AH$17,MATCH(N$48,Outputs!$A$8:$A$17,0),MATCH(R61,Outputs!$A$8:$AH$8,0))*100,0)</f>
        <v>0</v>
      </c>
      <c r="U61" s="192">
        <f>IF(VLOOKUP(R61,$N$49:$O$78,2,FALSE)="CPP",INDEX(Outputs!$A$8:$AH$17,MATCH(N$48,Outputs!$A$8:$A$17,0),MATCH(R61,Outputs!$A$8:$AH$8,0))*100,0)</f>
        <v>0</v>
      </c>
      <c r="W61" s="191">
        <f t="shared" si="38"/>
        <v>15</v>
      </c>
      <c r="X61" s="191" t="s">
        <v>112</v>
      </c>
      <c r="Y61" s="192">
        <f>INDEX(Outputs!$A$8:$AH$17,MATCH(Y$48,Outputs!$A$8:$A$17,0),MATCH(X61,Outputs!$A$8:$AH$8,0))*100</f>
        <v>5.7024469971656808</v>
      </c>
      <c r="Z61" s="191">
        <v>13</v>
      </c>
      <c r="AA61" s="191" t="str">
        <f t="shared" si="30"/>
        <v>Unison Networks</v>
      </c>
      <c r="AB61" s="192">
        <f>INDEX(Outputs!$A$8:$AH$17,MATCH(Y$48,Outputs!$A$8:$A$17,0),MATCH(AA61,Outputs!$A$8:$AH$8,0))*100</f>
        <v>7.0212480425834656</v>
      </c>
      <c r="AD61" s="191">
        <f t="shared" si="31"/>
        <v>30</v>
      </c>
      <c r="AE61" s="191" t="s">
        <v>108</v>
      </c>
      <c r="AF61" s="192">
        <f>INDEX(Outputs!$A$8:$AH$17,MATCH(AF$48,Outputs!$A$8:$A$17,0),MATCH(AE61,Outputs!$A$8:$AH$8,0))*100</f>
        <v>9.2148515582084656</v>
      </c>
      <c r="AG61" s="191">
        <v>13</v>
      </c>
      <c r="AH61" s="191" t="str">
        <f t="shared" si="32"/>
        <v>Aurora Energy</v>
      </c>
      <c r="AI61" s="192">
        <f>INDEX(Outputs!$A$8:$AH$17,MATCH(AF$48,Outputs!$A$8:$A$17,0),MATCH(AH61,Outputs!$A$8:$AH$8,0))*100</f>
        <v>7.089196741580964</v>
      </c>
      <c r="AJ61" s="4"/>
      <c r="AK61" s="191">
        <f t="shared" si="33"/>
        <v>12</v>
      </c>
      <c r="AL61" s="191" t="s">
        <v>473</v>
      </c>
      <c r="AM61" s="192">
        <f>INDEX(Outputs!$B$20:$S$45,MATCH(11,Outputs!$B$20:$B$45,0),MATCH(AL61,Outputs!$B$20:$S$20,0))*100-INDEX(Outputs!$B$20:$S$45,MATCH(12,Outputs!$B$20:$B$45,0),MATCH(AL61,Outputs!$B$20:$S$20,0))*100</f>
        <v>1.3552409410476676</v>
      </c>
      <c r="AN61" s="191">
        <v>13</v>
      </c>
      <c r="AO61" s="191" t="str">
        <f t="shared" si="34"/>
        <v>The Lines Company</v>
      </c>
      <c r="AP61" s="192">
        <f>INDEX(Outputs!$B$20:$S$45,MATCH(11,Outputs!$B$20:$B$45,0),MATCH(AO61,Outputs!$B$20:$S$20,0))*100-INDEX(Outputs!$B$20:$S$45,MATCH(12,Outputs!$B$20:$B$45,0),MATCH(AO61,Outputs!$B$20:$S$20,0))*100</f>
        <v>1.3645350933074987</v>
      </c>
      <c r="AS61" s="191" t="s">
        <v>112</v>
      </c>
      <c r="AT61" s="100">
        <f>INDEX(Outputs!$B$20:$S$45,MATCH(12,Outputs!$B$20:$B$45,0),MATCH(AS61,Outputs!$B$20:$S$20,0))</f>
        <v>4.4840607047080996E-2</v>
      </c>
      <c r="AU61" s="100">
        <f>INDEX(Outputs!$B$20:$S$45,MATCH(11,Outputs!$B$20:$B$45,0),MATCH(AS61,Outputs!$B$20:$S$20,0))</f>
        <v>6.808634698390964E-2</v>
      </c>
      <c r="AV61" s="100">
        <f>INDEX(Outputs!$B$20:$S$45,MATCH(10,Outputs!$B$20:$B$45,0),MATCH(AS61,Outputs!$B$20:$S$20,0))</f>
        <v>5.8486852049827578E-2</v>
      </c>
      <c r="AZ61" s="191" t="s">
        <v>112</v>
      </c>
      <c r="BA61" s="100">
        <f>INDEX(Outputs!$C$16:$AH$16,MATCH($AZ61,Outputs!$C$8:$AH$8,0))</f>
        <v>5.8486852049827578E-2</v>
      </c>
      <c r="BB61" s="100"/>
    </row>
    <row r="62" spans="2:54" x14ac:dyDescent="0.25">
      <c r="B62" s="191">
        <f t="shared" si="35"/>
        <v>9</v>
      </c>
      <c r="C62" s="191" t="s">
        <v>473</v>
      </c>
      <c r="D62" s="192">
        <f>INDEX(Outputs!$B$20:$S$45,MATCH(10,Outputs!$B$20:$B$45,0),MATCH(C62,Outputs!$B$20:$S$20,0))*100</f>
        <v>6.783410608768464</v>
      </c>
      <c r="E62" s="191">
        <v>14</v>
      </c>
      <c r="F62" s="191" t="str">
        <f t="shared" si="28"/>
        <v>Top Energy</v>
      </c>
      <c r="G62" s="193">
        <f>INDEX(Outputs!$B$20:$S$45,MATCH(10,Outputs!$B$20:$B$45,0),MATCH(F62,Outputs!$B$20:$S$20,0))</f>
        <v>5.8486852049827578E-2</v>
      </c>
      <c r="J62" s="191" t="str">
        <f t="shared" si="36"/>
        <v>Top Energy</v>
      </c>
      <c r="K62" s="192">
        <f>(G62-Selection!$B$13)*100</f>
        <v>-2.921314795017242</v>
      </c>
      <c r="M62" s="191">
        <f t="shared" si="37"/>
        <v>3</v>
      </c>
      <c r="N62" s="191" t="s">
        <v>109</v>
      </c>
      <c r="O62" s="191" t="s">
        <v>415</v>
      </c>
      <c r="P62" s="192">
        <f>INDEX(Outputs!$A$8:$AH$17,MATCH(N$48,Outputs!$A$8:$A$17,0),MATCH(N62,Outputs!$A$8:$AH$8,0))*100</f>
        <v>8.3713665604591405</v>
      </c>
      <c r="Q62" s="191">
        <v>14</v>
      </c>
      <c r="R62" s="191" t="str">
        <f t="shared" si="29"/>
        <v>Waipa Networks</v>
      </c>
      <c r="S62" s="192">
        <f>IF(VLOOKUP(R62,$N$49:$O$78,2,FALSE)="DPP",INDEX(Outputs!$A$8:$AH$17,MATCH(N$48,Outputs!$A$8:$A$17,0),MATCH(R62,Outputs!$A$8:$AH$8,0))*100,0)</f>
        <v>0</v>
      </c>
      <c r="T62" s="192">
        <f>IF(VLOOKUP(R62,$N$49:$O$78,2,FALSE)="ID",INDEX(Outputs!$A$8:$AH$17,MATCH(N$48,Outputs!$A$8:$A$17,0),MATCH(R62,Outputs!$A$8:$AH$8,0))*100,0)</f>
        <v>6.8549028038978568</v>
      </c>
      <c r="U62" s="192">
        <f>IF(VLOOKUP(R62,$N$49:$O$78,2,FALSE)="CPP",INDEX(Outputs!$A$8:$AH$17,MATCH(N$48,Outputs!$A$8:$A$17,0),MATCH(R62,Outputs!$A$8:$AH$8,0))*100,0)</f>
        <v>0</v>
      </c>
      <c r="W62" s="191">
        <f t="shared" si="38"/>
        <v>13</v>
      </c>
      <c r="X62" s="191" t="s">
        <v>473</v>
      </c>
      <c r="Y62" s="192">
        <f>INDEX(Outputs!$A$8:$AH$17,MATCH(Y$48,Outputs!$A$8:$A$17,0),MATCH(X62,Outputs!$A$8:$AH$8,0))*100</f>
        <v>7.0212480425834656</v>
      </c>
      <c r="Z62" s="191">
        <v>14</v>
      </c>
      <c r="AA62" s="191" t="str">
        <f t="shared" si="30"/>
        <v>Alpine Energy</v>
      </c>
      <c r="AB62" s="192">
        <f>INDEX(Outputs!$A$8:$AH$17,MATCH(Y$48,Outputs!$A$8:$A$17,0),MATCH(AA62,Outputs!$A$8:$AH$8,0))*100</f>
        <v>6.4586195349693298</v>
      </c>
      <c r="AD62" s="191">
        <f t="shared" si="31"/>
        <v>29</v>
      </c>
      <c r="AE62" s="191" t="s">
        <v>109</v>
      </c>
      <c r="AF62" s="192">
        <f>INDEX(Outputs!$A$8:$AH$17,MATCH(AF$48,Outputs!$A$8:$A$17,0),MATCH(AE62,Outputs!$A$8:$AH$8,0))*100</f>
        <v>8.6241123080253619</v>
      </c>
      <c r="AG62" s="191">
        <v>14</v>
      </c>
      <c r="AH62" s="191" t="str">
        <f t="shared" si="32"/>
        <v>Electricity Invercargill</v>
      </c>
      <c r="AI62" s="192">
        <f>INDEX(Outputs!$A$8:$AH$17,MATCH(AF$48,Outputs!$A$8:$A$17,0),MATCH(AH62,Outputs!$A$8:$AH$8,0))*100</f>
        <v>7.106240689754487</v>
      </c>
      <c r="AJ62" s="4"/>
      <c r="AK62" s="191">
        <f t="shared" si="33"/>
        <v>14</v>
      </c>
      <c r="AL62" s="191" t="s">
        <v>112</v>
      </c>
      <c r="AM62" s="192">
        <f>INDEX(Outputs!$B$20:$S$45,MATCH(11,Outputs!$B$20:$B$45,0),MATCH(AL62,Outputs!$B$20:$S$20,0))*100-INDEX(Outputs!$B$20:$S$45,MATCH(12,Outputs!$B$20:$B$45,0),MATCH(AL62,Outputs!$B$20:$S$20,0))*100</f>
        <v>2.3245739936828649</v>
      </c>
      <c r="AN62" s="191">
        <v>14</v>
      </c>
      <c r="AO62" s="191" t="str">
        <f t="shared" si="34"/>
        <v>Top Energy</v>
      </c>
      <c r="AP62" s="192">
        <f>INDEX(Outputs!$B$20:$S$45,MATCH(11,Outputs!$B$20:$B$45,0),MATCH(AO62,Outputs!$B$20:$S$20,0))*100-INDEX(Outputs!$B$20:$S$45,MATCH(12,Outputs!$B$20:$B$45,0),MATCH(AO62,Outputs!$B$20:$S$20,0))*100</f>
        <v>2.3245739936828649</v>
      </c>
      <c r="AS62" s="191" t="s">
        <v>473</v>
      </c>
      <c r="AT62" s="100">
        <f>INDEX(Outputs!$B$20:$S$45,MATCH(12,Outputs!$B$20:$B$45,0),MATCH(AS62,Outputs!$B$20:$S$20,0))</f>
        <v>5.4403653740882879E-2</v>
      </c>
      <c r="AU62" s="100">
        <f>INDEX(Outputs!$B$20:$S$45,MATCH(11,Outputs!$B$20:$B$45,0),MATCH(AS62,Outputs!$B$20:$S$20,0))</f>
        <v>6.7956063151359561E-2</v>
      </c>
      <c r="AV62" s="100">
        <f>INDEX(Outputs!$B$20:$S$45,MATCH(10,Outputs!$B$20:$B$45,0),MATCH(AS62,Outputs!$B$20:$S$20,0))</f>
        <v>6.7834106087684642E-2</v>
      </c>
      <c r="AZ62" s="191" t="s">
        <v>473</v>
      </c>
      <c r="BA62" s="100">
        <f>INDEX(Outputs!$C$16:$AH$16,MATCH($AZ62,Outputs!$C$8:$AH$8,0))</f>
        <v>6.7834106087684642E-2</v>
      </c>
      <c r="BB62" s="100"/>
    </row>
    <row r="63" spans="2:54" x14ac:dyDescent="0.25">
      <c r="B63" s="191">
        <f t="shared" si="35"/>
        <v>7</v>
      </c>
      <c r="C63" s="191" t="s">
        <v>472</v>
      </c>
      <c r="D63" s="192">
        <f>INDEX(Outputs!$B$20:$S$45,MATCH(10,Outputs!$B$20:$B$45,0),MATCH(C63,Outputs!$B$20:$S$20,0))*100</f>
        <v>7.0359322428703308</v>
      </c>
      <c r="E63" s="191">
        <v>15</v>
      </c>
      <c r="F63" s="191" t="str">
        <f t="shared" si="28"/>
        <v>Centralines</v>
      </c>
      <c r="G63" s="193">
        <f>INDEX(Outputs!$B$20:$S$45,MATCH(10,Outputs!$B$20:$B$45,0),MATCH(F63,Outputs!$B$20:$S$20,0))</f>
        <v>5.503489673137664E-2</v>
      </c>
      <c r="J63" s="191" t="str">
        <f t="shared" si="36"/>
        <v>Centralines</v>
      </c>
      <c r="K63" s="192">
        <f>(G63-Selection!$B$13)*100</f>
        <v>-3.2665103268623361</v>
      </c>
      <c r="M63" s="191">
        <f t="shared" si="37"/>
        <v>27</v>
      </c>
      <c r="N63" s="191" t="s">
        <v>34</v>
      </c>
      <c r="O63" s="191" t="s">
        <v>209</v>
      </c>
      <c r="P63" s="192">
        <f>INDEX(Outputs!$A$8:$AH$17,MATCH(N$48,Outputs!$A$8:$A$17,0),MATCH(N63,Outputs!$A$8:$AH$8,0))*100</f>
        <v>3.9169111847877525</v>
      </c>
      <c r="Q63" s="191">
        <v>15</v>
      </c>
      <c r="R63" s="191" t="str">
        <f t="shared" si="29"/>
        <v>Unison Networks</v>
      </c>
      <c r="S63" s="192">
        <f>IF(VLOOKUP(R63,$N$49:$O$78,2,FALSE)="DPP",INDEX(Outputs!$A$8:$AH$17,MATCH(N$48,Outputs!$A$8:$A$17,0),MATCH(R63,Outputs!$A$8:$AH$8,0))*100,0)</f>
        <v>6.783410608768464</v>
      </c>
      <c r="T63" s="192">
        <f>IF(VLOOKUP(R63,$N$49:$O$78,2,FALSE)="ID",INDEX(Outputs!$A$8:$AH$17,MATCH(N$48,Outputs!$A$8:$A$17,0),MATCH(R63,Outputs!$A$8:$AH$8,0))*100,0)</f>
        <v>0</v>
      </c>
      <c r="U63" s="192">
        <f>IF(VLOOKUP(R63,$N$49:$O$78,2,FALSE)="CPP",INDEX(Outputs!$A$8:$AH$17,MATCH(N$48,Outputs!$A$8:$A$17,0),MATCH(R63,Outputs!$A$8:$AH$8,0))*100,0)</f>
        <v>0</v>
      </c>
      <c r="W63" s="191">
        <f t="shared" si="38"/>
        <v>4</v>
      </c>
      <c r="X63" s="191" t="s">
        <v>472</v>
      </c>
      <c r="Y63" s="192">
        <f>INDEX(Outputs!$A$8:$AH$17,MATCH(Y$48,Outputs!$A$8:$A$17,0),MATCH(X63,Outputs!$A$8:$AH$8,0))*100</f>
        <v>7.9988887906074568</v>
      </c>
      <c r="Z63" s="191">
        <v>15</v>
      </c>
      <c r="AA63" s="191" t="str">
        <f t="shared" si="30"/>
        <v>Top Energy</v>
      </c>
      <c r="AB63" s="192">
        <f>INDEX(Outputs!$A$8:$AH$17,MATCH(Y$48,Outputs!$A$8:$A$17,0),MATCH(AA63,Outputs!$A$8:$AH$8,0))*100</f>
        <v>5.7024469971656808</v>
      </c>
      <c r="AD63" s="191">
        <f t="shared" si="31"/>
        <v>3</v>
      </c>
      <c r="AE63" s="191" t="s">
        <v>34</v>
      </c>
      <c r="AF63" s="192">
        <f>INDEX(Outputs!$A$8:$AH$17,MATCH(AF$48,Outputs!$A$8:$A$17,0),MATCH(AE63,Outputs!$A$8:$AH$8,0))*100</f>
        <v>4.3345740437507638</v>
      </c>
      <c r="AG63" s="191">
        <v>15</v>
      </c>
      <c r="AH63" s="191" t="str">
        <f t="shared" si="32"/>
        <v>Electricity Ashburton</v>
      </c>
      <c r="AI63" s="192">
        <f>INDEX(Outputs!$A$8:$AH$17,MATCH(AF$48,Outputs!$A$8:$A$17,0),MATCH(AH63,Outputs!$A$8:$AH$8,0))*100</f>
        <v>7.1758499741554251</v>
      </c>
      <c r="AJ63" s="4"/>
      <c r="AK63" s="191">
        <f t="shared" si="33"/>
        <v>15</v>
      </c>
      <c r="AL63" s="191" t="s">
        <v>106</v>
      </c>
      <c r="AM63" s="192">
        <f>INDEX(Outputs!$B$20:$S$45,MATCH(11,Outputs!$B$20:$B$45,0),MATCH(AL63,Outputs!$B$20:$S$20,0))*100-INDEX(Outputs!$B$20:$S$45,MATCH(12,Outputs!$B$20:$B$45,0),MATCH(AL63,Outputs!$B$20:$S$20,0))*100</f>
        <v>2.3801636695861812</v>
      </c>
      <c r="AN63" s="191">
        <v>15</v>
      </c>
      <c r="AO63" s="191" t="str">
        <f t="shared" si="34"/>
        <v>Centralines</v>
      </c>
      <c r="AP63" s="192">
        <f>INDEX(Outputs!$B$20:$S$45,MATCH(11,Outputs!$B$20:$B$45,0),MATCH(AO63,Outputs!$B$20:$S$20,0))*100-INDEX(Outputs!$B$20:$S$45,MATCH(12,Outputs!$B$20:$B$45,0),MATCH(AO63,Outputs!$B$20:$S$20,0))*100</f>
        <v>2.3801636695861812</v>
      </c>
      <c r="AS63" s="191" t="s">
        <v>472</v>
      </c>
      <c r="AT63" s="100">
        <f>INDEX(Outputs!$B$20:$S$45,MATCH(12,Outputs!$B$20:$B$45,0),MATCH(AS63,Outputs!$B$20:$S$20,0))</f>
        <v>8.0402240157127394E-2</v>
      </c>
      <c r="AU63" s="100">
        <f>INDEX(Outputs!$B$20:$S$45,MATCH(11,Outputs!$B$20:$B$45,0),MATCH(AS63,Outputs!$B$20:$S$20,0))</f>
        <v>7.0398262143135062E-2</v>
      </c>
      <c r="AV63" s="100">
        <f>INDEX(Outputs!$B$20:$S$45,MATCH(10,Outputs!$B$20:$B$45,0),MATCH(AS63,Outputs!$B$20:$S$20,0))</f>
        <v>7.0359322428703311E-2</v>
      </c>
      <c r="AZ63" s="191" t="s">
        <v>472</v>
      </c>
      <c r="BA63" s="100">
        <f>INDEX(Outputs!$C$16:$AH$16,MATCH($AZ63,Outputs!$C$8:$AH$8,0))</f>
        <v>7.0359322428703311E-2</v>
      </c>
      <c r="BB63" s="100"/>
    </row>
    <row r="64" spans="2:54" x14ac:dyDescent="0.25">
      <c r="B64" s="191">
        <f t="shared" si="35"/>
        <v>3</v>
      </c>
      <c r="C64" s="191" t="s">
        <v>113</v>
      </c>
      <c r="D64" s="192">
        <f>INDEX(Outputs!$B$20:$S$45,MATCH(10,Outputs!$B$20:$B$45,0),MATCH(C64,Outputs!$B$20:$S$20,0))*100</f>
        <v>8.0735775828361511</v>
      </c>
      <c r="E64" s="191">
        <v>16</v>
      </c>
      <c r="F64" s="191" t="str">
        <f>VLOOKUP(E64,B$49:C$64,2,FALSE)</f>
        <v>The Lines Company</v>
      </c>
      <c r="G64" s="193">
        <f>INDEX(Outputs!$B$20:$S$45,MATCH(10,Outputs!$B$20:$B$45,0),MATCH(F64,Outputs!$B$20:$S$20,0))</f>
        <v>5.3291299939155587E-2</v>
      </c>
      <c r="J64" s="191" t="str">
        <f t="shared" si="36"/>
        <v>The Lines Company</v>
      </c>
      <c r="K64" s="192">
        <f>(G64-Selection!$B$13)*100</f>
        <v>-3.4408700060844413</v>
      </c>
      <c r="M64" s="191">
        <f t="shared" si="37"/>
        <v>20</v>
      </c>
      <c r="N64" s="191" t="s">
        <v>35</v>
      </c>
      <c r="O64" s="191" t="s">
        <v>209</v>
      </c>
      <c r="P64" s="192">
        <f>INDEX(Outputs!$A$8:$AH$17,MATCH(N$48,Outputs!$A$8:$A$17,0),MATCH(N64,Outputs!$A$8:$AH$8,0))*100</f>
        <v>6.1612531542778033</v>
      </c>
      <c r="Q64" s="191">
        <v>16</v>
      </c>
      <c r="R64" s="191" t="str">
        <f t="shared" si="29"/>
        <v>Electricity Invercargill</v>
      </c>
      <c r="S64" s="192">
        <f>IF(VLOOKUP(R64,$N$49:$O$78,2,FALSE)="DPP",INDEX(Outputs!$A$8:$AH$17,MATCH(N$48,Outputs!$A$8:$A$17,0),MATCH(R64,Outputs!$A$8:$AH$8,0))*100,0)</f>
        <v>6.7422375082969666</v>
      </c>
      <c r="T64" s="192">
        <f>IF(VLOOKUP(R64,$N$49:$O$78,2,FALSE)="ID",INDEX(Outputs!$A$8:$AH$17,MATCH(N$48,Outputs!$A$8:$A$17,0),MATCH(R64,Outputs!$A$8:$AH$8,0))*100,0)</f>
        <v>0</v>
      </c>
      <c r="U64" s="192">
        <f>IF(VLOOKUP(R64,$N$49:$O$78,2,FALSE)="CPP",INDEX(Outputs!$A$8:$AH$17,MATCH(N$48,Outputs!$A$8:$A$17,0),MATCH(R64,Outputs!$A$8:$AH$8,0))*100,0)</f>
        <v>0</v>
      </c>
      <c r="W64" s="191">
        <f t="shared" si="38"/>
        <v>3</v>
      </c>
      <c r="X64" s="191" t="s">
        <v>113</v>
      </c>
      <c r="Y64" s="192">
        <f>INDEX(Outputs!$A$8:$AH$17,MATCH(Y$48,Outputs!$A$8:$A$17,0),MATCH(X64,Outputs!$A$8:$AH$8,0))*100</f>
        <v>8.2492747902870178</v>
      </c>
      <c r="Z64" s="191">
        <v>16</v>
      </c>
      <c r="AA64" s="191" t="str">
        <f t="shared" si="30"/>
        <v>The Lines Company</v>
      </c>
      <c r="AB64" s="192">
        <f>INDEX(Outputs!$A$8:$AH$17,MATCH(Y$48,Outputs!$A$8:$A$17,0),MATCH(AA64,Outputs!$A$8:$AH$8,0))*100</f>
        <v>5.5703875422477704</v>
      </c>
      <c r="AD64" s="191">
        <f t="shared" si="31"/>
        <v>10</v>
      </c>
      <c r="AE64" s="191" t="s">
        <v>35</v>
      </c>
      <c r="AF64" s="192">
        <f>INDEX(Outputs!$A$8:$AH$17,MATCH(AF$48,Outputs!$A$8:$A$17,0),MATCH(AE64,Outputs!$A$8:$AH$8,0))*100</f>
        <v>6.4910462498664865</v>
      </c>
      <c r="AG64" s="191">
        <v>16</v>
      </c>
      <c r="AH64" s="191" t="str">
        <f t="shared" si="32"/>
        <v>Eastland Network</v>
      </c>
      <c r="AI64" s="192">
        <f>INDEX(Outputs!$A$8:$AH$17,MATCH(AF$48,Outputs!$A$8:$A$17,0),MATCH(AH64,Outputs!$A$8:$AH$8,0))*100</f>
        <v>7.1833327412605303</v>
      </c>
      <c r="AJ64" s="4"/>
      <c r="AK64" s="191">
        <f t="shared" si="33"/>
        <v>16</v>
      </c>
      <c r="AL64" s="191" t="s">
        <v>105</v>
      </c>
      <c r="AM64" s="192">
        <f>INDEX(Outputs!$B$20:$S$45,MATCH(11,Outputs!$B$20:$B$45,0),MATCH(AL64,Outputs!$B$20:$S$20,0))*100-INDEX(Outputs!$B$20:$S$45,MATCH(12,Outputs!$B$20:$B$45,0),MATCH(AL64,Outputs!$B$20:$S$20,0))*100</f>
        <v>4.9063098430633536</v>
      </c>
      <c r="AN64" s="191">
        <v>16</v>
      </c>
      <c r="AO64" s="191" t="str">
        <f t="shared" si="34"/>
        <v>Alpine Energy</v>
      </c>
      <c r="AP64" s="192">
        <f>INDEX(Outputs!$B$20:$S$45,MATCH(11,Outputs!$B$20:$B$45,0),MATCH(AO64,Outputs!$B$20:$S$20,0))*100-INDEX(Outputs!$B$20:$S$45,MATCH(12,Outputs!$B$20:$B$45,0),MATCH(AO64,Outputs!$B$20:$S$20,0))*100</f>
        <v>4.9063098430633536</v>
      </c>
      <c r="AS64" s="191" t="s">
        <v>113</v>
      </c>
      <c r="AT64" s="100">
        <f>INDEX(Outputs!$B$20:$S$45,MATCH(12,Outputs!$B$20:$B$45,0),MATCH(AS64,Outputs!$B$20:$S$20,0))</f>
        <v>7.7913531661033639E-2</v>
      </c>
      <c r="AU64" s="100">
        <f>INDEX(Outputs!$B$20:$S$45,MATCH(11,Outputs!$B$20:$B$45,0),MATCH(AS64,Outputs!$B$20:$S$20,0))</f>
        <v>8.1018862128257776E-2</v>
      </c>
      <c r="AV64" s="100">
        <f>INDEX(Outputs!$B$20:$S$45,MATCH(10,Outputs!$B$20:$B$45,0),MATCH(AS64,Outputs!$B$20:$S$20,0))</f>
        <v>8.0735775828361514E-2</v>
      </c>
      <c r="AZ64" s="191" t="s">
        <v>113</v>
      </c>
      <c r="BA64" s="100">
        <f>INDEX(Outputs!$C$16:$AH$16,MATCH($AZ64,Outputs!$C$8:$AH$8,0))</f>
        <v>8.0735775828361514E-2</v>
      </c>
      <c r="BB64" s="100"/>
    </row>
    <row r="65" spans="2:54" x14ac:dyDescent="0.25">
      <c r="B65" s="134"/>
      <c r="C65" s="134"/>
      <c r="D65" s="134"/>
      <c r="E65" s="134"/>
      <c r="F65" s="134"/>
      <c r="G65" s="134"/>
      <c r="J65" s="134"/>
      <c r="M65" s="191">
        <f t="shared" si="37"/>
        <v>10</v>
      </c>
      <c r="N65" s="191" t="s">
        <v>28</v>
      </c>
      <c r="O65" s="191" t="s">
        <v>416</v>
      </c>
      <c r="P65" s="192">
        <f>INDEX(Outputs!$A$8:$AH$17,MATCH(N$48,Outputs!$A$8:$A$17,0),MATCH(N65,Outputs!$A$8:$AH$8,0))*100</f>
        <v>7.1431246399879464</v>
      </c>
      <c r="Q65" s="191">
        <v>17</v>
      </c>
      <c r="R65" s="191" t="str">
        <f t="shared" si="29"/>
        <v>Horizon Energy</v>
      </c>
      <c r="S65" s="192">
        <f>IF(VLOOKUP(R65,$N$49:$O$78,2,FALSE)="DPP",INDEX(Outputs!$A$8:$AH$17,MATCH(N$48,Outputs!$A$8:$A$17,0),MATCH(R65,Outputs!$A$8:$AH$8,0))*100,0)</f>
        <v>6.554950177669526</v>
      </c>
      <c r="T65" s="192">
        <f>IF(VLOOKUP(R65,$N$49:$O$78,2,FALSE)="ID",INDEX(Outputs!$A$8:$AH$17,MATCH(N$48,Outputs!$A$8:$A$17,0),MATCH(R65,Outputs!$A$8:$AH$8,0))*100,0)</f>
        <v>0</v>
      </c>
      <c r="U65" s="192">
        <f>IF(VLOOKUP(R65,$N$49:$O$78,2,FALSE)="CPP",INDEX(Outputs!$A$8:$AH$17,MATCH(N$48,Outputs!$A$8:$A$17,0),MATCH(R65,Outputs!$A$8:$AH$8,0))*100,0)</f>
        <v>0</v>
      </c>
      <c r="W65" s="191">
        <f t="shared" si="38"/>
        <v>6</v>
      </c>
      <c r="X65" s="191" t="s">
        <v>478</v>
      </c>
      <c r="Y65" s="192">
        <f>INDEX(Outputs!$A$8:$AH$17,MATCH(Y$48,Outputs!$A$8:$A$17,0),MATCH(X65,Outputs!$A$8:$AH$8,0))*100</f>
        <v>7.5636538863182059</v>
      </c>
      <c r="Z65" s="191">
        <v>17</v>
      </c>
      <c r="AA65" s="191" t="str">
        <f t="shared" si="30"/>
        <v>Centralines</v>
      </c>
      <c r="AB65" s="192">
        <f>INDEX(Outputs!$A$8:$AH$17,MATCH(Y$48,Outputs!$A$8:$A$17,0),MATCH(AA65,Outputs!$A$8:$AH$8,0))*100</f>
        <v>5.4127731919288644</v>
      </c>
      <c r="AD65" s="191">
        <f t="shared" si="31"/>
        <v>19</v>
      </c>
      <c r="AE65" s="191" t="s">
        <v>28</v>
      </c>
      <c r="AF65" s="192">
        <f>INDEX(Outputs!$A$8:$AH$17,MATCH(AF$48,Outputs!$A$8:$A$17,0),MATCH(AE65,Outputs!$A$8:$AH$8,0))*100</f>
        <v>7.3261162638664263</v>
      </c>
      <c r="AG65" s="191">
        <v>17</v>
      </c>
      <c r="AH65" s="191" t="str">
        <f t="shared" si="32"/>
        <v>Industry Total (incl Orion)</v>
      </c>
      <c r="AI65" s="192">
        <f>INDEX(Outputs!$A$8:$AH$17,MATCH(AF$48,Outputs!$A$8:$A$17,0),MATCH(AH65,Outputs!$A$8:$AH$8,0))*100</f>
        <v>7.2520026564598092</v>
      </c>
      <c r="AJ65" s="4"/>
      <c r="AK65" s="4"/>
      <c r="AL65" s="4"/>
      <c r="AM65" s="4"/>
      <c r="AN65" s="4"/>
      <c r="AO65" s="4"/>
      <c r="AP65" s="4"/>
      <c r="AS65" s="134"/>
      <c r="AZ65" s="191" t="s">
        <v>28</v>
      </c>
      <c r="BA65" s="100"/>
      <c r="BB65" s="100"/>
    </row>
    <row r="66" spans="2:54" x14ac:dyDescent="0.25">
      <c r="B66" s="133"/>
      <c r="C66" s="133"/>
      <c r="D66" s="133" t="s">
        <v>410</v>
      </c>
      <c r="E66" s="133"/>
      <c r="F66" s="133"/>
      <c r="G66" s="133"/>
      <c r="H66" s="133"/>
      <c r="I66" s="133"/>
      <c r="J66" s="133"/>
      <c r="K66" s="133"/>
      <c r="M66" s="191">
        <f t="shared" si="37"/>
        <v>9</v>
      </c>
      <c r="N66" s="191" t="s">
        <v>110</v>
      </c>
      <c r="O66" s="191" t="s">
        <v>415</v>
      </c>
      <c r="P66" s="192">
        <f>INDEX(Outputs!$A$8:$AH$17,MATCH(N$48,Outputs!$A$8:$A$17,0),MATCH(N66,Outputs!$A$8:$AH$8,0))*100</f>
        <v>7.4018034338951129</v>
      </c>
      <c r="Q66" s="191">
        <v>18</v>
      </c>
      <c r="R66" s="191" t="str">
        <f t="shared" si="29"/>
        <v>Aurora Energy</v>
      </c>
      <c r="S66" s="192">
        <f>IF(VLOOKUP(R66,$N$49:$O$78,2,FALSE)="DPP",INDEX(Outputs!$A$8:$AH$17,MATCH(N$48,Outputs!$A$8:$A$17,0),MATCH(R66,Outputs!$A$8:$AH$8,0))*100,0)</f>
        <v>6.5177473425865173</v>
      </c>
      <c r="T66" s="192">
        <f>IF(VLOOKUP(R66,$N$49:$O$78,2,FALSE)="ID",INDEX(Outputs!$A$8:$AH$17,MATCH(N$48,Outputs!$A$8:$A$17,0),MATCH(R66,Outputs!$A$8:$AH$8,0))*100,0)</f>
        <v>0</v>
      </c>
      <c r="U66" s="192">
        <f>IF(VLOOKUP(R66,$N$49:$O$78,2,FALSE)="CPP",INDEX(Outputs!$A$8:$AH$17,MATCH(N$48,Outputs!$A$8:$A$17,0),MATCH(R66,Outputs!$A$8:$AH$8,0))*100,0)</f>
        <v>0</v>
      </c>
      <c r="AD66" s="191">
        <f t="shared" si="31"/>
        <v>24</v>
      </c>
      <c r="AE66" s="191" t="s">
        <v>110</v>
      </c>
      <c r="AF66" s="192">
        <f>INDEX(Outputs!$A$8:$AH$17,MATCH(AF$48,Outputs!$A$8:$A$17,0),MATCH(AE66,Outputs!$A$8:$AH$8,0))*100</f>
        <v>7.9019305109977722</v>
      </c>
      <c r="AG66" s="191">
        <v>18</v>
      </c>
      <c r="AH66" s="191" t="str">
        <f t="shared" si="32"/>
        <v>Horizon Energy</v>
      </c>
      <c r="AI66" s="192">
        <f>INDEX(Outputs!$A$8:$AH$17,MATCH(AF$48,Outputs!$A$8:$A$17,0),MATCH(AH66,Outputs!$A$8:$AH$8,0))*100</f>
        <v>7.2648599743843096</v>
      </c>
      <c r="AJ66" s="4"/>
      <c r="AK66" s="4"/>
      <c r="AL66" s="4"/>
      <c r="AM66" s="4"/>
      <c r="AN66" s="4"/>
      <c r="AO66" s="4"/>
      <c r="AP66" s="4"/>
      <c r="AS66" s="134"/>
      <c r="AZ66" s="191" t="s">
        <v>29</v>
      </c>
      <c r="BA66" s="100"/>
      <c r="BB66" s="100">
        <f>INDEX(Outputs!$C$16:$AH$16,MATCH($AZ66,Outputs!$C$8:$AH$8,0))</f>
        <v>4.5875385403633118E-2</v>
      </c>
    </row>
    <row r="67" spans="2:54" x14ac:dyDescent="0.25">
      <c r="B67" s="191">
        <f>RANK(D67,D$67:D$83,0)</f>
        <v>2</v>
      </c>
      <c r="C67" s="191" t="s">
        <v>105</v>
      </c>
      <c r="D67" s="192">
        <f>INDEX(Outputs!$B$20:$S$45,MATCH(9,Outputs!$B$20:$B$45,0),MATCH(C67,Outputs!$B$20:$S$20,0))*100</f>
        <v>7.9900494217872637</v>
      </c>
      <c r="E67" s="191">
        <v>1</v>
      </c>
      <c r="F67" s="191" t="str">
        <f>VLOOKUP(E67,B$67:C$82,2,FALSE)</f>
        <v>Network Tasman</v>
      </c>
      <c r="G67" s="193">
        <f>INDEX(Outputs!$B$20:$S$45,MATCH(9,Outputs!$B$20:$B$45,0),MATCH(F67,Outputs!$B$20:$S$20,0))</f>
        <v>8.2150527834892309E-2</v>
      </c>
      <c r="H67" s="193">
        <f t="shared" ref="H67:H82" si="39">VLOOKUP(F67,$AL$27:$AM$42,2,FALSE)/100</f>
        <v>1.5631377696990966E-3</v>
      </c>
      <c r="I67" s="193">
        <f>SUM(G67,H67)</f>
        <v>8.3713665604591411E-2</v>
      </c>
      <c r="J67" s="191" t="str">
        <f>F67</f>
        <v>Network Tasman</v>
      </c>
      <c r="K67" s="193">
        <f>G67-0.0732</f>
        <v>8.9505278348923079E-3</v>
      </c>
      <c r="M67" s="191">
        <f t="shared" si="37"/>
        <v>11</v>
      </c>
      <c r="N67" s="191" t="s">
        <v>111</v>
      </c>
      <c r="O67" s="191" t="s">
        <v>415</v>
      </c>
      <c r="P67" s="192">
        <f>INDEX(Outputs!$A$8:$AH$17,MATCH(N$48,Outputs!$A$8:$A$17,0),MATCH(N67,Outputs!$A$8:$AH$8,0))*100</f>
        <v>7.1314582228660592</v>
      </c>
      <c r="Q67" s="191">
        <v>19</v>
      </c>
      <c r="R67" s="191" t="str">
        <f t="shared" si="29"/>
        <v>WEL Networks</v>
      </c>
      <c r="S67" s="192">
        <f>IF(VLOOKUP(R67,$N$49:$O$78,2,FALSE)="DPP",INDEX(Outputs!$A$8:$AH$17,MATCH(N$48,Outputs!$A$8:$A$17,0),MATCH(R67,Outputs!$A$8:$AH$8,0))*100,0)</f>
        <v>0</v>
      </c>
      <c r="T67" s="192">
        <f>IF(VLOOKUP(R67,$N$49:$O$78,2,FALSE)="ID",INDEX(Outputs!$A$8:$AH$17,MATCH(N$48,Outputs!$A$8:$A$17,0),MATCH(R67,Outputs!$A$8:$AH$8,0))*100,0)</f>
        <v>6.4597216248512277</v>
      </c>
      <c r="U67" s="192">
        <f>IF(VLOOKUP(R67,$N$49:$O$78,2,FALSE)="CPP",INDEX(Outputs!$A$8:$AH$17,MATCH(N$48,Outputs!$A$8:$A$17,0),MATCH(R67,Outputs!$A$8:$AH$8,0))*100,0)</f>
        <v>0</v>
      </c>
      <c r="AD67" s="191">
        <f t="shared" si="31"/>
        <v>22</v>
      </c>
      <c r="AE67" s="191" t="s">
        <v>111</v>
      </c>
      <c r="AF67" s="192">
        <f>INDEX(Outputs!$A$8:$AH$17,MATCH(AF$48,Outputs!$A$8:$A$17,0),MATCH(AE67,Outputs!$A$8:$AH$8,0))*100</f>
        <v>7.4369093775749224</v>
      </c>
      <c r="AG67" s="191">
        <v>19</v>
      </c>
      <c r="AH67" s="191" t="str">
        <f t="shared" si="32"/>
        <v>Orion NZ</v>
      </c>
      <c r="AI67" s="192">
        <f>INDEX(Outputs!$A$8:$AH$17,MATCH(AF$48,Outputs!$A$8:$A$17,0),MATCH(AH67,Outputs!$A$8:$AH$8,0))*100</f>
        <v>7.3261162638664263</v>
      </c>
      <c r="AJ67" s="4"/>
      <c r="AK67" s="4"/>
      <c r="AL67" s="4"/>
      <c r="AM67" s="4"/>
      <c r="AN67" s="4"/>
      <c r="AO67" s="4"/>
      <c r="AP67" s="4"/>
      <c r="AS67" s="1" t="s">
        <v>168</v>
      </c>
      <c r="AT67" s="1">
        <f>COUNT('Chart data'!AT49:AT64)</f>
        <v>16</v>
      </c>
      <c r="AU67" s="1">
        <f>COUNT('Chart data'!AU49:AU64)</f>
        <v>16</v>
      </c>
      <c r="AV67" s="1">
        <f>COUNT('Chart data'!AV49:AV64)</f>
        <v>16</v>
      </c>
      <c r="AZ67" s="191" t="s">
        <v>30</v>
      </c>
      <c r="BA67" s="100"/>
      <c r="BB67" s="100">
        <f>INDEX(Outputs!$C$16:$AH$16,MATCH($AZ67,Outputs!$C$8:$AH$8,0))</f>
        <v>7.5588443875312814E-2</v>
      </c>
    </row>
    <row r="68" spans="2:54" x14ac:dyDescent="0.25">
      <c r="B68" s="191">
        <f t="shared" ref="B68:B82" si="40">RANK(D68,D$67:D$83,0)</f>
        <v>12</v>
      </c>
      <c r="C68" s="191" t="s">
        <v>3</v>
      </c>
      <c r="D68" s="192">
        <f>INDEX(Outputs!$B$20:$S$45,MATCH(9,Outputs!$B$20:$B$45,0),MATCH(C68,Outputs!$B$20:$S$20,0))*100</f>
        <v>6.1756393313407889</v>
      </c>
      <c r="E68" s="191">
        <v>2</v>
      </c>
      <c r="F68" s="191" t="str">
        <f t="shared" ref="F68:F82" si="41">VLOOKUP(E68,B$67:C$82,2,FALSE)</f>
        <v>Alpine Energy</v>
      </c>
      <c r="G68" s="193">
        <f>INDEX(Outputs!$B$20:$S$45,MATCH(9,Outputs!$B$20:$B$45,0),MATCH(F68,Outputs!$B$20:$S$20,0))</f>
        <v>7.9900494217872639E-2</v>
      </c>
      <c r="H68" s="193">
        <f t="shared" si="39"/>
        <v>1.7405927181243896E-3</v>
      </c>
      <c r="I68" s="193">
        <f t="shared" ref="I68:I82" si="42">SUM(G68,H68)</f>
        <v>8.1641086935997031E-2</v>
      </c>
      <c r="J68" s="191" t="str">
        <f t="shared" ref="J68:J82" si="43">F68</f>
        <v>Alpine Energy</v>
      </c>
      <c r="K68" s="193">
        <f t="shared" ref="K68:K82" si="44">G68-0.0732</f>
        <v>6.7004942178726379E-3</v>
      </c>
      <c r="M68" s="191">
        <f t="shared" si="37"/>
        <v>1</v>
      </c>
      <c r="N68" s="191" t="s">
        <v>356</v>
      </c>
      <c r="O68" s="191" t="s">
        <v>209</v>
      </c>
      <c r="P68" s="192">
        <f>INDEX(Outputs!$A$8:$AH$17,MATCH(N$48,Outputs!$A$8:$A$17,0),MATCH(N68,Outputs!$A$8:$AH$8,0))*100</f>
        <v>8.6973342299461383</v>
      </c>
      <c r="Q68" s="191">
        <v>20</v>
      </c>
      <c r="R68" s="191" t="str">
        <f t="shared" si="29"/>
        <v>Northpower</v>
      </c>
      <c r="S68" s="192">
        <f>IF(VLOOKUP(R68,$N$49:$O$78,2,FALSE)="DPP",INDEX(Outputs!$A$8:$AH$17,MATCH(N$48,Outputs!$A$8:$A$17,0),MATCH(R68,Outputs!$A$8:$AH$8,0))*100,0)</f>
        <v>0</v>
      </c>
      <c r="T68" s="192">
        <f>IF(VLOOKUP(R68,$N$49:$O$78,2,FALSE)="ID",INDEX(Outputs!$A$8:$AH$17,MATCH(N$48,Outputs!$A$8:$A$17,0),MATCH(R68,Outputs!$A$8:$AH$8,0))*100,0)</f>
        <v>6.1612531542778033</v>
      </c>
      <c r="U68" s="192">
        <f>IF(VLOOKUP(R68,$N$49:$O$78,2,FALSE)="CPP",INDEX(Outputs!$A$8:$AH$17,MATCH(N$48,Outputs!$A$8:$A$17,0),MATCH(R68,Outputs!$A$8:$AH$8,0))*100,0)</f>
        <v>0</v>
      </c>
      <c r="AD68" s="191">
        <f t="shared" si="31"/>
        <v>27</v>
      </c>
      <c r="AE68" s="191" t="s">
        <v>356</v>
      </c>
      <c r="AF68" s="192">
        <f>INDEX(Outputs!$A$8:$AH$17,MATCH(AF$48,Outputs!$A$8:$A$17,0),MATCH(AE68,Outputs!$A$8:$AH$8,0))*100</f>
        <v>8.4839573502540588</v>
      </c>
      <c r="AG68" s="191">
        <v>20</v>
      </c>
      <c r="AH68" s="191" t="str">
        <f t="shared" si="32"/>
        <v>Waipa Networks</v>
      </c>
      <c r="AI68" s="192">
        <f>INDEX(Outputs!$A$8:$AH$17,MATCH(AF$48,Outputs!$A$8:$A$17,0),MATCH(AH68,Outputs!$A$8:$AH$8,0))*100</f>
        <v>7.3428377509117144</v>
      </c>
      <c r="AJ68" s="4"/>
      <c r="AK68" s="4"/>
      <c r="AL68" s="4"/>
      <c r="AM68" s="4"/>
      <c r="AN68" s="4"/>
      <c r="AO68" s="4"/>
      <c r="AP68" s="4"/>
      <c r="AS68" s="1" t="s">
        <v>169</v>
      </c>
      <c r="AT68" s="211">
        <f>AVERAGE('Chart data'!AT49:AT64)</f>
        <v>6.3781774789094928E-2</v>
      </c>
      <c r="AU68" s="211">
        <f>AVERAGE('Chart data'!AU49:AU64)</f>
        <v>7.1990261599421512E-2</v>
      </c>
      <c r="AV68" s="211">
        <f>AVERAGE('Chart data'!AV49:AV64)</f>
        <v>6.895205155014994E-2</v>
      </c>
      <c r="AZ68" s="191" t="s">
        <v>31</v>
      </c>
      <c r="BA68" s="100"/>
      <c r="BB68" s="100">
        <f>INDEX(Outputs!$C$16:$AH$16,MATCH($AZ68,Outputs!$C$8:$AH$8,0))</f>
        <v>8.5058596730232236E-2</v>
      </c>
    </row>
    <row r="69" spans="2:54" x14ac:dyDescent="0.25">
      <c r="B69" s="191">
        <f t="shared" si="40"/>
        <v>15</v>
      </c>
      <c r="C69" s="191" t="s">
        <v>106</v>
      </c>
      <c r="D69" s="192">
        <f>INDEX(Outputs!$B$20:$S$45,MATCH(9,Outputs!$B$20:$B$45,0),MATCH(C69,Outputs!$B$20:$S$20,0))*100</f>
        <v>5.111834704875946</v>
      </c>
      <c r="E69" s="191">
        <v>3</v>
      </c>
      <c r="F69" s="191" t="str">
        <f t="shared" si="41"/>
        <v>Wellington Electricity</v>
      </c>
      <c r="G69" s="193">
        <f>INDEX(Outputs!$B$20:$S$45,MATCH(9,Outputs!$B$20:$B$45,0),MATCH(F69,Outputs!$B$20:$S$20,0))</f>
        <v>7.8780016303062458E-2</v>
      </c>
      <c r="H69" s="193">
        <f t="shared" si="39"/>
        <v>1.9557595252990543E-3</v>
      </c>
      <c r="I69" s="193">
        <f t="shared" si="42"/>
        <v>8.0735775828361514E-2</v>
      </c>
      <c r="J69" s="191" t="str">
        <f t="shared" si="43"/>
        <v>Wellington Electricity</v>
      </c>
      <c r="K69" s="193">
        <f t="shared" si="44"/>
        <v>5.5800163030624572E-3</v>
      </c>
      <c r="M69" s="191">
        <f t="shared" si="37"/>
        <v>24</v>
      </c>
      <c r="N69" s="191" t="s">
        <v>6</v>
      </c>
      <c r="O69" s="191" t="s">
        <v>415</v>
      </c>
      <c r="P69" s="192">
        <f>INDEX(Outputs!$A$8:$AH$17,MATCH(N$48,Outputs!$A$8:$A$17,0),MATCH(N69,Outputs!$A$8:$AH$8,0))*100</f>
        <v>5.3291299939155587</v>
      </c>
      <c r="Q69" s="191">
        <v>21</v>
      </c>
      <c r="R69" s="191" t="str">
        <f t="shared" si="29"/>
        <v>Eastland Network</v>
      </c>
      <c r="S69" s="192">
        <f>IF(VLOOKUP(R69,$N$49:$O$78,2,FALSE)="DPP",INDEX(Outputs!$A$8:$AH$17,MATCH(N$48,Outputs!$A$8:$A$17,0),MATCH(R69,Outputs!$A$8:$AH$8,0))*100,0)</f>
        <v>6.1593458056449908</v>
      </c>
      <c r="T69" s="192">
        <f>IF(VLOOKUP(R69,$N$49:$O$78,2,FALSE)="ID",INDEX(Outputs!$A$8:$AH$17,MATCH(N$48,Outputs!$A$8:$A$17,0),MATCH(R69,Outputs!$A$8:$AH$8,0))*100,0)</f>
        <v>0</v>
      </c>
      <c r="U69" s="192">
        <f>IF(VLOOKUP(R69,$N$49:$O$78,2,FALSE)="CPP",INDEX(Outputs!$A$8:$AH$17,MATCH(N$48,Outputs!$A$8:$A$17,0),MATCH(R69,Outputs!$A$8:$AH$8,0))*100,0)</f>
        <v>0</v>
      </c>
      <c r="AD69" s="191">
        <f t="shared" si="31"/>
        <v>7</v>
      </c>
      <c r="AE69" s="191" t="s">
        <v>6</v>
      </c>
      <c r="AF69" s="192">
        <f>INDEX(Outputs!$A$8:$AH$17,MATCH(AF$48,Outputs!$A$8:$A$17,0),MATCH(AE69,Outputs!$A$8:$AH$8,0))*100</f>
        <v>5.5703875422477704</v>
      </c>
      <c r="AG69" s="191">
        <v>21</v>
      </c>
      <c r="AH69" s="191" t="str">
        <f t="shared" si="32"/>
        <v>Counties Power</v>
      </c>
      <c r="AI69" s="192">
        <f>INDEX(Outputs!$A$8:$AH$17,MATCH(AF$48,Outputs!$A$8:$A$17,0),MATCH(AH69,Outputs!$A$8:$AH$8,0))*100</f>
        <v>7.4273094534873962</v>
      </c>
      <c r="AJ69" s="4"/>
      <c r="AK69" s="4"/>
      <c r="AL69" s="4"/>
      <c r="AM69" s="4"/>
      <c r="AN69" s="4"/>
      <c r="AO69" s="4"/>
      <c r="AP69" s="4"/>
      <c r="AS69" s="1" t="s">
        <v>170</v>
      </c>
      <c r="AT69" s="211">
        <f>STDEV('Chart data'!AT49:AT64)</f>
        <v>1.5478407516582613E-2</v>
      </c>
      <c r="AU69" s="211">
        <f>STDEV('Chart data'!AU49:AU64)</f>
        <v>8.8730116630580114E-3</v>
      </c>
      <c r="AV69" s="211">
        <f>STDEV('Chart data'!AV49:AV64)</f>
        <v>9.2140638631939484E-3</v>
      </c>
      <c r="AZ69" s="191" t="s">
        <v>32</v>
      </c>
      <c r="BA69" s="100"/>
      <c r="BB69" s="100">
        <f>INDEX(Outputs!$C$16:$AH$16,MATCH($AZ69,Outputs!$C$8:$AH$8,0))</f>
        <v>7.7743104100227389E-2</v>
      </c>
    </row>
    <row r="70" spans="2:54" x14ac:dyDescent="0.25">
      <c r="B70" s="191">
        <f t="shared" si="40"/>
        <v>13</v>
      </c>
      <c r="C70" s="191" t="s">
        <v>474</v>
      </c>
      <c r="D70" s="192">
        <f>INDEX(Outputs!$B$20:$S$45,MATCH(9,Outputs!$B$20:$B$45,0),MATCH(C70,Outputs!$B$20:$S$20,0))*100</f>
        <v>5.8199992775917062</v>
      </c>
      <c r="E70" s="191">
        <v>4</v>
      </c>
      <c r="F70" s="191" t="str">
        <f t="shared" si="41"/>
        <v>Nelson Electricity</v>
      </c>
      <c r="G70" s="193">
        <f>INDEX(Outputs!$B$20:$S$45,MATCH(9,Outputs!$B$20:$B$45,0),MATCH(F70,Outputs!$B$20:$S$20,0))</f>
        <v>7.6093688607215909E-2</v>
      </c>
      <c r="H70" s="193">
        <f t="shared" si="39"/>
        <v>2.3627877235412511E-3</v>
      </c>
      <c r="I70" s="193">
        <f t="shared" si="42"/>
        <v>7.8456476330757155E-2</v>
      </c>
      <c r="J70" s="191" t="str">
        <f t="shared" si="43"/>
        <v>Nelson Electricity</v>
      </c>
      <c r="K70" s="193">
        <f t="shared" si="44"/>
        <v>2.8936886072159079E-3</v>
      </c>
      <c r="M70" s="191">
        <f t="shared" si="37"/>
        <v>25</v>
      </c>
      <c r="N70" s="191" t="s">
        <v>37</v>
      </c>
      <c r="O70" s="191" t="s">
        <v>209</v>
      </c>
      <c r="P70" s="192">
        <f>INDEX(Outputs!$A$8:$AH$17,MATCH(N$48,Outputs!$A$8:$A$17,0),MATCH(N70,Outputs!$A$8:$AH$8,0))*100</f>
        <v>4.8088034987449637</v>
      </c>
      <c r="Q70" s="191">
        <v>22</v>
      </c>
      <c r="R70" s="191" t="str">
        <f t="shared" si="29"/>
        <v>Top Energy</v>
      </c>
      <c r="S70" s="192">
        <f>IF(VLOOKUP(R70,$N$49:$O$78,2,FALSE)="DPP",INDEX(Outputs!$A$8:$AH$17,MATCH(N$48,Outputs!$A$8:$A$17,0),MATCH(R70,Outputs!$A$8:$AH$8,0))*100,0)</f>
        <v>5.8486852049827576</v>
      </c>
      <c r="T70" s="192">
        <f>IF(VLOOKUP(R70,$N$49:$O$78,2,FALSE)="ID",INDEX(Outputs!$A$8:$AH$17,MATCH(N$48,Outputs!$A$8:$A$17,0),MATCH(R70,Outputs!$A$8:$AH$8,0))*100,0)</f>
        <v>0</v>
      </c>
      <c r="U70" s="192">
        <f>IF(VLOOKUP(R70,$N$49:$O$78,2,FALSE)="CPP",INDEX(Outputs!$A$8:$AH$17,MATCH(N$48,Outputs!$A$8:$A$17,0),MATCH(R70,Outputs!$A$8:$AH$8,0))*100,0)</f>
        <v>0</v>
      </c>
      <c r="AD70" s="191">
        <f t="shared" si="31"/>
        <v>5</v>
      </c>
      <c r="AE70" s="191" t="s">
        <v>37</v>
      </c>
      <c r="AF70" s="192">
        <f>INDEX(Outputs!$A$8:$AH$17,MATCH(AF$48,Outputs!$A$8:$A$17,0),MATCH(AE70,Outputs!$A$8:$AH$8,0))*100</f>
        <v>5.2027973532676697</v>
      </c>
      <c r="AG70" s="191">
        <v>22</v>
      </c>
      <c r="AH70" s="191" t="str">
        <f t="shared" si="32"/>
        <v>Powerco</v>
      </c>
      <c r="AI70" s="192">
        <f>INDEX(Outputs!$A$8:$AH$17,MATCH(AF$48,Outputs!$A$8:$A$17,0),MATCH(AH70,Outputs!$A$8:$AH$8,0))*100</f>
        <v>7.4369093775749224</v>
      </c>
      <c r="AJ70" s="4"/>
      <c r="AK70" s="4"/>
      <c r="AL70" s="4"/>
      <c r="AM70" s="4"/>
      <c r="AN70" s="4"/>
      <c r="AO70" s="4"/>
      <c r="AP70" s="4"/>
      <c r="AS70" s="1" t="s">
        <v>153</v>
      </c>
      <c r="AT70" s="211">
        <f>MIN('Chart data'!AT49:AT64)</f>
        <v>3.3519467711448675E-2</v>
      </c>
      <c r="AU70" s="211">
        <f>MIN('Chart data'!AU49:AU64)</f>
        <v>5.7321104407310489E-2</v>
      </c>
      <c r="AV70" s="211">
        <f>MIN('Chart data'!AV49:AV64)</f>
        <v>5.3291299939155587E-2</v>
      </c>
      <c r="AZ70" s="191" t="s">
        <v>33</v>
      </c>
      <c r="BA70" s="100"/>
      <c r="BB70" s="100">
        <f>INDEX(Outputs!$C$16:$AH$16,MATCH($AZ70,Outputs!$C$8:$AH$8,0))</f>
        <v>2.6430848240852359E-2</v>
      </c>
    </row>
    <row r="71" spans="2:54" x14ac:dyDescent="0.25">
      <c r="B71" s="191">
        <f t="shared" si="40"/>
        <v>8</v>
      </c>
      <c r="C71" s="191" t="s">
        <v>4</v>
      </c>
      <c r="D71" s="192">
        <f>INDEX(Outputs!$B$20:$S$45,MATCH(9,Outputs!$B$20:$B$45,0),MATCH(C71,Outputs!$B$20:$S$20,0))*100</f>
        <v>6.4917042851448059</v>
      </c>
      <c r="E71" s="191">
        <v>5</v>
      </c>
      <c r="F71" s="191" t="str">
        <f t="shared" si="41"/>
        <v>OtagoNet</v>
      </c>
      <c r="G71" s="193">
        <f>INDEX(Outputs!$B$20:$S$45,MATCH(9,Outputs!$B$20:$B$45,0),MATCH(F71,Outputs!$B$20:$S$20,0))</f>
        <v>7.1564164757728574E-2</v>
      </c>
      <c r="H71" s="193">
        <f t="shared" si="39"/>
        <v>2.4538695812225519E-3</v>
      </c>
      <c r="I71" s="193">
        <f t="shared" si="42"/>
        <v>7.4018034338951127E-2</v>
      </c>
      <c r="J71" s="191" t="str">
        <f t="shared" si="43"/>
        <v>OtagoNet</v>
      </c>
      <c r="K71" s="193">
        <f t="shared" si="44"/>
        <v>-1.6358352422714273E-3</v>
      </c>
      <c r="M71" s="191">
        <f t="shared" si="37"/>
        <v>22</v>
      </c>
      <c r="N71" s="191" t="s">
        <v>112</v>
      </c>
      <c r="O71" s="191" t="s">
        <v>415</v>
      </c>
      <c r="P71" s="192">
        <f>INDEX(Outputs!$A$8:$AH$17,MATCH(N$48,Outputs!$A$8:$A$17,0),MATCH(N71,Outputs!$A$8:$AH$8,0))*100</f>
        <v>5.8486852049827576</v>
      </c>
      <c r="Q71" s="191">
        <v>23</v>
      </c>
      <c r="R71" s="191" t="str">
        <f t="shared" si="29"/>
        <v>Centralines</v>
      </c>
      <c r="S71" s="192">
        <f>IF(VLOOKUP(R71,$N$49:$O$78,2,FALSE)="DPP",INDEX(Outputs!$A$8:$AH$17,MATCH(N$48,Outputs!$A$8:$A$17,0),MATCH(R71,Outputs!$A$8:$AH$8,0))*100,0)</f>
        <v>5.5034896731376639</v>
      </c>
      <c r="T71" s="192">
        <f>IF(VLOOKUP(R71,$N$49:$O$78,2,FALSE)="ID",INDEX(Outputs!$A$8:$AH$17,MATCH(N$48,Outputs!$A$8:$A$17,0),MATCH(R71,Outputs!$A$8:$AH$8,0))*100,0)</f>
        <v>0</v>
      </c>
      <c r="U71" s="192">
        <f>IF(VLOOKUP(R71,$N$49:$O$78,2,FALSE)="CPP",INDEX(Outputs!$A$8:$AH$17,MATCH(N$48,Outputs!$A$8:$A$17,0),MATCH(R71,Outputs!$A$8:$AH$8,0))*100,0)</f>
        <v>0</v>
      </c>
      <c r="AD71" s="191">
        <f t="shared" si="31"/>
        <v>8</v>
      </c>
      <c r="AE71" s="191" t="s">
        <v>112</v>
      </c>
      <c r="AF71" s="192">
        <f>INDEX(Outputs!$A$8:$AH$17,MATCH(AF$48,Outputs!$A$8:$A$17,0),MATCH(AE71,Outputs!$A$8:$AH$8,0))*100</f>
        <v>5.7024469971656808</v>
      </c>
      <c r="AG71" s="191">
        <v>23</v>
      </c>
      <c r="AH71" s="191" t="str">
        <f t="shared" si="32"/>
        <v>MainPower</v>
      </c>
      <c r="AI71" s="192">
        <f>INDEX(Outputs!$A$8:$AH$17,MATCH(AF$48,Outputs!$A$8:$A$17,0),MATCH(AH71,Outputs!$A$8:$AH$8,0))*100</f>
        <v>7.6339766383171099</v>
      </c>
      <c r="AJ71" s="4"/>
      <c r="AK71" s="4"/>
      <c r="AL71" s="4"/>
      <c r="AM71" s="4"/>
      <c r="AN71" s="4"/>
      <c r="AO71" s="4"/>
      <c r="AP71" s="4"/>
      <c r="AS71" s="1" t="s">
        <v>171</v>
      </c>
      <c r="AT71" s="211">
        <f>QUARTILE('Chart data'!$AT$49:$AT$64,1)</f>
        <v>5.6029067933559412E-2</v>
      </c>
      <c r="AU71" s="211">
        <f>QUARTILE('Chart data'!$AU$49:$AU$64,1)</f>
        <v>6.74729123711586E-2</v>
      </c>
      <c r="AV71" s="211">
        <f>QUARTILE('Chart data'!$AV$49:$AV$64,1)</f>
        <v>6.4281469583511358E-2</v>
      </c>
      <c r="AZ71" s="191" t="s">
        <v>34</v>
      </c>
      <c r="BA71" s="100"/>
      <c r="BB71" s="100">
        <f>INDEX(Outputs!$C$16:$AH$16,MATCH($AZ71,Outputs!$C$8:$AH$8,0))</f>
        <v>3.9169111847877525E-2</v>
      </c>
    </row>
    <row r="72" spans="2:54" x14ac:dyDescent="0.25">
      <c r="B72" s="191">
        <f t="shared" si="40"/>
        <v>10</v>
      </c>
      <c r="C72" s="191" t="s">
        <v>5</v>
      </c>
      <c r="D72" s="192">
        <f>INDEX(Outputs!$B$20:$S$45,MATCH(9,Outputs!$B$20:$B$45,0),MATCH(C72,Outputs!$B$20:$S$20,0))*100</f>
        <v>6.4339944720268258</v>
      </c>
      <c r="E72" s="191">
        <v>6</v>
      </c>
      <c r="F72" s="191" t="str">
        <f t="shared" si="41"/>
        <v>Powerco</v>
      </c>
      <c r="G72" s="193">
        <f>INDEX(Outputs!$B$20:$S$45,MATCH(9,Outputs!$B$20:$B$45,0),MATCH(F72,Outputs!$B$20:$S$20,0))</f>
        <v>6.8571266531944272E-2</v>
      </c>
      <c r="H72" s="193">
        <f t="shared" si="39"/>
        <v>2.7433156967163175E-3</v>
      </c>
      <c r="I72" s="193">
        <f t="shared" si="42"/>
        <v>7.1314582228660592E-2</v>
      </c>
      <c r="J72" s="191" t="str">
        <f t="shared" si="43"/>
        <v>Powerco</v>
      </c>
      <c r="K72" s="193">
        <f t="shared" si="44"/>
        <v>-4.6287334680557291E-3</v>
      </c>
      <c r="M72" s="191">
        <f t="shared" si="37"/>
        <v>15</v>
      </c>
      <c r="N72" s="191" t="s">
        <v>473</v>
      </c>
      <c r="O72" s="191" t="s">
        <v>415</v>
      </c>
      <c r="P72" s="192">
        <f>INDEX(Outputs!$A$8:$AH$17,MATCH(N$48,Outputs!$A$8:$A$17,0),MATCH(N72,Outputs!$A$8:$AH$8,0))*100</f>
        <v>6.783410608768464</v>
      </c>
      <c r="Q72" s="191">
        <v>24</v>
      </c>
      <c r="R72" s="191" t="str">
        <f t="shared" si="29"/>
        <v>The Lines Company</v>
      </c>
      <c r="S72" s="192">
        <f>IF(VLOOKUP(R72,$N$49:$O$78,2,FALSE)="DPP",INDEX(Outputs!$A$8:$AH$17,MATCH(N$48,Outputs!$A$8:$A$17,0),MATCH(R72,Outputs!$A$8:$AH$8,0))*100,0)</f>
        <v>5.3291299939155587</v>
      </c>
      <c r="T72" s="192">
        <f>IF(VLOOKUP(R72,$N$49:$O$78,2,FALSE)="ID",INDEX(Outputs!$A$8:$AH$17,MATCH(N$48,Outputs!$A$8:$A$17,0),MATCH(R72,Outputs!$A$8:$AH$8,0))*100,0)</f>
        <v>0</v>
      </c>
      <c r="U72" s="192">
        <f>IF(VLOOKUP(R72,$N$49:$O$78,2,FALSE)="CPP",INDEX(Outputs!$A$8:$AH$17,MATCH(N$48,Outputs!$A$8:$A$17,0),MATCH(R72,Outputs!$A$8:$AH$8,0))*100,0)</f>
        <v>0</v>
      </c>
      <c r="AD72" s="191">
        <f t="shared" si="31"/>
        <v>11</v>
      </c>
      <c r="AE72" s="191" t="s">
        <v>473</v>
      </c>
      <c r="AF72" s="192">
        <f>INDEX(Outputs!$A$8:$AH$17,MATCH(AF$48,Outputs!$A$8:$A$17,0),MATCH(AE72,Outputs!$A$8:$AH$8,0))*100</f>
        <v>7.0212480425834656</v>
      </c>
      <c r="AG72" s="191">
        <v>24</v>
      </c>
      <c r="AH72" s="191" t="str">
        <f t="shared" si="32"/>
        <v>OtagoNet</v>
      </c>
      <c r="AI72" s="192">
        <f>INDEX(Outputs!$A$8:$AH$17,MATCH(AF$48,Outputs!$A$8:$A$17,0),MATCH(AH72,Outputs!$A$8:$AH$8,0))*100</f>
        <v>7.9019305109977722</v>
      </c>
      <c r="AJ72" s="4"/>
      <c r="AK72" s="4"/>
      <c r="AL72" s="4"/>
      <c r="AM72" s="4"/>
      <c r="AN72" s="4"/>
      <c r="AO72" s="4"/>
      <c r="AP72" s="4"/>
      <c r="AS72" s="1" t="s">
        <v>172</v>
      </c>
      <c r="AT72" s="211">
        <f>MEDIAN('Chart data'!AT49:AT64)</f>
        <v>6.6738340258598344E-2</v>
      </c>
      <c r="AU72" s="211">
        <f>MEDIAN('Chart data'!AU49:AU64)</f>
        <v>7.0307242870330813E-2</v>
      </c>
      <c r="AV72" s="211">
        <f>MEDIAN('Chart data'!AV49:AV64)</f>
        <v>6.8219012022018438E-2</v>
      </c>
      <c r="AZ72" s="191" t="s">
        <v>35</v>
      </c>
      <c r="BA72" s="100"/>
      <c r="BB72" s="100">
        <f>INDEX(Outputs!$C$16:$AH$16,MATCH($AZ72,Outputs!$C$8:$AH$8,0))</f>
        <v>6.1612531542778029E-2</v>
      </c>
    </row>
    <row r="73" spans="2:54" x14ac:dyDescent="0.25">
      <c r="B73" s="191">
        <f t="shared" si="40"/>
        <v>11</v>
      </c>
      <c r="C73" s="191" t="s">
        <v>107</v>
      </c>
      <c r="D73" s="192">
        <f>INDEX(Outputs!$B$20:$S$45,MATCH(9,Outputs!$B$20:$B$45,0),MATCH(C73,Outputs!$B$20:$S$20,0))*100</f>
        <v>6.2577810883522016</v>
      </c>
      <c r="E73" s="191">
        <v>7</v>
      </c>
      <c r="F73" s="191" t="str">
        <f t="shared" si="41"/>
        <v>Vector Lines</v>
      </c>
      <c r="G73" s="193">
        <f>INDEX(Outputs!$B$20:$S$45,MATCH(9,Outputs!$B$20:$B$45,0),MATCH(F73,Outputs!$B$20:$S$20,0))</f>
        <v>6.7197403311729451E-2</v>
      </c>
      <c r="H73" s="193">
        <f t="shared" si="39"/>
        <v>3.161919116973859E-3</v>
      </c>
      <c r="I73" s="193">
        <f t="shared" si="42"/>
        <v>7.0359322428703311E-2</v>
      </c>
      <c r="J73" s="191" t="str">
        <f t="shared" si="43"/>
        <v>Vector Lines</v>
      </c>
      <c r="K73" s="193">
        <f t="shared" si="44"/>
        <v>-6.0025966882705506E-3</v>
      </c>
      <c r="M73" s="191">
        <f t="shared" si="37"/>
        <v>12</v>
      </c>
      <c r="N73" s="191" t="s">
        <v>472</v>
      </c>
      <c r="O73" s="191" t="s">
        <v>415</v>
      </c>
      <c r="P73" s="192">
        <f>INDEX(Outputs!$A$8:$AH$17,MATCH(N$48,Outputs!$A$8:$A$17,0),MATCH(N73,Outputs!$A$8:$AH$8,0))*100</f>
        <v>7.0359322428703308</v>
      </c>
      <c r="Q73" s="191">
        <v>25</v>
      </c>
      <c r="R73" s="191" t="str">
        <f t="shared" si="29"/>
        <v>The Power Company</v>
      </c>
      <c r="S73" s="192">
        <f>IF(VLOOKUP(R73,$N$49:$O$78,2,FALSE)="DPP",INDEX(Outputs!$A$8:$AH$17,MATCH(N$48,Outputs!$A$8:$A$17,0),MATCH(R73,Outputs!$A$8:$AH$8,0))*100,0)</f>
        <v>0</v>
      </c>
      <c r="T73" s="192">
        <f>IF(VLOOKUP(R73,$N$49:$O$78,2,FALSE)="ID",INDEX(Outputs!$A$8:$AH$17,MATCH(N$48,Outputs!$A$8:$A$17,0),MATCH(R73,Outputs!$A$8:$AH$8,0))*100,0)</f>
        <v>4.8088034987449637</v>
      </c>
      <c r="U73" s="192">
        <f>IF(VLOOKUP(R73,$N$49:$O$78,2,FALSE)="CPP",INDEX(Outputs!$A$8:$AH$17,MATCH(N$48,Outputs!$A$8:$A$17,0),MATCH(R73,Outputs!$A$8:$AH$8,0))*100,0)</f>
        <v>0</v>
      </c>
      <c r="AD73" s="191">
        <f t="shared" si="31"/>
        <v>25</v>
      </c>
      <c r="AE73" s="191" t="s">
        <v>472</v>
      </c>
      <c r="AF73" s="192">
        <f>INDEX(Outputs!$A$8:$AH$17,MATCH(AF$48,Outputs!$A$8:$A$17,0),MATCH(AE73,Outputs!$A$8:$AH$8,0))*100</f>
        <v>7.9988887906074568</v>
      </c>
      <c r="AG73" s="191">
        <v>25</v>
      </c>
      <c r="AH73" s="191" t="str">
        <f t="shared" si="32"/>
        <v>Vector Lines</v>
      </c>
      <c r="AI73" s="192">
        <f>INDEX(Outputs!$A$8:$AH$17,MATCH(AF$48,Outputs!$A$8:$A$17,0),MATCH(AH73,Outputs!$A$8:$AH$8,0))*100</f>
        <v>7.9988887906074568</v>
      </c>
      <c r="AJ73" s="4"/>
      <c r="AK73" s="4"/>
      <c r="AL73" s="4"/>
      <c r="AM73" s="4"/>
      <c r="AN73" s="4"/>
      <c r="AO73" s="4"/>
      <c r="AP73" s="4"/>
      <c r="AS73" s="1" t="s">
        <v>173</v>
      </c>
      <c r="AT73" s="211">
        <f>QUARTILE('Chart data'!$AT$49:$AT$64,3)</f>
        <v>7.2986559569835671E-2</v>
      </c>
      <c r="AU73" s="211">
        <f>QUARTILE('Chart data'!$AU$49:$AU$64,3)</f>
        <v>7.5898408889770522E-2</v>
      </c>
      <c r="AV73" s="211">
        <f>QUARTILE('Chart data'!$AV$49:$AV$64,3)</f>
        <v>7.5127644836902638E-2</v>
      </c>
      <c r="AZ73" s="191" t="s">
        <v>36</v>
      </c>
      <c r="BA73" s="100"/>
      <c r="BB73" s="100">
        <f>INDEX(Outputs!$C$16:$AH$16,MATCH($AZ73,Outputs!$C$8:$AH$8,0))</f>
        <v>8.6973342299461381E-2</v>
      </c>
    </row>
    <row r="74" spans="2:54" x14ac:dyDescent="0.25">
      <c r="B74" s="191">
        <f t="shared" si="40"/>
        <v>4</v>
      </c>
      <c r="C74" s="191" t="s">
        <v>108</v>
      </c>
      <c r="D74" s="192">
        <f>INDEX(Outputs!$B$20:$S$45,MATCH(9,Outputs!$B$20:$B$45,0),MATCH(C74,Outputs!$B$20:$S$20,0))*100</f>
        <v>7.6093688607215908</v>
      </c>
      <c r="E74" s="191">
        <v>8</v>
      </c>
      <c r="F74" s="191" t="str">
        <f t="shared" si="41"/>
        <v>Electricity Ashburton</v>
      </c>
      <c r="G74" s="193">
        <f>INDEX(Outputs!$B$20:$S$45,MATCH(9,Outputs!$B$20:$B$45,0),MATCH(F74,Outputs!$B$20:$S$20,0))</f>
        <v>6.4917042851448059E-2</v>
      </c>
      <c r="H74" s="193">
        <f t="shared" si="39"/>
        <v>3.686875104904157E-3</v>
      </c>
      <c r="I74" s="193">
        <f t="shared" si="42"/>
        <v>6.860391795635222E-2</v>
      </c>
      <c r="J74" s="191" t="str">
        <f t="shared" si="43"/>
        <v>Electricity Ashburton</v>
      </c>
      <c r="K74" s="193">
        <f t="shared" si="44"/>
        <v>-8.2829571485519421E-3</v>
      </c>
      <c r="M74" s="191">
        <f t="shared" si="37"/>
        <v>19</v>
      </c>
      <c r="N74" s="191" t="s">
        <v>39</v>
      </c>
      <c r="O74" s="191" t="s">
        <v>209</v>
      </c>
      <c r="P74" s="192">
        <f>INDEX(Outputs!$A$8:$AH$17,MATCH(N$48,Outputs!$A$8:$A$17,0),MATCH(N74,Outputs!$A$8:$AH$8,0))*100</f>
        <v>6.4597216248512277</v>
      </c>
      <c r="Q74" s="191">
        <v>26</v>
      </c>
      <c r="R74" s="191" t="str">
        <f t="shared" si="29"/>
        <v>Buller Electricity</v>
      </c>
      <c r="S74" s="192">
        <f>IF(VLOOKUP(R74,$N$49:$O$78,2,FALSE)="DPP",INDEX(Outputs!$A$8:$AH$17,MATCH(N$48,Outputs!$A$8:$A$17,0),MATCH(R74,Outputs!$A$8:$AH$8,0))*100,0)</f>
        <v>0</v>
      </c>
      <c r="T74" s="192">
        <f>IF(VLOOKUP(R74,$N$49:$O$78,2,FALSE)="ID",INDEX(Outputs!$A$8:$AH$17,MATCH(N$48,Outputs!$A$8:$A$17,0),MATCH(R74,Outputs!$A$8:$AH$8,0))*100,0)</f>
        <v>4.5875385403633118</v>
      </c>
      <c r="U74" s="192">
        <f>IF(VLOOKUP(R74,$N$49:$O$78,2,FALSE)="CPP",INDEX(Outputs!$A$8:$AH$17,MATCH(N$48,Outputs!$A$8:$A$17,0),MATCH(R74,Outputs!$A$8:$AH$8,0))*100,0)</f>
        <v>0</v>
      </c>
      <c r="AD74" s="191">
        <f t="shared" si="31"/>
        <v>12</v>
      </c>
      <c r="AE74" s="191" t="s">
        <v>39</v>
      </c>
      <c r="AF74" s="192">
        <f>INDEX(Outputs!$A$8:$AH$17,MATCH(AF$48,Outputs!$A$8:$A$17,0),MATCH(AE74,Outputs!$A$8:$AH$8,0))*100</f>
        <v>7.0564666390418997</v>
      </c>
      <c r="AG74" s="191">
        <v>26</v>
      </c>
      <c r="AH74" s="191" t="str">
        <f t="shared" si="32"/>
        <v>Wellington Electricity</v>
      </c>
      <c r="AI74" s="192">
        <f>INDEX(Outputs!$A$8:$AH$17,MATCH(AF$48,Outputs!$A$8:$A$17,0),MATCH(AH74,Outputs!$A$8:$AH$8,0))*100</f>
        <v>8.2492747902870178</v>
      </c>
      <c r="AJ74" s="4"/>
      <c r="AK74" s="4"/>
      <c r="AL74" s="4"/>
      <c r="AM74" s="4"/>
      <c r="AN74" s="4"/>
      <c r="AO74" s="4"/>
      <c r="AP74" s="4"/>
      <c r="AS74" s="1" t="s">
        <v>154</v>
      </c>
      <c r="AT74" s="211">
        <f>MAX('Chart data'!AT49:$AT$64)</f>
        <v>8.2522490620613106E-2</v>
      </c>
      <c r="AU74" s="211">
        <f>MAX('Chart data'!$AU49:AU$64)</f>
        <v>9.3586054444313033E-2</v>
      </c>
      <c r="AV74" s="211">
        <f>MAX('Chart data'!$AV49:AV$64)</f>
        <v>8.3713665604591397E-2</v>
      </c>
      <c r="AZ74" s="191" t="s">
        <v>37</v>
      </c>
      <c r="BA74" s="100"/>
      <c r="BB74" s="100">
        <f>INDEX(Outputs!$C$16:$AH$16,MATCH($AZ74,Outputs!$C$8:$AH$8,0))</f>
        <v>4.8088034987449638E-2</v>
      </c>
    </row>
    <row r="75" spans="2:54" x14ac:dyDescent="0.25">
      <c r="B75" s="191">
        <f t="shared" si="40"/>
        <v>1</v>
      </c>
      <c r="C75" s="191" t="s">
        <v>109</v>
      </c>
      <c r="D75" s="192">
        <f>INDEX(Outputs!$B$20:$S$45,MATCH(9,Outputs!$B$20:$B$45,0),MATCH(C75,Outputs!$B$20:$S$20,0))*100</f>
        <v>8.2150527834892308</v>
      </c>
      <c r="E75" s="191">
        <v>9</v>
      </c>
      <c r="F75" s="191" t="str">
        <f t="shared" si="41"/>
        <v>Unison Networks</v>
      </c>
      <c r="G75" s="193">
        <f>INDEX(Outputs!$B$20:$S$45,MATCH(9,Outputs!$B$20:$B$45,0),MATCH(F75,Outputs!$B$20:$S$20,0))</f>
        <v>6.4868494868278503E-2</v>
      </c>
      <c r="H75" s="193">
        <f t="shared" si="39"/>
        <v>2.9656112194061369E-3</v>
      </c>
      <c r="I75" s="193">
        <f t="shared" si="42"/>
        <v>6.7834106087684642E-2</v>
      </c>
      <c r="J75" s="191" t="str">
        <f t="shared" si="43"/>
        <v>Unison Networks</v>
      </c>
      <c r="K75" s="193">
        <f t="shared" si="44"/>
        <v>-8.3315051317214978E-3</v>
      </c>
      <c r="M75" s="191">
        <f t="shared" si="37"/>
        <v>14</v>
      </c>
      <c r="N75" s="191" t="s">
        <v>38</v>
      </c>
      <c r="O75" s="191" t="s">
        <v>209</v>
      </c>
      <c r="P75" s="192">
        <f>INDEX(Outputs!$A$8:$AH$17,MATCH(N$48,Outputs!$A$8:$A$17,0),MATCH(N75,Outputs!$A$8:$AH$8,0))*100</f>
        <v>6.8549028038978568</v>
      </c>
      <c r="Q75" s="191">
        <v>27</v>
      </c>
      <c r="R75" s="191" t="str">
        <f t="shared" si="29"/>
        <v>Network Waitaki</v>
      </c>
      <c r="S75" s="192">
        <f>IF(VLOOKUP(R75,$N$49:$O$78,2,FALSE)="DPP",INDEX(Outputs!$A$8:$AH$17,MATCH(N$48,Outputs!$A$8:$A$17,0),MATCH(R75,Outputs!$A$8:$AH$8,0))*100,0)</f>
        <v>0</v>
      </c>
      <c r="T75" s="192">
        <f>IF(VLOOKUP(R75,$N$49:$O$78,2,FALSE)="ID",INDEX(Outputs!$A$8:$AH$17,MATCH(N$48,Outputs!$A$8:$A$17,0),MATCH(R75,Outputs!$A$8:$AH$8,0))*100,0)</f>
        <v>3.9169111847877525</v>
      </c>
      <c r="U75" s="192">
        <f>IF(VLOOKUP(R75,$N$49:$O$78,2,FALSE)="CPP",INDEX(Outputs!$A$8:$AH$17,MATCH(N$48,Outputs!$A$8:$A$17,0),MATCH(R75,Outputs!$A$8:$AH$8,0))*100,0)</f>
        <v>0</v>
      </c>
      <c r="AD75" s="191">
        <f t="shared" si="31"/>
        <v>20</v>
      </c>
      <c r="AE75" s="191" t="s">
        <v>38</v>
      </c>
      <c r="AF75" s="192">
        <f>INDEX(Outputs!$A$8:$AH$17,MATCH(AF$48,Outputs!$A$8:$A$17,0),MATCH(AE75,Outputs!$A$8:$AH$8,0))*100</f>
        <v>7.3428377509117144</v>
      </c>
      <c r="AG75" s="191">
        <v>27</v>
      </c>
      <c r="AH75" s="191" t="str">
        <f t="shared" si="32"/>
        <v>Scanpower</v>
      </c>
      <c r="AI75" s="192">
        <f>INDEX(Outputs!$A$8:$AH$17,MATCH(AF$48,Outputs!$A$8:$A$17,0),MATCH(AH75,Outputs!$A$8:$AH$8,0))*100</f>
        <v>8.4839573502540588</v>
      </c>
      <c r="AJ75" s="4"/>
      <c r="AK75" s="4"/>
      <c r="AL75" s="4"/>
      <c r="AM75" s="4"/>
      <c r="AN75" s="4"/>
      <c r="AO75" s="4"/>
      <c r="AP75" s="4"/>
      <c r="AS75" s="1" t="s">
        <v>174</v>
      </c>
      <c r="AT75" s="211">
        <f>AT71</f>
        <v>5.6029067933559412E-2</v>
      </c>
      <c r="AU75" s="211">
        <f>AU71</f>
        <v>6.74729123711586E-2</v>
      </c>
      <c r="AV75" s="211">
        <f>AV71</f>
        <v>6.4281469583511358E-2</v>
      </c>
      <c r="AZ75" s="191" t="s">
        <v>38</v>
      </c>
      <c r="BA75" s="100"/>
      <c r="BB75" s="100">
        <f>INDEX(Outputs!$C$16:$AH$16,MATCH($AZ75,Outputs!$C$8:$AH$8,0))</f>
        <v>6.8549028038978568E-2</v>
      </c>
    </row>
    <row r="76" spans="2:54" x14ac:dyDescent="0.25">
      <c r="B76" s="191">
        <f t="shared" si="40"/>
        <v>5</v>
      </c>
      <c r="C76" s="191" t="s">
        <v>110</v>
      </c>
      <c r="D76" s="192">
        <f>INDEX(Outputs!$B$20:$S$45,MATCH(9,Outputs!$B$20:$B$45,0),MATCH(C76,Outputs!$B$20:$S$20,0))*100</f>
        <v>7.1564164757728577</v>
      </c>
      <c r="E76" s="191">
        <v>10</v>
      </c>
      <c r="F76" s="191" t="str">
        <f t="shared" si="41"/>
        <v>Electricity Invercargill</v>
      </c>
      <c r="G76" s="193">
        <f>INDEX(Outputs!$B$20:$S$45,MATCH(9,Outputs!$B$20:$B$45,0),MATCH(F76,Outputs!$B$20:$S$20,0))</f>
        <v>6.4339944720268258E-2</v>
      </c>
      <c r="H76" s="193">
        <f t="shared" si="39"/>
        <v>3.0824303627014073E-3</v>
      </c>
      <c r="I76" s="193">
        <f t="shared" si="42"/>
        <v>6.7422375082969666E-2</v>
      </c>
      <c r="J76" s="191" t="str">
        <f t="shared" si="43"/>
        <v>Electricity Invercargill</v>
      </c>
      <c r="K76" s="193">
        <f t="shared" si="44"/>
        <v>-8.8600552797317433E-3</v>
      </c>
      <c r="M76" s="191">
        <f t="shared" si="37"/>
        <v>5</v>
      </c>
      <c r="N76" s="191" t="s">
        <v>113</v>
      </c>
      <c r="O76" s="191" t="s">
        <v>415</v>
      </c>
      <c r="P76" s="192">
        <f>INDEX(Outputs!$A$8:$AH$17,MATCH(N$48,Outputs!$A$8:$A$17,0),MATCH(N76,Outputs!$A$8:$AH$8,0))*100</f>
        <v>8.0735775828361511</v>
      </c>
      <c r="Q76" s="191">
        <v>28</v>
      </c>
      <c r="R76" s="191" t="str">
        <f t="shared" si="29"/>
        <v>Westpower</v>
      </c>
      <c r="S76" s="192">
        <f>IF(VLOOKUP(R76,$N$49:$O$78,2,FALSE)="DPP",INDEX(Outputs!$A$8:$AH$17,MATCH(N$48,Outputs!$A$8:$A$17,0),MATCH(R76,Outputs!$A$8:$AH$8,0))*100,0)</f>
        <v>0</v>
      </c>
      <c r="T76" s="192">
        <f>IF(VLOOKUP(R76,$N$49:$O$78,2,FALSE)="ID",INDEX(Outputs!$A$8:$AH$17,MATCH(N$48,Outputs!$A$8:$A$17,0),MATCH(R76,Outputs!$A$8:$AH$8,0))*100,0)</f>
        <v>3.4027919173240662</v>
      </c>
      <c r="U76" s="192">
        <f>IF(VLOOKUP(R76,$N$49:$O$78,2,FALSE)="CPP",INDEX(Outputs!$A$8:$AH$17,MATCH(N$48,Outputs!$A$8:$A$17,0),MATCH(R76,Outputs!$A$8:$AH$8,0))*100,0)</f>
        <v>0</v>
      </c>
      <c r="AD76" s="191">
        <f t="shared" si="31"/>
        <v>26</v>
      </c>
      <c r="AE76" s="191" t="s">
        <v>113</v>
      </c>
      <c r="AF76" s="192">
        <f>INDEX(Outputs!$A$8:$AH$17,MATCH(AF$48,Outputs!$A$8:$A$17,0),MATCH(AE76,Outputs!$A$8:$AH$8,0))*100</f>
        <v>8.2492747902870178</v>
      </c>
      <c r="AG76" s="191">
        <v>28</v>
      </c>
      <c r="AH76" s="191" t="str">
        <f t="shared" si="32"/>
        <v>Electra</v>
      </c>
      <c r="AI76" s="192">
        <f>INDEX(Outputs!$A$8:$AH$17,MATCH(AF$48,Outputs!$A$8:$A$17,0),MATCH(AH76,Outputs!$A$8:$AH$8,0))*100</f>
        <v>8.5508713126182556</v>
      </c>
      <c r="AJ76" s="4"/>
      <c r="AK76" s="4"/>
      <c r="AL76" s="4"/>
      <c r="AM76" s="4"/>
      <c r="AN76" s="4"/>
      <c r="AO76" s="4"/>
      <c r="AP76" s="4"/>
      <c r="AS76" s="1" t="s">
        <v>175</v>
      </c>
      <c r="AT76" s="211">
        <f t="shared" ref="AT76:AV77" si="45">AT72-AT71</f>
        <v>1.0709272325038932E-2</v>
      </c>
      <c r="AU76" s="211">
        <f t="shared" si="45"/>
        <v>2.8343304991722135E-3</v>
      </c>
      <c r="AV76" s="211">
        <f t="shared" si="45"/>
        <v>3.9375424385070801E-3</v>
      </c>
      <c r="AZ76" s="191" t="s">
        <v>39</v>
      </c>
      <c r="BA76" s="100"/>
      <c r="BB76" s="100">
        <f>INDEX(Outputs!$C$16:$AH$16,MATCH($AZ76,Outputs!$C$8:$AH$8,0))</f>
        <v>6.4597216248512279E-2</v>
      </c>
    </row>
    <row r="77" spans="2:54" x14ac:dyDescent="0.25">
      <c r="B77" s="191">
        <f t="shared" si="40"/>
        <v>6</v>
      </c>
      <c r="C77" s="191" t="s">
        <v>111</v>
      </c>
      <c r="D77" s="192">
        <f>INDEX(Outputs!$B$20:$S$45,MATCH(9,Outputs!$B$20:$B$45,0),MATCH(C77,Outputs!$B$20:$S$20,0))*100</f>
        <v>6.8571266531944275</v>
      </c>
      <c r="E77" s="191">
        <v>11</v>
      </c>
      <c r="F77" s="191" t="str">
        <f t="shared" si="41"/>
        <v>Horizon Energy</v>
      </c>
      <c r="G77" s="193">
        <f>INDEX(Outputs!$B$20:$S$45,MATCH(9,Outputs!$B$20:$B$45,0),MATCH(F77,Outputs!$B$20:$S$20,0))</f>
        <v>6.2577810883522017E-2</v>
      </c>
      <c r="H77" s="193">
        <f t="shared" si="39"/>
        <v>2.9716908931732445E-3</v>
      </c>
      <c r="I77" s="193">
        <f t="shared" si="42"/>
        <v>6.554950177669526E-2</v>
      </c>
      <c r="J77" s="191" t="str">
        <f t="shared" si="43"/>
        <v>Horizon Energy</v>
      </c>
      <c r="K77" s="193">
        <f t="shared" si="44"/>
        <v>-1.0622189116477984E-2</v>
      </c>
      <c r="M77" s="191">
        <f t="shared" si="37"/>
        <v>28</v>
      </c>
      <c r="N77" s="191" t="s">
        <v>40</v>
      </c>
      <c r="O77" s="191" t="s">
        <v>209</v>
      </c>
      <c r="P77" s="192">
        <f>INDEX(Outputs!$A$8:$AH$17,MATCH(N$48,Outputs!$A$8:$A$17,0),MATCH(N77,Outputs!$A$8:$AH$8,0))*100</f>
        <v>3.4027919173240662</v>
      </c>
      <c r="Q77" s="191">
        <v>29</v>
      </c>
      <c r="R77" s="191" t="str">
        <f t="shared" si="29"/>
        <v>Marlborough Lines</v>
      </c>
      <c r="S77" s="192">
        <f>IF(VLOOKUP(R77,$N$49:$O$78,2,FALSE)="DPP",INDEX(Outputs!$A$8:$AH$17,MATCH(N$48,Outputs!$A$8:$A$17,0),MATCH(R77,Outputs!$A$8:$AH$8,0))*100,0)</f>
        <v>0</v>
      </c>
      <c r="T77" s="192">
        <f>IF(VLOOKUP(R77,$N$49:$O$78,2,FALSE)="ID",INDEX(Outputs!$A$8:$AH$17,MATCH(N$48,Outputs!$A$8:$A$17,0),MATCH(R77,Outputs!$A$8:$AH$8,0))*100,0)</f>
        <v>2.643084824085236</v>
      </c>
      <c r="U77" s="192">
        <f>IF(VLOOKUP(R77,$N$49:$O$78,2,FALSE)="CPP",INDEX(Outputs!$A$8:$AH$17,MATCH(N$48,Outputs!$A$8:$A$17,0),MATCH(R77,Outputs!$A$8:$AH$8,0))*100,0)</f>
        <v>0</v>
      </c>
      <c r="AD77" s="191">
        <f t="shared" si="31"/>
        <v>2</v>
      </c>
      <c r="AE77" s="191" t="s">
        <v>40</v>
      </c>
      <c r="AF77" s="192">
        <f>INDEX(Outputs!$A$8:$AH$17,MATCH(AF$48,Outputs!$A$8:$A$17,0),MATCH(AE77,Outputs!$A$8:$AH$8,0))*100</f>
        <v>4.0842458605766314</v>
      </c>
      <c r="AG77" s="191">
        <v>29</v>
      </c>
      <c r="AH77" s="191" t="str">
        <f t="shared" si="32"/>
        <v>Network Tasman</v>
      </c>
      <c r="AI77" s="192">
        <f>INDEX(Outputs!$A$8:$AH$17,MATCH(AF$48,Outputs!$A$8:$A$17,0),MATCH(AH77,Outputs!$A$8:$AH$8,0))*100</f>
        <v>8.6241123080253619</v>
      </c>
      <c r="AJ77" s="4"/>
      <c r="AK77" s="4"/>
      <c r="AL77" s="4"/>
      <c r="AM77" s="4"/>
      <c r="AN77" s="4"/>
      <c r="AO77" s="4"/>
      <c r="AP77" s="4"/>
      <c r="AS77" s="1" t="s">
        <v>176</v>
      </c>
      <c r="AT77" s="211">
        <f t="shared" si="45"/>
        <v>6.2482193112373269E-3</v>
      </c>
      <c r="AU77" s="211">
        <f t="shared" si="45"/>
        <v>5.5911660194397084E-3</v>
      </c>
      <c r="AV77" s="211">
        <f t="shared" si="45"/>
        <v>6.9086328148841997E-3</v>
      </c>
      <c r="AZ77" s="191" t="s">
        <v>40</v>
      </c>
      <c r="BA77" s="100"/>
      <c r="BB77" s="100">
        <f>INDEX(Outputs!$C$16:$AH$16,MATCH($AZ77,Outputs!$C$8:$AH$8,0))</f>
        <v>3.4027919173240662E-2</v>
      </c>
    </row>
    <row r="78" spans="2:54" x14ac:dyDescent="0.25">
      <c r="B78" s="191">
        <f t="shared" si="40"/>
        <v>16</v>
      </c>
      <c r="C78" s="191" t="s">
        <v>6</v>
      </c>
      <c r="D78" s="192">
        <f>INDEX(Outputs!$B$20:$S$45,MATCH(9,Outputs!$B$20:$B$45,0),MATCH(C78,Outputs!$B$20:$S$20,0))*100</f>
        <v>4.9885013699531546</v>
      </c>
      <c r="E78" s="191">
        <v>12</v>
      </c>
      <c r="F78" s="191" t="str">
        <f t="shared" si="41"/>
        <v>Aurora Energy</v>
      </c>
      <c r="G78" s="193">
        <f>INDEX(Outputs!$B$20:$S$45,MATCH(9,Outputs!$B$20:$B$45,0),MATCH(F78,Outputs!$B$20:$S$20,0))</f>
        <v>6.175639331340789E-2</v>
      </c>
      <c r="H78" s="193">
        <f t="shared" si="39"/>
        <v>3.4210801124572843E-3</v>
      </c>
      <c r="I78" s="193">
        <f t="shared" si="42"/>
        <v>6.5177473425865176E-2</v>
      </c>
      <c r="J78" s="191" t="str">
        <f t="shared" si="43"/>
        <v>Aurora Energy</v>
      </c>
      <c r="K78" s="193">
        <f t="shared" si="44"/>
        <v>-1.1443606686592112E-2</v>
      </c>
      <c r="M78" s="134"/>
      <c r="N78" s="134"/>
      <c r="P78" s="134"/>
      <c r="Q78" s="134"/>
      <c r="R78" s="134"/>
      <c r="S78" s="134"/>
      <c r="T78" s="134"/>
      <c r="U78" s="134"/>
      <c r="AD78" s="191">
        <f t="shared" si="31"/>
        <v>17</v>
      </c>
      <c r="AE78" s="191" t="s">
        <v>158</v>
      </c>
      <c r="AF78" s="192">
        <f>INDEX(Outputs!$A$8:$AH$17,MATCH(AF$48,Outputs!$A$8:$A$17,0),MATCH(AE78,Outputs!$A$8:$AH$8,0))*100</f>
        <v>7.2520026564598092</v>
      </c>
      <c r="AG78" s="191">
        <v>30</v>
      </c>
      <c r="AH78" s="191" t="str">
        <f t="shared" si="32"/>
        <v>Nelson Electricity</v>
      </c>
      <c r="AI78" s="192">
        <f>INDEX(Outputs!$A$8:$AH$17,MATCH(AF$48,Outputs!$A$8:$A$17,0),MATCH(AH78,Outputs!$A$8:$AH$8,0))*100</f>
        <v>9.2148515582084656</v>
      </c>
      <c r="AJ78" s="4"/>
      <c r="AK78" s="4"/>
      <c r="AL78" s="4"/>
      <c r="AM78" s="4"/>
      <c r="AN78" s="4"/>
      <c r="AO78" s="4"/>
      <c r="AP78" s="4"/>
      <c r="AS78" s="1" t="s">
        <v>177</v>
      </c>
      <c r="AT78" s="211">
        <f>AT71-AT70</f>
        <v>2.2509600222110737E-2</v>
      </c>
      <c r="AU78" s="211">
        <f>AU71-AU70</f>
        <v>1.0151807963848111E-2</v>
      </c>
      <c r="AV78" s="211">
        <f>AV71-AV70</f>
        <v>1.0990169644355771E-2</v>
      </c>
      <c r="AZ78" s="134"/>
    </row>
    <row r="79" spans="2:54" x14ac:dyDescent="0.25">
      <c r="B79" s="191">
        <f t="shared" si="40"/>
        <v>14</v>
      </c>
      <c r="C79" s="191" t="s">
        <v>112</v>
      </c>
      <c r="D79" s="192">
        <f>INDEX(Outputs!$B$20:$S$45,MATCH(9,Outputs!$B$20:$B$45,0),MATCH(C79,Outputs!$B$20:$S$20,0))*100</f>
        <v>5.4526272416114807</v>
      </c>
      <c r="E79" s="191">
        <v>13</v>
      </c>
      <c r="F79" s="191" t="str">
        <f t="shared" si="41"/>
        <v>Eastland Network</v>
      </c>
      <c r="G79" s="193">
        <f>INDEX(Outputs!$B$20:$S$45,MATCH(9,Outputs!$B$20:$B$45,0),MATCH(F79,Outputs!$B$20:$S$20,0))</f>
        <v>5.8199992775917059E-2</v>
      </c>
      <c r="H79" s="193">
        <f t="shared" si="39"/>
        <v>3.3934652805328457E-3</v>
      </c>
      <c r="I79" s="193">
        <f t="shared" si="42"/>
        <v>6.1593458056449904E-2</v>
      </c>
      <c r="J79" s="191" t="str">
        <f t="shared" si="43"/>
        <v>Eastland Network</v>
      </c>
      <c r="K79" s="193">
        <f t="shared" si="44"/>
        <v>-1.5000007224082942E-2</v>
      </c>
      <c r="W79" s="134"/>
      <c r="AS79" s="1" t="s">
        <v>178</v>
      </c>
      <c r="AT79" s="211">
        <f>AT74-AT73</f>
        <v>9.5359310507774353E-3</v>
      </c>
      <c r="AU79" s="211">
        <f>AU74-AU73</f>
        <v>1.7687645554542511E-2</v>
      </c>
      <c r="AV79" s="211">
        <f>AV74-AV73</f>
        <v>8.5860207676887595E-3</v>
      </c>
      <c r="AZ79" s="134"/>
    </row>
    <row r="80" spans="2:54" x14ac:dyDescent="0.25">
      <c r="B80" s="191">
        <f t="shared" si="40"/>
        <v>9</v>
      </c>
      <c r="C80" s="191" t="s">
        <v>473</v>
      </c>
      <c r="D80" s="192">
        <f>INDEX(Outputs!$B$20:$S$45,MATCH(9,Outputs!$B$20:$B$45,0),MATCH(C80,Outputs!$B$20:$S$20,0))*100</f>
        <v>6.4868494868278503</v>
      </c>
      <c r="E80" s="191">
        <v>14</v>
      </c>
      <c r="F80" s="191" t="str">
        <f t="shared" si="41"/>
        <v>Top Energy</v>
      </c>
      <c r="G80" s="193">
        <f>INDEX(Outputs!$B$20:$S$45,MATCH(9,Outputs!$B$20:$B$45,0),MATCH(F80,Outputs!$B$20:$S$20,0))</f>
        <v>5.452627241611481E-2</v>
      </c>
      <c r="H80" s="193">
        <f t="shared" si="39"/>
        <v>3.9605796337127686E-3</v>
      </c>
      <c r="I80" s="193">
        <f t="shared" si="42"/>
        <v>5.8486852049827578E-2</v>
      </c>
      <c r="J80" s="191" t="str">
        <f t="shared" si="43"/>
        <v>Top Energy</v>
      </c>
      <c r="K80" s="193">
        <f t="shared" si="44"/>
        <v>-1.8673727583885191E-2</v>
      </c>
      <c r="W80" s="134"/>
      <c r="AS80" s="1" t="s">
        <v>179</v>
      </c>
      <c r="AT80" s="1">
        <v>0.5</v>
      </c>
      <c r="AU80" s="1">
        <v>1.5</v>
      </c>
      <c r="AV80" s="1">
        <v>1.5</v>
      </c>
      <c r="AZ80" s="1" t="s">
        <v>168</v>
      </c>
      <c r="BA80" s="1">
        <f>COUNT('Chart data'!BA49:BA77)</f>
        <v>16</v>
      </c>
      <c r="BB80" s="1">
        <f>COUNT('Chart data'!BB49:BB77)</f>
        <v>12</v>
      </c>
    </row>
    <row r="81" spans="2:54" x14ac:dyDescent="0.25">
      <c r="B81" s="191">
        <f t="shared" si="40"/>
        <v>7</v>
      </c>
      <c r="C81" s="191" t="s">
        <v>472</v>
      </c>
      <c r="D81" s="192">
        <f>INDEX(Outputs!$B$20:$S$45,MATCH(9,Outputs!$B$20:$B$45,0),MATCH(C81,Outputs!$B$20:$S$20,0))*100</f>
        <v>6.7197403311729449</v>
      </c>
      <c r="E81" s="191">
        <v>15</v>
      </c>
      <c r="F81" s="191" t="str">
        <f t="shared" si="41"/>
        <v>Centralines</v>
      </c>
      <c r="G81" s="193">
        <f>INDEX(Outputs!$B$20:$S$45,MATCH(9,Outputs!$B$20:$B$45,0),MATCH(F81,Outputs!$B$20:$S$20,0))</f>
        <v>5.1118347048759463E-2</v>
      </c>
      <c r="H81" s="193">
        <f t="shared" si="39"/>
        <v>3.916549682617179E-3</v>
      </c>
      <c r="I81" s="193">
        <f t="shared" si="42"/>
        <v>5.503489673137664E-2</v>
      </c>
      <c r="J81" s="191" t="str">
        <f t="shared" si="43"/>
        <v>Centralines</v>
      </c>
      <c r="K81" s="193">
        <f t="shared" si="44"/>
        <v>-2.2081652951240538E-2</v>
      </c>
      <c r="W81" s="134"/>
      <c r="AZ81" s="1" t="s">
        <v>169</v>
      </c>
      <c r="BA81" s="211">
        <f>AVERAGE('Chart data'!BA49:BA77)</f>
        <v>6.895205155014994E-2</v>
      </c>
      <c r="BB81" s="211">
        <f>AVERAGE('Chart data'!BB49:BB77)</f>
        <v>5.9476130207379664E-2</v>
      </c>
    </row>
    <row r="82" spans="2:54" x14ac:dyDescent="0.25">
      <c r="B82" s="191">
        <f t="shared" si="40"/>
        <v>3</v>
      </c>
      <c r="C82" s="191" t="s">
        <v>113</v>
      </c>
      <c r="D82" s="192">
        <f>INDEX(Outputs!$B$20:$S$45,MATCH(9,Outputs!$B$20:$B$45,0),MATCH(C82,Outputs!$B$20:$S$20,0))*100</f>
        <v>7.8780016303062457</v>
      </c>
      <c r="E82" s="191">
        <v>16</v>
      </c>
      <c r="F82" s="191" t="str">
        <f t="shared" si="41"/>
        <v>The Lines Company</v>
      </c>
      <c r="G82" s="193">
        <f>INDEX(Outputs!$B$20:$S$45,MATCH(9,Outputs!$B$20:$B$45,0),MATCH(F82,Outputs!$B$20:$S$20,0))</f>
        <v>4.988501369953155E-2</v>
      </c>
      <c r="H82" s="193">
        <f t="shared" si="39"/>
        <v>3.4062862396240412E-3</v>
      </c>
      <c r="I82" s="193">
        <f t="shared" si="42"/>
        <v>5.3291299939155594E-2</v>
      </c>
      <c r="J82" s="191" t="str">
        <f t="shared" si="43"/>
        <v>The Lines Company</v>
      </c>
      <c r="K82" s="193">
        <f t="shared" si="44"/>
        <v>-2.3314986300468452E-2</v>
      </c>
      <c r="W82" s="134"/>
      <c r="AZ82" s="1" t="s">
        <v>170</v>
      </c>
      <c r="BA82" s="211">
        <f>STDEV('Chart data'!BA49:BA77)</f>
        <v>9.2140638631939484E-3</v>
      </c>
      <c r="BB82" s="211">
        <f>STDEV('Chart data'!BB49:BB77)</f>
        <v>2.0413011743467147E-2</v>
      </c>
    </row>
    <row r="83" spans="2:54" x14ac:dyDescent="0.25">
      <c r="W83" s="134"/>
      <c r="AZ83" s="1" t="s">
        <v>153</v>
      </c>
      <c r="BA83" s="211">
        <f>MIN('Chart data'!BA49:BA77)</f>
        <v>5.3291299939155587E-2</v>
      </c>
      <c r="BB83" s="211">
        <f>MIN('Chart data'!BB49:BB77)</f>
        <v>2.6430848240852359E-2</v>
      </c>
    </row>
    <row r="84" spans="2:54" x14ac:dyDescent="0.25">
      <c r="B84" s="113" t="s">
        <v>586</v>
      </c>
      <c r="AZ84" s="1" t="s">
        <v>171</v>
      </c>
      <c r="BA84" s="211">
        <f>QUARTILE('Chart data'!BA49:BA77,1)</f>
        <v>6.4281469583511358E-2</v>
      </c>
      <c r="BB84" s="211">
        <f>QUARTILE('Chart data'!BB49:BB77,1)</f>
        <v>4.4198817014694219E-2</v>
      </c>
    </row>
    <row r="85" spans="2:54" x14ac:dyDescent="0.25">
      <c r="AZ85" s="1" t="s">
        <v>172</v>
      </c>
      <c r="BA85" s="211">
        <f>MEDIAN('Chart data'!BA49:BA77)</f>
        <v>6.8219012022018438E-2</v>
      </c>
      <c r="BB85" s="211">
        <f>MEDIAN('Chart data'!BB49:BB77)</f>
        <v>6.3104873895645147E-2</v>
      </c>
    </row>
    <row r="86" spans="2:54" x14ac:dyDescent="0.25">
      <c r="AZ86" s="1" t="s">
        <v>173</v>
      </c>
      <c r="BA86" s="211">
        <f>QUARTILE('Chart data'!BA49:BA77,3)</f>
        <v>7.5127644836902638E-2</v>
      </c>
      <c r="BB86" s="211">
        <f>QUARTILE('Chart data'!BB49:BB77,3)</f>
        <v>7.6127108931541454E-2</v>
      </c>
    </row>
    <row r="87" spans="2:54" x14ac:dyDescent="0.25">
      <c r="AZ87" s="1" t="s">
        <v>154</v>
      </c>
      <c r="BA87" s="211">
        <f>MAX('Chart data'!BA49:BA77)</f>
        <v>8.3713665604591397E-2</v>
      </c>
      <c r="BB87" s="211">
        <f>MAX('Chart data'!BB49:BB77)</f>
        <v>8.6973342299461381E-2</v>
      </c>
    </row>
    <row r="88" spans="2:54" x14ac:dyDescent="0.25">
      <c r="AZ88" s="1" t="s">
        <v>174</v>
      </c>
      <c r="BA88" s="211">
        <f>BA84</f>
        <v>6.4281469583511358E-2</v>
      </c>
      <c r="BB88" s="211">
        <f>BB84</f>
        <v>4.4198817014694219E-2</v>
      </c>
    </row>
    <row r="89" spans="2:54" x14ac:dyDescent="0.25">
      <c r="AZ89" s="1" t="s">
        <v>175</v>
      </c>
      <c r="BA89" s="211">
        <f>BA85-BA84</f>
        <v>3.9375424385070801E-3</v>
      </c>
      <c r="BB89" s="211">
        <f>BB85-BB84</f>
        <v>1.8906056880950928E-2</v>
      </c>
    </row>
    <row r="90" spans="2:54" x14ac:dyDescent="0.25">
      <c r="AZ90" s="1" t="s">
        <v>176</v>
      </c>
      <c r="BA90" s="211">
        <f>BA86-BA85</f>
        <v>6.9086328148841997E-3</v>
      </c>
      <c r="BB90" s="211">
        <f>BB86-BB85</f>
        <v>1.3022235035896307E-2</v>
      </c>
    </row>
    <row r="91" spans="2:54" x14ac:dyDescent="0.25">
      <c r="AZ91" s="1" t="s">
        <v>177</v>
      </c>
      <c r="BA91" s="211">
        <f>BA84-BA83</f>
        <v>1.0990169644355771E-2</v>
      </c>
      <c r="BB91" s="211">
        <f>BB84-BB83</f>
        <v>1.7767968773841861E-2</v>
      </c>
    </row>
    <row r="92" spans="2:54" x14ac:dyDescent="0.25">
      <c r="AZ92" s="1" t="s">
        <v>178</v>
      </c>
      <c r="BA92" s="211">
        <f>BA87-BA86</f>
        <v>8.5860207676887595E-3</v>
      </c>
      <c r="BB92" s="211">
        <f>BB87-BB86</f>
        <v>1.0846233367919927E-2</v>
      </c>
    </row>
    <row r="93" spans="2:54" x14ac:dyDescent="0.25">
      <c r="AZ93" s="1" t="s">
        <v>179</v>
      </c>
      <c r="BA93" s="1">
        <v>0.5</v>
      </c>
      <c r="BB93" s="1">
        <v>1.5</v>
      </c>
    </row>
  </sheetData>
  <sortState ref="V5:X20">
    <sortCondition descending="1" ref="V4"/>
  </sortState>
  <mergeCells count="1">
    <mergeCell ref="AS26:AT26"/>
  </mergeCells>
  <pageMargins left="0.70866141732283472" right="0.70866141732283472" top="0.74803149606299213" bottom="0.74803149606299213" header="0.31496062992125984" footer="0.31496062992125984"/>
  <pageSetup paperSize="8" scale="40" fitToHeight="0" orientation="landscape" r:id="rId1"/>
  <headerFooter>
    <oddFooter>&amp;L&amp;F&amp;C&amp;A&amp;R&amp;P</oddFoot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2" tint="0.79998168889431442"/>
    <pageSetUpPr fitToPage="1"/>
  </sheetPr>
  <dimension ref="A1:G105"/>
  <sheetViews>
    <sheetView showGridLines="0" view="pageBreakPreview" zoomScaleNormal="100" zoomScaleSheetLayoutView="100" workbookViewId="0"/>
  </sheetViews>
  <sheetFormatPr defaultRowHeight="15" x14ac:dyDescent="0.25"/>
  <cols>
    <col min="1" max="1" width="9.140625" style="4"/>
    <col min="2" max="5" width="47.7109375" style="4" customWidth="1"/>
    <col min="6" max="7" width="47.85546875" style="4" customWidth="1"/>
    <col min="8" max="8" width="2.7109375" style="4" customWidth="1"/>
    <col min="9" max="16384" width="9.140625" style="4"/>
  </cols>
  <sheetData>
    <row r="1" spans="1:7" ht="26.25" x14ac:dyDescent="0.25">
      <c r="A1" s="37" t="s">
        <v>592</v>
      </c>
    </row>
    <row r="3" spans="1:7" ht="21" x14ac:dyDescent="0.35">
      <c r="A3" s="99"/>
      <c r="B3" s="99" t="s">
        <v>423</v>
      </c>
      <c r="C3" s="99" t="s">
        <v>408</v>
      </c>
      <c r="D3" s="99" t="s">
        <v>424</v>
      </c>
      <c r="E3" s="99" t="s">
        <v>409</v>
      </c>
      <c r="F3" s="99" t="s">
        <v>463</v>
      </c>
      <c r="G3" s="190" t="s">
        <v>464</v>
      </c>
    </row>
    <row r="4" spans="1:7" s="113" customFormat="1" ht="12.75" x14ac:dyDescent="0.2">
      <c r="B4" s="113" t="s">
        <v>462</v>
      </c>
      <c r="C4" s="113" t="s">
        <v>411</v>
      </c>
      <c r="D4" s="113" t="s">
        <v>413</v>
      </c>
      <c r="E4" s="113" t="s">
        <v>414</v>
      </c>
      <c r="F4" s="113" t="s">
        <v>431</v>
      </c>
      <c r="G4" s="113" t="s">
        <v>430</v>
      </c>
    </row>
    <row r="27" spans="1:7" ht="21" x14ac:dyDescent="0.35">
      <c r="A27" s="99"/>
      <c r="B27" s="99" t="s">
        <v>200</v>
      </c>
      <c r="C27" s="99" t="s">
        <v>52</v>
      </c>
      <c r="D27" s="99" t="s">
        <v>375</v>
      </c>
      <c r="E27" s="99" t="s">
        <v>202</v>
      </c>
      <c r="F27" s="99" t="s">
        <v>386</v>
      </c>
      <c r="G27" s="99" t="s">
        <v>390</v>
      </c>
    </row>
    <row r="28" spans="1:7" s="113" customFormat="1" ht="12.75" x14ac:dyDescent="0.2">
      <c r="B28" s="113" t="s">
        <v>426</v>
      </c>
      <c r="C28" s="113" t="s">
        <v>427</v>
      </c>
      <c r="D28" s="113" t="s">
        <v>429</v>
      </c>
      <c r="E28" s="113" t="s">
        <v>471</v>
      </c>
      <c r="F28" s="113" t="s">
        <v>467</v>
      </c>
      <c r="G28" s="113" t="s">
        <v>475</v>
      </c>
    </row>
    <row r="54" spans="1:5" ht="21" x14ac:dyDescent="0.35">
      <c r="A54" s="99"/>
      <c r="B54" s="99" t="s">
        <v>401</v>
      </c>
      <c r="C54" s="99" t="s">
        <v>374</v>
      </c>
      <c r="D54" s="99" t="s">
        <v>465</v>
      </c>
      <c r="E54" s="99" t="s">
        <v>550</v>
      </c>
    </row>
    <row r="55" spans="1:5" s="113" customFormat="1" ht="12.75" x14ac:dyDescent="0.2">
      <c r="B55" s="113" t="s">
        <v>551</v>
      </c>
      <c r="C55" s="113" t="s">
        <v>435</v>
      </c>
      <c r="D55" s="113" t="s">
        <v>466</v>
      </c>
    </row>
    <row r="78" spans="2:6" s="99" customFormat="1" ht="21" x14ac:dyDescent="0.35">
      <c r="B78" s="99" t="s">
        <v>422</v>
      </c>
      <c r="D78" s="99" t="s">
        <v>477</v>
      </c>
      <c r="F78" s="99" t="s">
        <v>476</v>
      </c>
    </row>
    <row r="79" spans="2:6" s="113" customFormat="1" ht="12.75" x14ac:dyDescent="0.2">
      <c r="B79" s="113" t="s">
        <v>166</v>
      </c>
    </row>
    <row r="105" spans="1:1" ht="21" x14ac:dyDescent="0.35">
      <c r="A105" s="99"/>
    </row>
  </sheetData>
  <pageMargins left="0.70866141732283472" right="0.70866141732283472" top="0.74803149606299213" bottom="0.74803149606299213" header="0.31496062992125984" footer="0.31496062992125984"/>
  <pageSetup paperSize="9" scale="43" fitToHeight="0" orientation="landscape" r:id="rId1"/>
  <headerFooter>
    <oddFooter>&amp;L&amp;F&amp;C&amp;A&amp;R&amp;P</oddFooter>
  </headerFooter>
  <rowBreaks count="1" manualBreakCount="1">
    <brk id="52"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G70"/>
  <sheetViews>
    <sheetView showGridLines="0" view="pageBreakPreview" zoomScaleNormal="100" zoomScaleSheetLayoutView="100" workbookViewId="0"/>
  </sheetViews>
  <sheetFormatPr defaultColWidth="9.140625" defaultRowHeight="15" x14ac:dyDescent="0.25"/>
  <cols>
    <col min="1" max="1" width="2.7109375" customWidth="1"/>
    <col min="2" max="2" width="7.7109375" customWidth="1"/>
    <col min="3" max="3" width="19.42578125" customWidth="1"/>
    <col min="4" max="4" width="52.28515625" customWidth="1"/>
    <col min="5" max="5" width="62.28515625" customWidth="1"/>
    <col min="6" max="6" width="52.28515625" customWidth="1"/>
    <col min="7" max="7" width="2.7109375" customWidth="1"/>
  </cols>
  <sheetData>
    <row r="1" spans="1:6" s="4" customFormat="1" ht="39.950000000000003" customHeight="1" x14ac:dyDescent="0.25">
      <c r="A1" s="37" t="s">
        <v>20</v>
      </c>
      <c r="B1"/>
      <c r="C1"/>
      <c r="D1"/>
      <c r="E1"/>
      <c r="F1"/>
    </row>
    <row r="2" spans="1:6" s="4" customFormat="1" ht="39.950000000000003" customHeight="1" x14ac:dyDescent="0.35">
      <c r="A2" s="8"/>
      <c r="B2" s="22" t="s">
        <v>18</v>
      </c>
    </row>
    <row r="3" spans="1:6" ht="43.5" customHeight="1" x14ac:dyDescent="0.25">
      <c r="B3" s="219" t="s">
        <v>512</v>
      </c>
      <c r="C3" s="220"/>
      <c r="D3" s="220"/>
      <c r="E3" s="220"/>
      <c r="F3" s="220"/>
    </row>
    <row r="4" spans="1:6" ht="22.5" customHeight="1" x14ac:dyDescent="0.25">
      <c r="B4" s="219" t="s">
        <v>479</v>
      </c>
      <c r="C4" s="220"/>
      <c r="D4" s="220"/>
      <c r="E4" s="220"/>
      <c r="F4" s="220"/>
    </row>
    <row r="5" spans="1:6" ht="57" customHeight="1" x14ac:dyDescent="0.25">
      <c r="B5" s="219" t="s">
        <v>513</v>
      </c>
      <c r="C5" s="220"/>
      <c r="D5" s="220"/>
      <c r="E5" s="220"/>
      <c r="F5" s="220"/>
    </row>
    <row r="6" spans="1:6" ht="35.25" customHeight="1" x14ac:dyDescent="0.25">
      <c r="B6" s="219" t="s">
        <v>510</v>
      </c>
      <c r="C6" s="220"/>
      <c r="D6" s="220"/>
      <c r="E6" s="220"/>
      <c r="F6" s="220"/>
    </row>
    <row r="7" spans="1:6" s="4" customFormat="1" ht="43.5" customHeight="1" x14ac:dyDescent="0.25">
      <c r="B7" s="219" t="s">
        <v>511</v>
      </c>
      <c r="C7" s="220"/>
      <c r="D7" s="220"/>
      <c r="E7" s="220"/>
      <c r="F7" s="220"/>
    </row>
    <row r="8" spans="1:6" s="4" customFormat="1" ht="22.5" customHeight="1" x14ac:dyDescent="0.25">
      <c r="B8" s="219" t="s">
        <v>526</v>
      </c>
      <c r="C8" s="220"/>
      <c r="D8" s="220"/>
      <c r="E8" s="220"/>
      <c r="F8" s="220"/>
    </row>
    <row r="9" spans="1:6" s="4" customFormat="1" ht="50.1" customHeight="1" x14ac:dyDescent="0.35">
      <c r="B9" s="22" t="s">
        <v>516</v>
      </c>
      <c r="C9" s="35"/>
      <c r="D9" s="35"/>
      <c r="E9" s="35"/>
      <c r="F9" s="35"/>
    </row>
    <row r="10" spans="1:6" ht="43.5" customHeight="1" x14ac:dyDescent="0.25">
      <c r="A10" s="4"/>
      <c r="B10" s="219" t="s">
        <v>517</v>
      </c>
      <c r="C10" s="220"/>
      <c r="D10" s="220"/>
      <c r="E10" s="220"/>
      <c r="F10" s="220"/>
    </row>
    <row r="11" spans="1:6" ht="35.25" customHeight="1" x14ac:dyDescent="0.25">
      <c r="B11" s="219" t="s">
        <v>537</v>
      </c>
      <c r="C11" s="220"/>
      <c r="D11" s="220"/>
      <c r="E11" s="220"/>
      <c r="F11" s="220"/>
    </row>
    <row r="12" spans="1:6" ht="22.5" customHeight="1" x14ac:dyDescent="0.25">
      <c r="B12" s="219" t="s">
        <v>524</v>
      </c>
      <c r="C12" s="220"/>
      <c r="D12" s="220"/>
      <c r="E12" s="220"/>
      <c r="F12" s="220"/>
    </row>
    <row r="13" spans="1:6" s="4" customFormat="1" ht="50.1" customHeight="1" x14ac:dyDescent="0.35">
      <c r="B13" s="22" t="s">
        <v>515</v>
      </c>
      <c r="C13" s="35"/>
      <c r="D13" s="35"/>
      <c r="E13" s="35"/>
      <c r="F13" s="35"/>
    </row>
    <row r="41" spans="1:6" s="4" customFormat="1" ht="50.1" customHeight="1" x14ac:dyDescent="0.35">
      <c r="A41"/>
      <c r="B41" s="22" t="s">
        <v>480</v>
      </c>
      <c r="C41" s="35"/>
      <c r="D41" s="35"/>
      <c r="E41" s="35"/>
      <c r="F41" s="35"/>
    </row>
    <row r="42" spans="1:6" s="4" customFormat="1" x14ac:dyDescent="0.25">
      <c r="A42" s="8"/>
      <c r="B42" s="113" t="s">
        <v>514</v>
      </c>
      <c r="D42"/>
      <c r="E42"/>
    </row>
    <row r="43" spans="1:6" s="4" customFormat="1" x14ac:dyDescent="0.25">
      <c r="A43"/>
      <c r="B43"/>
      <c r="D43"/>
      <c r="E43"/>
    </row>
    <row r="44" spans="1:6" s="4" customFormat="1" ht="26.25" x14ac:dyDescent="0.25">
      <c r="A44"/>
      <c r="B44" s="116" t="s">
        <v>184</v>
      </c>
      <c r="C44" s="116" t="s">
        <v>9</v>
      </c>
      <c r="D44" s="116" t="s">
        <v>481</v>
      </c>
      <c r="E44" s="116" t="s">
        <v>482</v>
      </c>
      <c r="F44" s="116" t="s">
        <v>604</v>
      </c>
    </row>
    <row r="45" spans="1:6" s="4" customFormat="1" ht="60" x14ac:dyDescent="0.25">
      <c r="A45"/>
      <c r="B45" s="214">
        <v>1</v>
      </c>
      <c r="C45" s="215" t="s">
        <v>554</v>
      </c>
      <c r="D45" s="109" t="s">
        <v>206</v>
      </c>
      <c r="E45" s="109" t="s">
        <v>605</v>
      </c>
      <c r="F45" s="109" t="s">
        <v>606</v>
      </c>
    </row>
    <row r="46" spans="1:6" s="4" customFormat="1" ht="135" x14ac:dyDescent="0.25">
      <c r="A46"/>
      <c r="B46" s="214">
        <v>2</v>
      </c>
      <c r="C46" s="215" t="s">
        <v>555</v>
      </c>
      <c r="D46" s="109" t="s">
        <v>388</v>
      </c>
      <c r="E46" s="109" t="s">
        <v>484</v>
      </c>
      <c r="F46" s="109" t="s">
        <v>492</v>
      </c>
    </row>
    <row r="47" spans="1:6" s="4" customFormat="1" ht="360" x14ac:dyDescent="0.25">
      <c r="A47"/>
      <c r="B47" s="214">
        <v>3</v>
      </c>
      <c r="C47" s="215" t="s">
        <v>559</v>
      </c>
      <c r="D47" s="109" t="s">
        <v>389</v>
      </c>
      <c r="E47" s="109" t="s">
        <v>541</v>
      </c>
      <c r="F47" s="109" t="s">
        <v>539</v>
      </c>
    </row>
    <row r="48" spans="1:6" s="4" customFormat="1" ht="165" x14ac:dyDescent="0.25">
      <c r="A48"/>
      <c r="B48" s="214">
        <v>4</v>
      </c>
      <c r="C48" s="215" t="s">
        <v>560</v>
      </c>
      <c r="D48" s="109" t="s">
        <v>567</v>
      </c>
      <c r="E48" s="109" t="s">
        <v>485</v>
      </c>
      <c r="F48" s="109" t="s">
        <v>493</v>
      </c>
    </row>
    <row r="49" spans="1:7" s="4" customFormat="1" ht="120" x14ac:dyDescent="0.25">
      <c r="A49"/>
      <c r="B49" s="214">
        <v>5</v>
      </c>
      <c r="C49" s="215" t="s">
        <v>404</v>
      </c>
      <c r="D49" s="109" t="s">
        <v>391</v>
      </c>
      <c r="E49" s="109" t="s">
        <v>486</v>
      </c>
      <c r="F49" s="109" t="s">
        <v>494</v>
      </c>
    </row>
    <row r="50" spans="1:7" s="4" customFormat="1" ht="75" x14ac:dyDescent="0.25">
      <c r="A50"/>
      <c r="B50" s="214">
        <v>6</v>
      </c>
      <c r="C50" s="215" t="s">
        <v>405</v>
      </c>
      <c r="D50" s="109" t="s">
        <v>392</v>
      </c>
      <c r="E50" s="109" t="s">
        <v>483</v>
      </c>
      <c r="F50" s="109" t="s">
        <v>540</v>
      </c>
    </row>
    <row r="51" spans="1:7" ht="105" x14ac:dyDescent="0.25">
      <c r="B51" s="214">
        <v>7</v>
      </c>
      <c r="C51" s="215" t="s">
        <v>406</v>
      </c>
      <c r="D51" s="109" t="s">
        <v>393</v>
      </c>
      <c r="E51" s="109" t="s">
        <v>487</v>
      </c>
      <c r="F51" s="109" t="s">
        <v>495</v>
      </c>
      <c r="G51" s="4"/>
    </row>
    <row r="52" spans="1:7" s="4" customFormat="1" ht="90" x14ac:dyDescent="0.25">
      <c r="A52"/>
      <c r="B52" s="214">
        <v>8</v>
      </c>
      <c r="C52" s="215" t="s">
        <v>561</v>
      </c>
      <c r="D52" s="109" t="s">
        <v>394</v>
      </c>
      <c r="E52" s="109" t="s">
        <v>488</v>
      </c>
      <c r="F52" s="109" t="s">
        <v>496</v>
      </c>
    </row>
    <row r="53" spans="1:7" s="4" customFormat="1" ht="150" x14ac:dyDescent="0.25">
      <c r="A53"/>
      <c r="B53" s="214">
        <v>9</v>
      </c>
      <c r="C53" s="215" t="s">
        <v>557</v>
      </c>
      <c r="D53" s="109" t="s">
        <v>395</v>
      </c>
      <c r="E53" s="109" t="s">
        <v>570</v>
      </c>
      <c r="F53" s="109" t="s">
        <v>497</v>
      </c>
    </row>
    <row r="54" spans="1:7" s="4" customFormat="1" ht="105" x14ac:dyDescent="0.25">
      <c r="A54"/>
      <c r="B54" s="214">
        <v>10</v>
      </c>
      <c r="C54" s="215" t="s">
        <v>556</v>
      </c>
      <c r="D54" s="109" t="s">
        <v>354</v>
      </c>
      <c r="E54" s="135" t="s">
        <v>599</v>
      </c>
      <c r="F54" s="109" t="s">
        <v>509</v>
      </c>
    </row>
    <row r="55" spans="1:7" s="4" customFormat="1" ht="45" x14ac:dyDescent="0.25">
      <c r="A55"/>
      <c r="B55" s="214">
        <v>11</v>
      </c>
      <c r="C55" s="215" t="s">
        <v>438</v>
      </c>
      <c r="D55" s="109" t="s">
        <v>543</v>
      </c>
      <c r="E55" s="109" t="s">
        <v>542</v>
      </c>
      <c r="F55" s="109"/>
    </row>
    <row r="56" spans="1:7" s="4" customFormat="1" ht="75" x14ac:dyDescent="0.25">
      <c r="A56"/>
      <c r="B56" s="214">
        <v>12</v>
      </c>
      <c r="C56" s="215" t="s">
        <v>182</v>
      </c>
      <c r="D56" s="109" t="s">
        <v>544</v>
      </c>
      <c r="E56" s="109" t="s">
        <v>545</v>
      </c>
      <c r="F56" s="109"/>
    </row>
    <row r="57" spans="1:7" s="4" customFormat="1" ht="90" x14ac:dyDescent="0.25">
      <c r="A57"/>
      <c r="B57" s="214">
        <v>13</v>
      </c>
      <c r="C57" s="215" t="s">
        <v>562</v>
      </c>
      <c r="D57" s="109" t="s">
        <v>568</v>
      </c>
      <c r="E57" s="109" t="s">
        <v>610</v>
      </c>
      <c r="F57" s="109" t="s">
        <v>538</v>
      </c>
    </row>
    <row r="58" spans="1:7" s="4" customFormat="1" ht="45" x14ac:dyDescent="0.25">
      <c r="A58"/>
      <c r="B58" s="214">
        <v>14</v>
      </c>
      <c r="C58" s="215" t="s">
        <v>563</v>
      </c>
      <c r="D58" s="109" t="s">
        <v>532</v>
      </c>
      <c r="E58" s="109" t="s">
        <v>532</v>
      </c>
      <c r="F58" s="109" t="s">
        <v>499</v>
      </c>
    </row>
    <row r="59" spans="1:7" s="4" customFormat="1" ht="45" x14ac:dyDescent="0.25">
      <c r="A59"/>
      <c r="B59" s="214">
        <v>15</v>
      </c>
      <c r="C59" s="215" t="s">
        <v>564</v>
      </c>
      <c r="D59" s="109" t="s">
        <v>569</v>
      </c>
      <c r="E59" s="109" t="s">
        <v>611</v>
      </c>
      <c r="F59" s="109" t="s">
        <v>500</v>
      </c>
    </row>
    <row r="60" spans="1:7" s="4" customFormat="1" ht="45" x14ac:dyDescent="0.25">
      <c r="A60"/>
      <c r="B60" s="214">
        <v>16</v>
      </c>
      <c r="C60" s="215" t="s">
        <v>383</v>
      </c>
      <c r="D60" s="109" t="s">
        <v>533</v>
      </c>
      <c r="E60" s="109" t="s">
        <v>533</v>
      </c>
      <c r="F60" s="109" t="s">
        <v>501</v>
      </c>
    </row>
    <row r="61" spans="1:7" s="4" customFormat="1" ht="45" x14ac:dyDescent="0.25">
      <c r="A61"/>
      <c r="B61" s="214">
        <v>17</v>
      </c>
      <c r="C61" s="215" t="s">
        <v>565</v>
      </c>
      <c r="D61" s="109" t="s">
        <v>527</v>
      </c>
      <c r="E61" s="109" t="s">
        <v>527</v>
      </c>
      <c r="F61" s="109" t="s">
        <v>502</v>
      </c>
    </row>
    <row r="62" spans="1:7" s="4" customFormat="1" ht="45" x14ac:dyDescent="0.25">
      <c r="A62"/>
      <c r="B62" s="214">
        <v>18</v>
      </c>
      <c r="C62" s="215" t="s">
        <v>384</v>
      </c>
      <c r="D62" s="109" t="s">
        <v>534</v>
      </c>
      <c r="E62" s="109" t="s">
        <v>534</v>
      </c>
      <c r="F62" s="109" t="s">
        <v>503</v>
      </c>
    </row>
    <row r="63" spans="1:7" s="4" customFormat="1" ht="45" x14ac:dyDescent="0.25">
      <c r="A63"/>
      <c r="B63" s="214">
        <v>19</v>
      </c>
      <c r="C63" s="215" t="s">
        <v>203</v>
      </c>
      <c r="D63" s="109" t="s">
        <v>535</v>
      </c>
      <c r="E63" s="109" t="s">
        <v>535</v>
      </c>
      <c r="F63" s="109" t="s">
        <v>504</v>
      </c>
    </row>
    <row r="64" spans="1:7" s="4" customFormat="1" ht="45" x14ac:dyDescent="0.25">
      <c r="A64"/>
      <c r="B64" s="214">
        <v>20</v>
      </c>
      <c r="C64" s="215" t="s">
        <v>385</v>
      </c>
      <c r="D64" s="109" t="s">
        <v>536</v>
      </c>
      <c r="E64" s="109" t="s">
        <v>536</v>
      </c>
      <c r="F64" s="109" t="s">
        <v>505</v>
      </c>
    </row>
    <row r="65" spans="1:6" s="4" customFormat="1" ht="45" x14ac:dyDescent="0.25">
      <c r="A65"/>
      <c r="B65" s="214">
        <v>21</v>
      </c>
      <c r="C65" s="215" t="s">
        <v>566</v>
      </c>
      <c r="D65" s="109" t="s">
        <v>528</v>
      </c>
      <c r="E65" s="109" t="s">
        <v>528</v>
      </c>
      <c r="F65" s="109" t="s">
        <v>506</v>
      </c>
    </row>
    <row r="66" spans="1:6" s="4" customFormat="1" ht="45" x14ac:dyDescent="0.25">
      <c r="A66"/>
      <c r="B66" s="214">
        <v>22</v>
      </c>
      <c r="C66" s="215" t="s">
        <v>386</v>
      </c>
      <c r="D66" s="109" t="s">
        <v>529</v>
      </c>
      <c r="E66" s="109" t="s">
        <v>529</v>
      </c>
      <c r="F66" s="109" t="s">
        <v>507</v>
      </c>
    </row>
    <row r="67" spans="1:6" s="4" customFormat="1" ht="45" x14ac:dyDescent="0.25">
      <c r="A67"/>
      <c r="B67" s="214">
        <v>23</v>
      </c>
      <c r="C67" s="215" t="s">
        <v>490</v>
      </c>
      <c r="D67" s="109" t="s">
        <v>530</v>
      </c>
      <c r="E67" s="109" t="s">
        <v>612</v>
      </c>
      <c r="F67" s="109" t="s">
        <v>508</v>
      </c>
    </row>
    <row r="68" spans="1:6" s="4" customFormat="1" ht="45" x14ac:dyDescent="0.25">
      <c r="B68" s="214">
        <v>24</v>
      </c>
      <c r="C68" s="215" t="s">
        <v>433</v>
      </c>
      <c r="D68" s="109" t="s">
        <v>531</v>
      </c>
      <c r="E68" s="109" t="s">
        <v>491</v>
      </c>
      <c r="F68" s="109" t="s">
        <v>498</v>
      </c>
    </row>
    <row r="69" spans="1:6" s="4" customFormat="1" x14ac:dyDescent="0.25">
      <c r="A69"/>
      <c r="B69" s="214">
        <v>25</v>
      </c>
      <c r="C69" s="215" t="s">
        <v>552</v>
      </c>
      <c r="D69" s="109" t="s">
        <v>552</v>
      </c>
      <c r="E69" s="109"/>
      <c r="F69" s="109"/>
    </row>
    <row r="70" spans="1:6" s="4" customFormat="1" x14ac:dyDescent="0.25">
      <c r="A70"/>
      <c r="B70" s="113" t="s">
        <v>235</v>
      </c>
      <c r="C70" s="113" t="s">
        <v>236</v>
      </c>
      <c r="D70"/>
      <c r="E70"/>
    </row>
  </sheetData>
  <mergeCells count="9">
    <mergeCell ref="B10:F10"/>
    <mergeCell ref="B11:F11"/>
    <mergeCell ref="B12:F12"/>
    <mergeCell ref="B3:F3"/>
    <mergeCell ref="B4:F4"/>
    <mergeCell ref="B5:F5"/>
    <mergeCell ref="B6:F6"/>
    <mergeCell ref="B7:F7"/>
    <mergeCell ref="B8:F8"/>
  </mergeCells>
  <pageMargins left="0.70866141732283472" right="0.70866141732283472" top="0.74803149606299213" bottom="0.74803149606299213" header="0.31496062992125984" footer="0.31496062992125984"/>
  <pageSetup paperSize="9" scale="43" fitToHeight="0" orientation="portrait" r:id="rId1"/>
  <headerFooter>
    <oddFooter>&amp;L&amp;F&amp;C&amp;A&amp;R&amp;P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C19"/>
  <sheetViews>
    <sheetView showGridLines="0" view="pageBreakPreview" zoomScaleNormal="100" zoomScaleSheetLayoutView="100" workbookViewId="0"/>
  </sheetViews>
  <sheetFormatPr defaultColWidth="9.140625" defaultRowHeight="15" x14ac:dyDescent="0.25"/>
  <cols>
    <col min="2" max="2" width="19.85546875" customWidth="1"/>
    <col min="3" max="3" width="95.28515625" customWidth="1"/>
    <col min="4" max="4" width="2.7109375" customWidth="1"/>
  </cols>
  <sheetData>
    <row r="1" spans="1:3" ht="39.950000000000003" customHeight="1" x14ac:dyDescent="0.25">
      <c r="A1" s="37" t="s">
        <v>0</v>
      </c>
      <c r="B1" s="8"/>
      <c r="C1" s="8"/>
    </row>
    <row r="2" spans="1:3" x14ac:dyDescent="0.25">
      <c r="A2" s="8"/>
      <c r="B2" s="8"/>
      <c r="C2" s="8"/>
    </row>
    <row r="3" spans="1:3" ht="15.75" thickBot="1" x14ac:dyDescent="0.3">
      <c r="A3" s="8"/>
      <c r="B3" s="8"/>
      <c r="C3" s="8"/>
    </row>
    <row r="4" spans="1:3" ht="15.75" x14ac:dyDescent="0.25">
      <c r="A4" s="8"/>
      <c r="B4" s="15" t="s">
        <v>1</v>
      </c>
      <c r="C4" s="16" t="s">
        <v>2</v>
      </c>
    </row>
    <row r="5" spans="1:3" x14ac:dyDescent="0.25">
      <c r="A5" s="8"/>
      <c r="B5" s="18" t="s">
        <v>7</v>
      </c>
      <c r="C5" s="19" t="s">
        <v>597</v>
      </c>
    </row>
    <row r="6" spans="1:3" x14ac:dyDescent="0.25">
      <c r="A6" s="8"/>
      <c r="B6" s="20" t="s">
        <v>358</v>
      </c>
      <c r="C6" s="21" t="s">
        <v>595</v>
      </c>
    </row>
    <row r="7" spans="1:3" x14ac:dyDescent="0.25">
      <c r="A7" s="8"/>
      <c r="B7" s="18" t="s">
        <v>359</v>
      </c>
      <c r="C7" s="19" t="s">
        <v>596</v>
      </c>
    </row>
    <row r="8" spans="1:3" x14ac:dyDescent="0.25">
      <c r="A8" s="8"/>
      <c r="B8" s="39"/>
      <c r="C8" s="40" t="s">
        <v>17</v>
      </c>
    </row>
    <row r="9" spans="1:3" x14ac:dyDescent="0.25">
      <c r="A9" s="8"/>
      <c r="B9" s="20" t="s">
        <v>461</v>
      </c>
      <c r="C9" s="21" t="s">
        <v>598</v>
      </c>
    </row>
    <row r="10" spans="1:3" x14ac:dyDescent="0.25">
      <c r="A10" s="8"/>
      <c r="B10" s="41"/>
      <c r="C10" s="42" t="s">
        <v>7</v>
      </c>
    </row>
    <row r="11" spans="1:3" x14ac:dyDescent="0.25">
      <c r="A11" s="8"/>
      <c r="B11" s="41"/>
      <c r="C11" s="42" t="s">
        <v>17</v>
      </c>
    </row>
    <row r="12" spans="1:3" x14ac:dyDescent="0.25">
      <c r="A12" s="8"/>
      <c r="B12" s="41"/>
      <c r="C12" s="42" t="s">
        <v>16</v>
      </c>
    </row>
    <row r="13" spans="1:3" x14ac:dyDescent="0.25">
      <c r="A13" s="8"/>
      <c r="B13" s="18" t="s">
        <v>16</v>
      </c>
      <c r="C13" s="19" t="s">
        <v>41</v>
      </c>
    </row>
    <row r="14" spans="1:3" x14ac:dyDescent="0.25">
      <c r="A14" s="8"/>
      <c r="B14" s="39"/>
      <c r="C14" s="40" t="s">
        <v>186</v>
      </c>
    </row>
    <row r="15" spans="1:3" x14ac:dyDescent="0.25">
      <c r="A15" s="8"/>
      <c r="B15" s="39"/>
      <c r="C15" s="40" t="s">
        <v>187</v>
      </c>
    </row>
    <row r="16" spans="1:3" x14ac:dyDescent="0.25">
      <c r="A16" s="8"/>
      <c r="B16" s="20" t="s">
        <v>181</v>
      </c>
      <c r="C16" s="21" t="s">
        <v>207</v>
      </c>
    </row>
    <row r="17" spans="1:3" x14ac:dyDescent="0.25">
      <c r="A17" s="8"/>
      <c r="B17" s="18" t="s">
        <v>593</v>
      </c>
      <c r="C17" s="19" t="s">
        <v>594</v>
      </c>
    </row>
    <row r="18" spans="1:3" ht="15.75" thickBot="1" x14ac:dyDescent="0.3">
      <c r="A18" s="8"/>
      <c r="B18" s="207" t="s">
        <v>360</v>
      </c>
      <c r="C18" s="208" t="s">
        <v>592</v>
      </c>
    </row>
    <row r="19" spans="1:3" x14ac:dyDescent="0.25">
      <c r="A19" s="4"/>
    </row>
  </sheetData>
  <hyperlinks>
    <hyperlink ref="C5" location="'Inputs'!$A$1" tooltip="Section title. Click once to follow" display="Data inputs"/>
    <hyperlink ref="C6" location="'Selection'!$A$1" tooltip="Section title. Click once to follow" display="Scenario and supplier selection"/>
    <hyperlink ref="C7" location="'Calculation'!$A$1" tooltip="Section title. Click once to follow" display="Cash flow and RIV roll-forward calculation"/>
    <hyperlink ref="C8" location="'Calculation'!$A$70" tooltip="Section subtitle. Click once to follow" display="Calculations"/>
    <hyperlink ref="C9" location="'IRR'!$A$1" tooltip="Section title. Click once to follow" display="Internal rate of return calculation"/>
    <hyperlink ref="C10" location="'IRR'!$A$4" tooltip="Section subtitle. Click once to follow" display="Inputs"/>
    <hyperlink ref="C11" location="'IRR'!$A$29" tooltip="Section subtitle. Click once to follow" display="Calculations"/>
    <hyperlink ref="C12" location="'IRR'!$A$64" tooltip="Section subtitle. Click once to follow" display="Outputs"/>
    <hyperlink ref="C13" location="'Outputs'!$A$1" tooltip="Section title. Click once to follow" display="Output table"/>
    <hyperlink ref="C14" location="'Outputs'!$A$7" tooltip="Section subtitle. Click once to follow" display="Results for active scenario"/>
    <hyperlink ref="C15" location="'Outputs'!$A$19" tooltip="Section subtitle. Click once to follow" display="3 year IRR for all scenarios"/>
    <hyperlink ref="C16" location="'Waterfall'!$A$1" tooltip="Section title. Click once to follow" display="Waterfall charts"/>
    <hyperlink ref="C17" location="'Chart data'!$A$1" tooltip="Section title. Click once to follow" display="Data for charts (other than waterfall)"/>
    <hyperlink ref="C18" location="'Charts'!$A$1" tooltip="Section title. Click once to follow" display="Charts for report (other than waterfall)"/>
  </hyperlinks>
  <pageMargins left="0.70866141732283472" right="0.70866141732283472" top="0.74803149606299213" bottom="0.74803149606299213" header="0.31496062992125984" footer="0.31496062992125984"/>
  <pageSetup paperSize="9" scale="68" orientation="portrait" r:id="rId1"/>
  <headerFooter>
    <oddFooter>&amp;L&amp;F&amp;C&amp;A&amp;R&amp;P</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D97E55"/>
    <pageSetUpPr fitToPage="1"/>
  </sheetPr>
  <dimension ref="A1:BN1060"/>
  <sheetViews>
    <sheetView showGridLines="0" view="pageBreakPreview" zoomScale="70" zoomScaleNormal="100" zoomScaleSheetLayoutView="70" workbookViewId="0"/>
  </sheetViews>
  <sheetFormatPr defaultColWidth="9.140625" defaultRowHeight="15" x14ac:dyDescent="0.25"/>
  <cols>
    <col min="1" max="1" width="48" customWidth="1"/>
    <col min="2" max="2" width="11.7109375" customWidth="1"/>
    <col min="3" max="3" width="14.7109375" customWidth="1"/>
    <col min="4" max="4" width="13" customWidth="1"/>
    <col min="5" max="5" width="20.7109375" customWidth="1"/>
    <col min="6" max="16" width="12" customWidth="1"/>
    <col min="17" max="17" width="13.28515625" customWidth="1"/>
    <col min="18" max="18" width="12.28515625" customWidth="1"/>
    <col min="19" max="37" width="12" customWidth="1"/>
    <col min="38" max="38" width="7.85546875" bestFit="1" customWidth="1"/>
    <col min="40" max="40" width="50.140625" customWidth="1"/>
    <col min="41" max="50" width="4.42578125" customWidth="1"/>
    <col min="51" max="53" width="4.42578125" style="8" customWidth="1"/>
    <col min="54" max="62" width="4.42578125" customWidth="1"/>
    <col min="63" max="65" width="4.42578125" style="4" customWidth="1"/>
    <col min="66" max="66" width="2.7109375" customWidth="1"/>
  </cols>
  <sheetData>
    <row r="1" spans="1:65" ht="39.950000000000003" customHeight="1" x14ac:dyDescent="0.25">
      <c r="A1" s="37" t="s">
        <v>597</v>
      </c>
      <c r="B1" s="37"/>
      <c r="C1" s="37"/>
      <c r="D1" s="37"/>
      <c r="E1" s="37"/>
      <c r="F1" s="23"/>
      <c r="AX1" s="8"/>
      <c r="BM1" s="8"/>
    </row>
    <row r="2" spans="1:65" ht="20.100000000000001" customHeight="1" x14ac:dyDescent="0.25">
      <c r="A2" s="24" t="s">
        <v>8</v>
      </c>
      <c r="B2" s="24"/>
      <c r="C2" s="24"/>
      <c r="D2" s="24"/>
      <c r="E2" s="24"/>
      <c r="F2" s="23"/>
      <c r="AX2" s="8"/>
      <c r="BM2" s="8"/>
    </row>
    <row r="3" spans="1:65" ht="23.25" x14ac:dyDescent="0.35">
      <c r="A3" s="146" t="s">
        <v>234</v>
      </c>
      <c r="B3" s="25"/>
      <c r="C3" s="25"/>
      <c r="D3" s="25"/>
      <c r="E3" s="25"/>
      <c r="F3" s="25"/>
      <c r="G3" s="25"/>
      <c r="AX3" s="8"/>
      <c r="BM3" s="8"/>
    </row>
    <row r="4" spans="1:65" x14ac:dyDescent="0.25">
      <c r="A4" s="149" t="s">
        <v>232</v>
      </c>
      <c r="B4" s="149" t="s">
        <v>233</v>
      </c>
      <c r="C4" s="46"/>
      <c r="D4" s="46"/>
      <c r="E4" s="46"/>
      <c r="F4" s="46"/>
      <c r="G4" s="25"/>
      <c r="AX4" s="8"/>
      <c r="BM4" s="8"/>
    </row>
    <row r="5" spans="1:65" x14ac:dyDescent="0.25">
      <c r="A5" s="147" t="s">
        <v>224</v>
      </c>
      <c r="B5" s="147" t="s">
        <v>226</v>
      </c>
      <c r="C5" s="148"/>
      <c r="D5" s="148"/>
      <c r="E5" s="148"/>
      <c r="F5" s="148"/>
      <c r="G5" s="25"/>
      <c r="AX5" s="8"/>
      <c r="BM5" s="8"/>
    </row>
    <row r="6" spans="1:65" x14ac:dyDescent="0.25">
      <c r="A6" s="147" t="s">
        <v>225</v>
      </c>
      <c r="B6" s="147" t="s">
        <v>227</v>
      </c>
      <c r="C6" s="148"/>
      <c r="D6" s="148"/>
      <c r="E6" s="148"/>
      <c r="F6" s="148"/>
      <c r="G6" s="25"/>
      <c r="AX6" s="8"/>
      <c r="BM6" s="8"/>
    </row>
    <row r="7" spans="1:65" x14ac:dyDescent="0.25">
      <c r="A7" s="147" t="s">
        <v>221</v>
      </c>
      <c r="B7" s="147" t="s">
        <v>601</v>
      </c>
      <c r="C7" s="148"/>
      <c r="D7" s="148"/>
      <c r="E7" s="148"/>
      <c r="F7" s="148"/>
      <c r="G7" s="25"/>
      <c r="AX7" s="8"/>
      <c r="BM7" s="8"/>
    </row>
    <row r="8" spans="1:65" x14ac:dyDescent="0.25">
      <c r="A8" s="147" t="s">
        <v>228</v>
      </c>
      <c r="B8" s="147" t="s">
        <v>600</v>
      </c>
      <c r="C8" s="148"/>
      <c r="D8" s="148"/>
      <c r="E8" s="148"/>
      <c r="F8" s="148"/>
      <c r="G8" s="25"/>
      <c r="AX8" s="8"/>
      <c r="BM8" s="8"/>
    </row>
    <row r="9" spans="1:65" x14ac:dyDescent="0.25">
      <c r="A9" s="147" t="s">
        <v>209</v>
      </c>
      <c r="B9" s="147" t="s">
        <v>229</v>
      </c>
      <c r="C9" s="148"/>
      <c r="D9" s="148"/>
      <c r="E9" s="148"/>
      <c r="F9" s="148"/>
      <c r="G9" s="25"/>
      <c r="AX9" s="8"/>
      <c r="BM9" s="8"/>
    </row>
    <row r="10" spans="1:65" x14ac:dyDescent="0.25">
      <c r="A10" s="147" t="s">
        <v>222</v>
      </c>
      <c r="B10" s="147" t="s">
        <v>231</v>
      </c>
      <c r="C10" s="148"/>
      <c r="D10" s="148"/>
      <c r="E10" s="148"/>
      <c r="F10" s="148"/>
      <c r="G10" s="25"/>
      <c r="AX10" s="8"/>
      <c r="BM10" s="8"/>
    </row>
    <row r="11" spans="1:65" x14ac:dyDescent="0.25">
      <c r="A11" s="147" t="s">
        <v>223</v>
      </c>
      <c r="B11" s="147" t="s">
        <v>602</v>
      </c>
      <c r="C11" s="148"/>
      <c r="D11" s="148"/>
      <c r="E11" s="148"/>
      <c r="F11" s="148"/>
      <c r="G11" s="25"/>
      <c r="AX11" s="8"/>
      <c r="BM11" s="8"/>
    </row>
    <row r="12" spans="1:65" x14ac:dyDescent="0.25">
      <c r="A12" s="147" t="s">
        <v>353</v>
      </c>
      <c r="B12" s="158" t="s">
        <v>603</v>
      </c>
      <c r="C12" s="25"/>
      <c r="D12" s="25"/>
      <c r="E12" s="25"/>
      <c r="F12" s="25"/>
      <c r="G12" s="25"/>
      <c r="AX12" s="8"/>
      <c r="BM12" s="8"/>
    </row>
    <row r="13" spans="1:65" x14ac:dyDescent="0.25">
      <c r="A13" s="30" t="s">
        <v>189</v>
      </c>
      <c r="B13" s="30"/>
      <c r="C13" s="30"/>
      <c r="D13" s="30"/>
      <c r="E13" s="30"/>
      <c r="F13" s="163">
        <f>Selection!B9</f>
        <v>10</v>
      </c>
      <c r="AX13" s="8"/>
      <c r="BM13" s="8"/>
    </row>
    <row r="14" spans="1:65" x14ac:dyDescent="0.25">
      <c r="A14" s="30" t="s">
        <v>355</v>
      </c>
      <c r="B14" s="30"/>
      <c r="C14" s="30"/>
      <c r="D14" s="30"/>
      <c r="E14" s="30"/>
      <c r="F14" s="162">
        <f>MATCH(F13,$AO$28:$BM$28,0)</f>
        <v>10</v>
      </c>
      <c r="G14" s="4" t="str">
        <f ca="1">INDIRECT(ADDRESS(1,1))</f>
        <v>Data inputs</v>
      </c>
      <c r="AX14" s="8"/>
      <c r="BM14" s="8"/>
    </row>
    <row r="15" spans="1:65" ht="45" customHeight="1" x14ac:dyDescent="0.35">
      <c r="A15" s="48" t="s">
        <v>349</v>
      </c>
      <c r="B15" s="48"/>
      <c r="C15" s="48"/>
      <c r="D15" s="48"/>
      <c r="E15" s="48"/>
      <c r="F15" s="25"/>
      <c r="AX15" s="8"/>
      <c r="BM15" s="8"/>
    </row>
    <row r="16" spans="1:65" ht="18.75" x14ac:dyDescent="0.3">
      <c r="A16" s="50"/>
      <c r="B16" s="50"/>
      <c r="C16" s="50"/>
      <c r="D16" s="50"/>
      <c r="E16" s="50"/>
      <c r="F16" s="46" t="s">
        <v>46</v>
      </c>
      <c r="AX16" s="8"/>
      <c r="BM16" s="8"/>
    </row>
    <row r="17" spans="1:65" x14ac:dyDescent="0.25">
      <c r="A17" s="49" t="s">
        <v>315</v>
      </c>
      <c r="B17" s="49"/>
      <c r="C17" s="49"/>
      <c r="D17" s="49"/>
      <c r="E17" s="49"/>
      <c r="F17" s="54">
        <v>365</v>
      </c>
      <c r="AX17" s="8"/>
      <c r="BM17" s="8"/>
    </row>
    <row r="18" spans="1:65" x14ac:dyDescent="0.25">
      <c r="A18" s="49" t="s">
        <v>316</v>
      </c>
      <c r="B18" s="49"/>
      <c r="C18" s="49"/>
      <c r="D18" s="49"/>
      <c r="E18" s="49"/>
      <c r="F18" s="54">
        <v>182</v>
      </c>
      <c r="AX18" s="8"/>
      <c r="BM18" s="8"/>
    </row>
    <row r="19" spans="1:65" x14ac:dyDescent="0.25">
      <c r="A19" s="49" t="s">
        <v>317</v>
      </c>
      <c r="B19" s="49"/>
      <c r="C19" s="49"/>
      <c r="D19" s="49"/>
      <c r="E19" s="49"/>
      <c r="F19" s="54">
        <v>148</v>
      </c>
      <c r="AX19" s="8"/>
      <c r="BM19" s="8"/>
    </row>
    <row r="20" spans="1:65" x14ac:dyDescent="0.25">
      <c r="A20" s="49" t="s">
        <v>318</v>
      </c>
      <c r="B20" s="49"/>
      <c r="C20" s="49"/>
      <c r="D20" s="49"/>
      <c r="E20" s="49"/>
      <c r="F20" s="54">
        <v>0</v>
      </c>
      <c r="AX20" s="8"/>
      <c r="BM20" s="8"/>
    </row>
    <row r="21" spans="1:65" x14ac:dyDescent="0.25">
      <c r="A21" s="49" t="s">
        <v>319</v>
      </c>
      <c r="B21" s="49"/>
      <c r="C21" s="49"/>
      <c r="D21" s="49"/>
      <c r="E21" s="49"/>
      <c r="F21" s="54">
        <v>0</v>
      </c>
      <c r="AX21" s="8"/>
      <c r="BM21" s="8"/>
    </row>
    <row r="22" spans="1:65" ht="14.45" customHeight="1" x14ac:dyDescent="0.25">
      <c r="A22" s="49" t="s">
        <v>151</v>
      </c>
      <c r="B22" s="49"/>
      <c r="C22" s="49"/>
      <c r="D22" s="49"/>
      <c r="E22" s="49"/>
      <c r="F22" s="89">
        <v>8.77E-2</v>
      </c>
      <c r="AX22" s="8"/>
      <c r="BM22" s="8"/>
    </row>
    <row r="23" spans="1:65" x14ac:dyDescent="0.25">
      <c r="A23" s="49" t="s">
        <v>21</v>
      </c>
      <c r="B23" s="49"/>
      <c r="C23" s="49"/>
      <c r="D23" s="49"/>
      <c r="E23" s="49"/>
      <c r="F23" s="51">
        <v>0.44</v>
      </c>
      <c r="AX23" s="8"/>
      <c r="BM23" s="8"/>
    </row>
    <row r="24" spans="1:65" ht="45" customHeight="1" x14ac:dyDescent="0.3">
      <c r="A24" s="53" t="s">
        <v>13</v>
      </c>
      <c r="B24" s="53"/>
      <c r="C24" s="53"/>
      <c r="D24" s="53"/>
      <c r="E24" s="53"/>
      <c r="F24" s="25"/>
      <c r="AX24" s="8"/>
      <c r="BM24" s="8"/>
    </row>
    <row r="25" spans="1:65" x14ac:dyDescent="0.25">
      <c r="A25" s="46"/>
      <c r="B25" s="46"/>
      <c r="C25" s="46"/>
      <c r="D25" s="46"/>
      <c r="E25" s="46"/>
      <c r="F25" s="46" t="s">
        <v>46</v>
      </c>
      <c r="G25" s="46" t="s">
        <v>22</v>
      </c>
      <c r="H25" s="46" t="s">
        <v>23</v>
      </c>
      <c r="I25" s="46" t="s">
        <v>24</v>
      </c>
      <c r="J25" s="46" t="s">
        <v>25</v>
      </c>
      <c r="K25" s="46" t="s">
        <v>26</v>
      </c>
      <c r="L25" s="46" t="s">
        <v>27</v>
      </c>
      <c r="AX25" s="8"/>
      <c r="BM25" s="8"/>
    </row>
    <row r="26" spans="1:65" x14ac:dyDescent="0.25">
      <c r="A26" s="49" t="s">
        <v>51</v>
      </c>
      <c r="B26" s="49"/>
      <c r="C26" s="49"/>
      <c r="D26" s="49"/>
      <c r="E26" s="49"/>
      <c r="F26" s="49"/>
      <c r="G26" s="51">
        <v>0.3</v>
      </c>
      <c r="H26" s="51">
        <v>0.3</v>
      </c>
      <c r="I26" s="51">
        <v>0.28000000000000003</v>
      </c>
      <c r="J26" s="51">
        <v>0.28000000000000003</v>
      </c>
      <c r="K26" s="51">
        <v>0.28000000000000003</v>
      </c>
      <c r="L26" s="51">
        <v>0.28000000000000003</v>
      </c>
      <c r="AX26" s="8"/>
      <c r="BM26" s="8"/>
    </row>
    <row r="27" spans="1:65" ht="45" customHeight="1" x14ac:dyDescent="0.35">
      <c r="A27" s="53" t="s">
        <v>439</v>
      </c>
      <c r="B27" s="53"/>
      <c r="C27" s="53"/>
      <c r="D27" s="53"/>
      <c r="E27" s="53"/>
      <c r="F27" s="25"/>
      <c r="G27" s="25"/>
      <c r="H27" s="25"/>
      <c r="I27" s="25"/>
      <c r="J27" s="25"/>
      <c r="K27" s="25"/>
      <c r="L27" s="25"/>
      <c r="AM27" s="101" t="s">
        <v>198</v>
      </c>
      <c r="AN27" s="23"/>
      <c r="AX27" s="8"/>
      <c r="BM27" s="8"/>
    </row>
    <row r="28" spans="1:65" x14ac:dyDescent="0.25">
      <c r="A28" s="46"/>
      <c r="B28" s="46"/>
      <c r="C28" s="46"/>
      <c r="D28" s="46"/>
      <c r="E28" s="46"/>
      <c r="F28" s="46" t="s">
        <v>46</v>
      </c>
      <c r="G28" s="46" t="s">
        <v>22</v>
      </c>
      <c r="H28" s="46" t="s">
        <v>23</v>
      </c>
      <c r="I28" s="46" t="s">
        <v>24</v>
      </c>
      <c r="J28" s="46" t="s">
        <v>25</v>
      </c>
      <c r="K28" s="46" t="s">
        <v>26</v>
      </c>
      <c r="L28" s="46" t="s">
        <v>27</v>
      </c>
      <c r="AM28" s="128" t="s">
        <v>196</v>
      </c>
      <c r="AN28" s="128" t="s">
        <v>197</v>
      </c>
      <c r="AO28" s="128">
        <v>1</v>
      </c>
      <c r="AP28" s="128">
        <v>2</v>
      </c>
      <c r="AQ28" s="128">
        <v>3</v>
      </c>
      <c r="AR28" s="128">
        <v>4</v>
      </c>
      <c r="AS28" s="128">
        <v>5</v>
      </c>
      <c r="AT28" s="128">
        <v>6</v>
      </c>
      <c r="AU28" s="128">
        <v>7</v>
      </c>
      <c r="AV28" s="128">
        <v>8</v>
      </c>
      <c r="AW28" s="128">
        <v>9</v>
      </c>
      <c r="AX28" s="196">
        <v>10</v>
      </c>
      <c r="AY28" s="196">
        <v>11</v>
      </c>
      <c r="AZ28" s="196">
        <v>12</v>
      </c>
      <c r="BA28" s="196">
        <v>13</v>
      </c>
      <c r="BB28" s="128">
        <v>14</v>
      </c>
      <c r="BC28" s="128">
        <v>15</v>
      </c>
      <c r="BD28" s="128">
        <v>16</v>
      </c>
      <c r="BE28" s="128">
        <v>17</v>
      </c>
      <c r="BF28" s="128">
        <v>18</v>
      </c>
      <c r="BG28" s="128">
        <v>19</v>
      </c>
      <c r="BH28" s="128">
        <v>20</v>
      </c>
      <c r="BI28" s="128">
        <v>21</v>
      </c>
      <c r="BJ28" s="128">
        <v>22</v>
      </c>
      <c r="BK28" s="128">
        <v>23</v>
      </c>
      <c r="BL28" s="128">
        <v>24</v>
      </c>
      <c r="BM28" s="196">
        <v>25</v>
      </c>
    </row>
    <row r="29" spans="1:65" x14ac:dyDescent="0.25">
      <c r="A29" s="126" t="s">
        <v>103</v>
      </c>
      <c r="B29" s="84"/>
      <c r="C29" s="84"/>
      <c r="D29" s="84">
        <v>1</v>
      </c>
      <c r="E29" s="84"/>
      <c r="F29" s="49"/>
      <c r="G29" s="52">
        <v>7.9299999999999995E-2</v>
      </c>
      <c r="H29" s="52">
        <v>7.9299999999999995E-2</v>
      </c>
      <c r="I29" s="52">
        <v>7.9299999999999995E-2</v>
      </c>
      <c r="J29" s="52">
        <v>7.9299999999999995E-2</v>
      </c>
      <c r="K29" s="52">
        <v>7.9299999999999995E-2</v>
      </c>
      <c r="L29" s="52">
        <v>7.9299999999999995E-2</v>
      </c>
      <c r="AM29" s="127" t="b">
        <f t="shared" ref="AM29:AM34" si="0">IF(INDEX($AO29:$BM29,0,$F$14)=1,TRUE,FALSE)</f>
        <v>0</v>
      </c>
      <c r="AN29" s="127" t="str">
        <f t="shared" ref="AN29:AN34" si="1">IF(AM29,A29,"")</f>
        <v/>
      </c>
      <c r="AO29" s="129">
        <v>1</v>
      </c>
      <c r="AP29" s="129">
        <v>1</v>
      </c>
      <c r="AQ29" s="129">
        <v>1</v>
      </c>
      <c r="AR29" s="129">
        <v>1</v>
      </c>
      <c r="AS29" s="129">
        <v>1</v>
      </c>
      <c r="AT29" s="129">
        <v>1</v>
      </c>
      <c r="AU29" s="129">
        <v>1</v>
      </c>
      <c r="AV29" s="129">
        <v>1</v>
      </c>
      <c r="AW29" s="129"/>
      <c r="AX29" s="197"/>
      <c r="AY29" s="197"/>
      <c r="AZ29" s="197"/>
      <c r="BA29" s="197">
        <v>1</v>
      </c>
      <c r="BB29" s="129">
        <v>1</v>
      </c>
      <c r="BC29" s="129">
        <v>1</v>
      </c>
      <c r="BD29" s="129">
        <v>1</v>
      </c>
      <c r="BE29" s="129">
        <v>1</v>
      </c>
      <c r="BF29" s="129">
        <v>1</v>
      </c>
      <c r="BG29" s="129">
        <v>1</v>
      </c>
      <c r="BH29" s="129">
        <v>1</v>
      </c>
      <c r="BI29" s="129">
        <v>1</v>
      </c>
      <c r="BJ29" s="129">
        <v>1</v>
      </c>
      <c r="BK29" s="129">
        <v>1</v>
      </c>
      <c r="BL29" s="129">
        <v>1</v>
      </c>
      <c r="BM29" s="197"/>
    </row>
    <row r="30" spans="1:65" x14ac:dyDescent="0.25">
      <c r="A30" s="126" t="s">
        <v>103</v>
      </c>
      <c r="B30" s="84"/>
      <c r="C30" s="84"/>
      <c r="D30" s="84">
        <v>10</v>
      </c>
      <c r="E30" s="84"/>
      <c r="F30" s="49"/>
      <c r="G30" s="52">
        <v>7.9299999999999995E-2</v>
      </c>
      <c r="H30" s="52">
        <v>7.5499999999999998E-2</v>
      </c>
      <c r="I30" s="52">
        <v>6.7100000000000007E-2</v>
      </c>
      <c r="J30" s="52">
        <v>6.3100000000000003E-2</v>
      </c>
      <c r="K30" s="52">
        <v>5.5599999999999997E-2</v>
      </c>
      <c r="L30" s="52">
        <v>6.3600000000000004E-2</v>
      </c>
      <c r="AM30" s="127" t="b">
        <f t="shared" si="0"/>
        <v>1</v>
      </c>
      <c r="AN30" s="127" t="str">
        <f t="shared" si="1"/>
        <v>Cost of debt</v>
      </c>
      <c r="AO30" s="129"/>
      <c r="AP30" s="129"/>
      <c r="AQ30" s="129"/>
      <c r="AR30" s="129"/>
      <c r="AS30" s="129"/>
      <c r="AT30" s="129"/>
      <c r="AU30" s="129"/>
      <c r="AV30" s="129"/>
      <c r="AW30" s="129">
        <v>1</v>
      </c>
      <c r="AX30" s="197">
        <v>1</v>
      </c>
      <c r="AY30" s="197">
        <v>1</v>
      </c>
      <c r="AZ30" s="197">
        <v>1</v>
      </c>
      <c r="BA30" s="197"/>
      <c r="BB30" s="129"/>
      <c r="BC30" s="129"/>
      <c r="BD30" s="129"/>
      <c r="BE30" s="129"/>
      <c r="BF30" s="129"/>
      <c r="BG30" s="129"/>
      <c r="BH30" s="129"/>
      <c r="BI30" s="129"/>
      <c r="BJ30" s="129"/>
      <c r="BK30" s="129"/>
      <c r="BL30" s="129"/>
      <c r="BM30" s="197">
        <v>1</v>
      </c>
    </row>
    <row r="31" spans="1:65" s="4" customFormat="1" x14ac:dyDescent="0.25">
      <c r="A31" s="187" t="s">
        <v>440</v>
      </c>
      <c r="B31" s="84"/>
      <c r="C31" s="84"/>
      <c r="D31" s="84"/>
      <c r="E31" s="84"/>
      <c r="F31" s="49" t="b">
        <f>TRUE()</f>
        <v>1</v>
      </c>
      <c r="G31"/>
      <c r="H31"/>
      <c r="I31"/>
      <c r="J31"/>
      <c r="K31"/>
      <c r="L31"/>
      <c r="M31"/>
      <c r="N31"/>
      <c r="O31"/>
      <c r="P31"/>
      <c r="Q31"/>
      <c r="R31"/>
      <c r="S31"/>
      <c r="T31"/>
      <c r="U31"/>
      <c r="V31"/>
      <c r="W31"/>
      <c r="X31"/>
      <c r="Y31"/>
      <c r="Z31"/>
      <c r="AA31"/>
      <c r="AB31"/>
      <c r="AC31"/>
      <c r="AD31"/>
      <c r="AE31"/>
      <c r="AF31"/>
      <c r="AG31"/>
      <c r="AH31"/>
      <c r="AI31"/>
      <c r="AJ31"/>
      <c r="AK31"/>
      <c r="AL31"/>
      <c r="AM31" s="127" t="b">
        <f t="shared" si="0"/>
        <v>1</v>
      </c>
      <c r="AN31" s="127" t="str">
        <f t="shared" si="1"/>
        <v>Notional deductible interest — Nov 2014 definition</v>
      </c>
      <c r="AO31" s="129">
        <v>1</v>
      </c>
      <c r="AP31" s="129">
        <v>1</v>
      </c>
      <c r="AQ31" s="129">
        <v>1</v>
      </c>
      <c r="AR31" s="129">
        <v>1</v>
      </c>
      <c r="AS31" s="129">
        <v>1</v>
      </c>
      <c r="AT31" s="129">
        <v>1</v>
      </c>
      <c r="AU31" s="129">
        <v>1</v>
      </c>
      <c r="AV31" s="129">
        <v>1</v>
      </c>
      <c r="AW31" s="129">
        <v>1</v>
      </c>
      <c r="AX31" s="197">
        <v>1</v>
      </c>
      <c r="AY31" s="197">
        <v>1</v>
      </c>
      <c r="AZ31" s="197">
        <v>1</v>
      </c>
      <c r="BA31" s="197">
        <v>1</v>
      </c>
      <c r="BB31" s="129">
        <v>1</v>
      </c>
      <c r="BC31" s="129">
        <v>1</v>
      </c>
      <c r="BD31" s="129">
        <v>1</v>
      </c>
      <c r="BE31" s="129">
        <v>1</v>
      </c>
      <c r="BF31" s="129">
        <v>1</v>
      </c>
      <c r="BG31" s="129">
        <v>1</v>
      </c>
      <c r="BH31" s="129">
        <v>1</v>
      </c>
      <c r="BI31" s="129">
        <v>1</v>
      </c>
      <c r="BJ31" s="129">
        <v>1</v>
      </c>
      <c r="BK31" s="129">
        <v>1</v>
      </c>
      <c r="BL31" s="129">
        <v>1</v>
      </c>
      <c r="BM31" s="197">
        <v>1</v>
      </c>
    </row>
    <row r="32" spans="1:65" s="4" customFormat="1" x14ac:dyDescent="0.25">
      <c r="A32" s="187" t="s">
        <v>440</v>
      </c>
      <c r="B32" s="84"/>
      <c r="C32" s="84"/>
      <c r="D32" s="84"/>
      <c r="E32" s="84"/>
      <c r="F32" s="49" t="b">
        <f>FALSE()</f>
        <v>0</v>
      </c>
      <c r="G32"/>
      <c r="H32"/>
      <c r="I32"/>
      <c r="J32"/>
      <c r="K32"/>
      <c r="L32"/>
      <c r="M32"/>
      <c r="N32"/>
      <c r="O32"/>
      <c r="P32"/>
      <c r="Q32"/>
      <c r="R32"/>
      <c r="S32"/>
      <c r="T32"/>
      <c r="U32"/>
      <c r="V32"/>
      <c r="W32"/>
      <c r="X32"/>
      <c r="Y32"/>
      <c r="Z32"/>
      <c r="AA32"/>
      <c r="AB32"/>
      <c r="AC32"/>
      <c r="AD32"/>
      <c r="AE32"/>
      <c r="AF32"/>
      <c r="AG32"/>
      <c r="AH32"/>
      <c r="AI32"/>
      <c r="AJ32"/>
      <c r="AK32"/>
      <c r="AL32"/>
      <c r="AM32" s="127" t="b">
        <f t="shared" si="0"/>
        <v>0</v>
      </c>
      <c r="AN32" s="127" t="str">
        <f t="shared" si="1"/>
        <v/>
      </c>
      <c r="AO32" s="129"/>
      <c r="AP32" s="129"/>
      <c r="AQ32" s="129"/>
      <c r="AR32" s="129"/>
      <c r="AS32" s="129"/>
      <c r="AT32" s="129"/>
      <c r="AU32" s="129"/>
      <c r="AV32" s="129"/>
      <c r="AW32" s="129"/>
      <c r="AX32" s="197"/>
      <c r="AY32" s="197"/>
      <c r="AZ32" s="197"/>
      <c r="BA32" s="197"/>
      <c r="BB32" s="129"/>
      <c r="BC32" s="129"/>
      <c r="BD32" s="129"/>
      <c r="BE32" s="129"/>
      <c r="BF32" s="129"/>
      <c r="BG32" s="129"/>
      <c r="BH32" s="129"/>
      <c r="BI32" s="129"/>
      <c r="BJ32" s="129"/>
      <c r="BK32" s="129"/>
      <c r="BL32" s="129"/>
      <c r="BM32" s="197"/>
    </row>
    <row r="33" spans="1:65" s="4" customFormat="1" x14ac:dyDescent="0.25">
      <c r="A33" s="198" t="s">
        <v>547</v>
      </c>
      <c r="B33" s="84"/>
      <c r="C33" s="84"/>
      <c r="D33" s="84"/>
      <c r="E33" s="84"/>
      <c r="F33" s="49" t="b">
        <f>TRUE()</f>
        <v>1</v>
      </c>
      <c r="AM33" s="127" t="b">
        <f t="shared" si="0"/>
        <v>1</v>
      </c>
      <c r="AN33" s="127" t="str">
        <f t="shared" si="1"/>
        <v>Mid-year cash flow timing for disposed assets</v>
      </c>
      <c r="AO33" s="129">
        <v>1</v>
      </c>
      <c r="AP33" s="129">
        <v>1</v>
      </c>
      <c r="AQ33" s="129">
        <v>1</v>
      </c>
      <c r="AR33" s="129">
        <v>1</v>
      </c>
      <c r="AS33" s="129">
        <v>1</v>
      </c>
      <c r="AT33" s="129">
        <v>1</v>
      </c>
      <c r="AU33" s="129">
        <v>1</v>
      </c>
      <c r="AV33" s="129">
        <v>1</v>
      </c>
      <c r="AW33" s="129">
        <v>1</v>
      </c>
      <c r="AX33" s="129">
        <v>1</v>
      </c>
      <c r="AY33" s="129">
        <v>1</v>
      </c>
      <c r="AZ33" s="129">
        <v>1</v>
      </c>
      <c r="BA33" s="129">
        <v>1</v>
      </c>
      <c r="BB33" s="129">
        <v>1</v>
      </c>
      <c r="BC33" s="129">
        <v>1</v>
      </c>
      <c r="BD33" s="129">
        <v>1</v>
      </c>
      <c r="BE33" s="129">
        <v>1</v>
      </c>
      <c r="BF33" s="129">
        <v>1</v>
      </c>
      <c r="BG33" s="129">
        <v>1</v>
      </c>
      <c r="BH33" s="129">
        <v>1</v>
      </c>
      <c r="BI33" s="129">
        <v>1</v>
      </c>
      <c r="BJ33" s="129">
        <v>1</v>
      </c>
      <c r="BK33" s="129">
        <v>1</v>
      </c>
      <c r="BL33" s="129">
        <v>1</v>
      </c>
      <c r="BM33" s="129">
        <v>1</v>
      </c>
    </row>
    <row r="34" spans="1:65" s="4" customFormat="1" x14ac:dyDescent="0.25">
      <c r="A34" s="198" t="s">
        <v>547</v>
      </c>
      <c r="B34" s="84"/>
      <c r="C34" s="84"/>
      <c r="D34" s="84"/>
      <c r="E34" s="84"/>
      <c r="F34" s="49" t="b">
        <f>FALSE()</f>
        <v>0</v>
      </c>
      <c r="AM34" s="127" t="b">
        <f t="shared" si="0"/>
        <v>0</v>
      </c>
      <c r="AN34" s="127" t="str">
        <f t="shared" si="1"/>
        <v/>
      </c>
      <c r="AO34" s="129"/>
      <c r="AP34" s="129"/>
      <c r="AQ34" s="129"/>
      <c r="AR34" s="129"/>
      <c r="AS34" s="129"/>
      <c r="AT34" s="129"/>
      <c r="AU34" s="129"/>
      <c r="AV34" s="129"/>
      <c r="AW34" s="129"/>
      <c r="AX34" s="197"/>
      <c r="AY34" s="197"/>
      <c r="AZ34" s="197"/>
      <c r="BA34" s="197"/>
      <c r="BB34" s="129"/>
      <c r="BC34" s="129"/>
      <c r="BD34" s="129"/>
      <c r="BE34" s="129"/>
      <c r="BF34" s="129"/>
      <c r="BG34" s="129"/>
      <c r="BH34" s="129"/>
      <c r="BI34" s="129"/>
      <c r="BJ34" s="129"/>
      <c r="BK34" s="129"/>
      <c r="BL34" s="129"/>
      <c r="BM34" s="197"/>
    </row>
    <row r="35" spans="1:65" ht="45" customHeight="1" x14ac:dyDescent="0.3">
      <c r="A35" s="53" t="s">
        <v>195</v>
      </c>
      <c r="AX35" s="8"/>
      <c r="BM35" s="8"/>
    </row>
    <row r="36" spans="1:65" ht="39" x14ac:dyDescent="0.25">
      <c r="A36" s="124" t="s">
        <v>20</v>
      </c>
      <c r="B36" s="124" t="s">
        <v>192</v>
      </c>
      <c r="C36" s="124" t="s">
        <v>230</v>
      </c>
      <c r="D36" s="132" t="s">
        <v>193</v>
      </c>
      <c r="E36" s="132"/>
      <c r="F36" s="124" t="s">
        <v>105</v>
      </c>
      <c r="G36" s="124" t="s">
        <v>3</v>
      </c>
      <c r="H36" s="124" t="s">
        <v>106</v>
      </c>
      <c r="I36" s="124" t="s">
        <v>474</v>
      </c>
      <c r="J36" s="124" t="s">
        <v>4</v>
      </c>
      <c r="K36" s="124" t="s">
        <v>5</v>
      </c>
      <c r="L36" s="124" t="s">
        <v>107</v>
      </c>
      <c r="M36" s="124" t="s">
        <v>108</v>
      </c>
      <c r="N36" s="124" t="s">
        <v>109</v>
      </c>
      <c r="O36" s="124" t="s">
        <v>110</v>
      </c>
      <c r="P36" s="124" t="s">
        <v>111</v>
      </c>
      <c r="Q36" s="124" t="s">
        <v>6</v>
      </c>
      <c r="R36" s="124" t="s">
        <v>112</v>
      </c>
      <c r="S36" s="124" t="s">
        <v>473</v>
      </c>
      <c r="T36" s="124" t="s">
        <v>472</v>
      </c>
      <c r="U36" s="124" t="s">
        <v>113</v>
      </c>
      <c r="V36" s="124" t="s">
        <v>28</v>
      </c>
      <c r="W36" s="125" t="s">
        <v>29</v>
      </c>
      <c r="X36" s="125" t="s">
        <v>30</v>
      </c>
      <c r="Y36" s="125" t="s">
        <v>31</v>
      </c>
      <c r="Z36" s="125" t="s">
        <v>32</v>
      </c>
      <c r="AA36" s="125" t="s">
        <v>33</v>
      </c>
      <c r="AB36" s="125" t="s">
        <v>34</v>
      </c>
      <c r="AC36" s="125" t="s">
        <v>35</v>
      </c>
      <c r="AD36" s="125" t="s">
        <v>36</v>
      </c>
      <c r="AE36" s="125" t="s">
        <v>37</v>
      </c>
      <c r="AF36" s="125" t="s">
        <v>38</v>
      </c>
      <c r="AG36" s="125" t="s">
        <v>39</v>
      </c>
      <c r="AH36" s="125" t="s">
        <v>40</v>
      </c>
      <c r="AI36" s="125" t="s">
        <v>158</v>
      </c>
      <c r="AJ36" s="125" t="s">
        <v>478</v>
      </c>
      <c r="AK36" s="125" t="s">
        <v>157</v>
      </c>
      <c r="AL36" s="4"/>
      <c r="AM36" s="128" t="s">
        <v>196</v>
      </c>
      <c r="AN36" s="128" t="s">
        <v>197</v>
      </c>
      <c r="AO36" s="128">
        <v>1</v>
      </c>
      <c r="AP36" s="128">
        <v>2</v>
      </c>
      <c r="AQ36" s="128">
        <v>3</v>
      </c>
      <c r="AR36" s="128">
        <v>4</v>
      </c>
      <c r="AS36" s="128">
        <v>5</v>
      </c>
      <c r="AT36" s="128">
        <v>6</v>
      </c>
      <c r="AU36" s="128">
        <v>7</v>
      </c>
      <c r="AV36" s="128">
        <v>8</v>
      </c>
      <c r="AW36" s="128">
        <v>9</v>
      </c>
      <c r="AX36" s="196">
        <v>10</v>
      </c>
      <c r="AY36" s="196">
        <v>11</v>
      </c>
      <c r="AZ36" s="196">
        <v>12</v>
      </c>
      <c r="BA36" s="196">
        <v>13</v>
      </c>
      <c r="BB36" s="128">
        <v>14</v>
      </c>
      <c r="BC36" s="128">
        <v>15</v>
      </c>
      <c r="BD36" s="128">
        <v>16</v>
      </c>
      <c r="BE36" s="128">
        <v>17</v>
      </c>
      <c r="BF36" s="128">
        <v>18</v>
      </c>
      <c r="BG36" s="128">
        <v>19</v>
      </c>
      <c r="BH36" s="128">
        <v>20</v>
      </c>
      <c r="BI36" s="128">
        <v>21</v>
      </c>
      <c r="BJ36" s="128">
        <v>22</v>
      </c>
      <c r="BK36" s="128">
        <v>23</v>
      </c>
      <c r="BL36" s="128">
        <v>24</v>
      </c>
      <c r="BM36" s="196">
        <v>10</v>
      </c>
    </row>
    <row r="37" spans="1:65" x14ac:dyDescent="0.25">
      <c r="A37" s="49"/>
      <c r="B37" s="49"/>
      <c r="C37" s="46"/>
      <c r="D37" s="46"/>
      <c r="E37" s="46"/>
      <c r="F37" s="46">
        <v>1</v>
      </c>
      <c r="G37" s="46">
        <v>2</v>
      </c>
      <c r="H37" s="46">
        <v>3</v>
      </c>
      <c r="I37" s="46">
        <v>4</v>
      </c>
      <c r="J37" s="46">
        <v>5</v>
      </c>
      <c r="K37" s="46">
        <v>6</v>
      </c>
      <c r="L37" s="46">
        <v>7</v>
      </c>
      <c r="M37" s="46">
        <v>8</v>
      </c>
      <c r="N37" s="46">
        <v>9</v>
      </c>
      <c r="O37" s="46">
        <v>10</v>
      </c>
      <c r="P37" s="46">
        <v>11</v>
      </c>
      <c r="Q37" s="46">
        <v>12</v>
      </c>
      <c r="R37" s="46">
        <v>13</v>
      </c>
      <c r="S37" s="46">
        <v>14</v>
      </c>
      <c r="T37" s="46">
        <v>15</v>
      </c>
      <c r="U37" s="46">
        <v>16</v>
      </c>
      <c r="V37" s="46">
        <v>17</v>
      </c>
      <c r="W37" s="28">
        <v>18</v>
      </c>
      <c r="X37" s="28">
        <v>19</v>
      </c>
      <c r="Y37" s="28">
        <v>20</v>
      </c>
      <c r="Z37" s="28">
        <v>21</v>
      </c>
      <c r="AA37" s="28">
        <v>22</v>
      </c>
      <c r="AB37" s="28">
        <v>23</v>
      </c>
      <c r="AC37" s="28">
        <v>24</v>
      </c>
      <c r="AD37" s="28">
        <v>25</v>
      </c>
      <c r="AE37" s="28">
        <v>26</v>
      </c>
      <c r="AF37" s="28">
        <v>27</v>
      </c>
      <c r="AG37" s="28">
        <v>28</v>
      </c>
      <c r="AH37" s="28">
        <v>29</v>
      </c>
      <c r="AI37" s="28">
        <v>30</v>
      </c>
      <c r="AJ37" s="28">
        <v>31</v>
      </c>
      <c r="AK37" s="28">
        <v>32</v>
      </c>
      <c r="AL37" s="4"/>
      <c r="AM37" s="127"/>
      <c r="AN37" s="127"/>
      <c r="AO37" s="129"/>
      <c r="AP37" s="129"/>
      <c r="AQ37" s="129"/>
      <c r="AR37" s="129"/>
      <c r="AS37" s="129"/>
      <c r="AT37" s="129"/>
      <c r="AU37" s="129"/>
      <c r="AV37" s="129"/>
      <c r="AW37" s="129"/>
      <c r="AX37" s="197"/>
      <c r="AY37" s="197"/>
      <c r="AZ37" s="197"/>
      <c r="BA37" s="197"/>
      <c r="BB37" s="129"/>
      <c r="BC37" s="129"/>
      <c r="BD37" s="129"/>
      <c r="BE37" s="129"/>
      <c r="BF37" s="129"/>
      <c r="BG37" s="129"/>
      <c r="BH37" s="129"/>
      <c r="BI37" s="129"/>
      <c r="BJ37" s="129"/>
      <c r="BK37" s="129"/>
      <c r="BL37" s="129"/>
      <c r="BM37" s="197"/>
    </row>
    <row r="38" spans="1:65" x14ac:dyDescent="0.25">
      <c r="A38" s="121" t="s">
        <v>60</v>
      </c>
      <c r="B38" s="121" t="s">
        <v>22</v>
      </c>
      <c r="C38" s="172" t="s">
        <v>397</v>
      </c>
      <c r="D38" s="159">
        <v>1</v>
      </c>
      <c r="E38" s="29" t="str">
        <f>INDEX(ra_ScName,MATCH(D38,ra_ScNumber,0))</f>
        <v>Expected nominal return (incl forecast asset revaluations)</v>
      </c>
      <c r="F38" s="122">
        <v>127657.6746267683</v>
      </c>
      <c r="G38" s="122">
        <v>278174.86</v>
      </c>
      <c r="H38" s="122">
        <v>42857</v>
      </c>
      <c r="I38" s="122">
        <v>113965</v>
      </c>
      <c r="J38" s="122">
        <v>158433</v>
      </c>
      <c r="K38" s="122">
        <v>59452</v>
      </c>
      <c r="L38" s="122">
        <v>99283.174584512322</v>
      </c>
      <c r="M38" s="122">
        <v>27058.117302182734</v>
      </c>
      <c r="N38" s="122">
        <v>149225</v>
      </c>
      <c r="O38" s="122">
        <v>130998</v>
      </c>
      <c r="P38" s="122">
        <v>1275729.2823470344</v>
      </c>
      <c r="Q38" s="122">
        <v>168527.97435947764</v>
      </c>
      <c r="R38" s="122">
        <v>137423</v>
      </c>
      <c r="S38" s="122">
        <v>426853.74653996591</v>
      </c>
      <c r="T38" s="122">
        <v>2273866.0351738334</v>
      </c>
      <c r="U38" s="122">
        <v>528459.48184932198</v>
      </c>
      <c r="V38" s="122" t="s">
        <v>165</v>
      </c>
      <c r="W38" s="122" t="s">
        <v>165</v>
      </c>
      <c r="X38" s="122" t="s">
        <v>165</v>
      </c>
      <c r="Y38" s="122" t="s">
        <v>165</v>
      </c>
      <c r="Z38" s="122" t="s">
        <v>165</v>
      </c>
      <c r="AA38" s="122" t="s">
        <v>165</v>
      </c>
      <c r="AB38" s="122" t="s">
        <v>165</v>
      </c>
      <c r="AC38" s="122" t="s">
        <v>165</v>
      </c>
      <c r="AD38" s="122" t="s">
        <v>165</v>
      </c>
      <c r="AE38" s="122" t="s">
        <v>165</v>
      </c>
      <c r="AF38" s="122" t="s">
        <v>165</v>
      </c>
      <c r="AG38" s="122" t="s">
        <v>165</v>
      </c>
      <c r="AH38" s="122" t="s">
        <v>165</v>
      </c>
      <c r="AI38" s="117">
        <f>SUM(F38:AH38)</f>
        <v>5997963.346783096</v>
      </c>
      <c r="AJ38" s="117">
        <f>SUM(F38:U38)</f>
        <v>5997963.346783096</v>
      </c>
      <c r="AK38" s="117">
        <f>SUM(W38:AH38)</f>
        <v>0</v>
      </c>
      <c r="AL38" s="4"/>
      <c r="AM38" s="127" t="b">
        <f>IF(INDEX($AO38:$BM38,0,$F$14)=1,TRUE,FALSE)</f>
        <v>0</v>
      </c>
      <c r="AN38" s="127" t="str">
        <f>IF(AM38,A38&amp;", "&amp;B38,"")</f>
        <v/>
      </c>
      <c r="AO38" s="129">
        <v>1</v>
      </c>
      <c r="AP38" s="129">
        <v>1</v>
      </c>
      <c r="AQ38" s="129">
        <v>1</v>
      </c>
      <c r="AR38" s="129"/>
      <c r="AS38" s="129"/>
      <c r="AT38" s="129"/>
      <c r="AU38" s="129"/>
      <c r="AV38" s="129"/>
      <c r="AW38" s="129"/>
      <c r="AX38" s="197"/>
      <c r="AY38" s="197"/>
      <c r="AZ38" s="197"/>
      <c r="BA38" s="197">
        <v>1</v>
      </c>
      <c r="BB38" s="129">
        <v>1</v>
      </c>
      <c r="BC38" s="129">
        <v>1</v>
      </c>
      <c r="BD38" s="129">
        <v>1</v>
      </c>
      <c r="BE38" s="129">
        <v>1</v>
      </c>
      <c r="BF38" s="129">
        <v>1</v>
      </c>
      <c r="BG38" s="129">
        <v>1</v>
      </c>
      <c r="BH38" s="129">
        <v>1</v>
      </c>
      <c r="BI38" s="129">
        <v>1</v>
      </c>
      <c r="BJ38" s="129">
        <v>1</v>
      </c>
      <c r="BK38" s="129">
        <v>1</v>
      </c>
      <c r="BL38" s="129"/>
      <c r="BM38" s="197"/>
    </row>
    <row r="39" spans="1:65" x14ac:dyDescent="0.25">
      <c r="A39" s="121" t="s">
        <v>49</v>
      </c>
      <c r="B39" s="121" t="s">
        <v>22</v>
      </c>
      <c r="C39" s="186" t="s">
        <v>222</v>
      </c>
      <c r="D39" s="160">
        <v>1</v>
      </c>
      <c r="E39" s="29" t="str">
        <f>INDEX(ra_ScName,MATCH(D39,ra_ScNumber,0))</f>
        <v>Expected nominal return (incl forecast asset revaluations)</v>
      </c>
      <c r="F39" s="54"/>
      <c r="G39" s="54"/>
      <c r="H39" s="54"/>
      <c r="I39" s="54"/>
      <c r="J39" s="54"/>
      <c r="K39" s="54"/>
      <c r="L39" s="54"/>
      <c r="M39" s="54"/>
      <c r="N39" s="54"/>
      <c r="O39" s="54"/>
      <c r="P39" s="54"/>
      <c r="Q39" s="54"/>
      <c r="R39" s="54"/>
      <c r="S39" s="54"/>
      <c r="T39" s="54"/>
      <c r="U39" s="54"/>
      <c r="V39" s="54"/>
      <c r="W39" s="54"/>
      <c r="X39" s="54"/>
      <c r="Y39" s="54"/>
      <c r="Z39" s="54"/>
      <c r="AA39" s="54"/>
      <c r="AB39" s="54"/>
      <c r="AC39" s="54"/>
      <c r="AD39" s="54"/>
      <c r="AE39" s="54"/>
      <c r="AF39" s="54"/>
      <c r="AG39" s="54"/>
      <c r="AH39" s="54"/>
      <c r="AI39" s="117">
        <f>SUM(F39:AH39)</f>
        <v>0</v>
      </c>
      <c r="AJ39" s="117">
        <f>SUM(F39:U39)</f>
        <v>0</v>
      </c>
      <c r="AK39" s="117">
        <f>SUM(W39:AH39)</f>
        <v>0</v>
      </c>
      <c r="AL39" s="4"/>
      <c r="AM39" s="127" t="b">
        <f>IF(INDEX($AO39:$BM39,0,$F$14)=1,TRUE,FALSE)</f>
        <v>0</v>
      </c>
      <c r="AN39" s="127" t="str">
        <f>IF(AM39,A39&amp;", "&amp;B39,"")</f>
        <v/>
      </c>
      <c r="AO39" s="129">
        <v>1</v>
      </c>
      <c r="AP39" s="129">
        <v>1</v>
      </c>
      <c r="AQ39" s="129">
        <v>1</v>
      </c>
      <c r="AR39" s="129"/>
      <c r="AS39" s="129"/>
      <c r="AT39" s="129"/>
      <c r="AU39" s="129"/>
      <c r="AV39" s="129"/>
      <c r="AW39" s="129"/>
      <c r="AX39" s="197"/>
      <c r="AY39" s="197"/>
      <c r="AZ39" s="197"/>
      <c r="BA39" s="197">
        <v>1</v>
      </c>
      <c r="BB39" s="129">
        <v>1</v>
      </c>
      <c r="BC39" s="129">
        <v>1</v>
      </c>
      <c r="BD39" s="129">
        <v>1</v>
      </c>
      <c r="BE39" s="129">
        <v>1</v>
      </c>
      <c r="BF39" s="129">
        <v>1</v>
      </c>
      <c r="BG39" s="129">
        <v>1</v>
      </c>
      <c r="BH39" s="129">
        <v>1</v>
      </c>
      <c r="BI39" s="129">
        <v>1</v>
      </c>
      <c r="BJ39" s="129">
        <v>1</v>
      </c>
      <c r="BK39" s="129">
        <v>1</v>
      </c>
      <c r="BL39" s="129"/>
      <c r="BM39" s="197"/>
    </row>
    <row r="40" spans="1:65" x14ac:dyDescent="0.25">
      <c r="A40" s="49"/>
      <c r="B40" s="25"/>
      <c r="C40" s="49"/>
      <c r="D40" s="84"/>
      <c r="E40" s="84"/>
      <c r="F40" s="54"/>
      <c r="G40" s="54"/>
      <c r="H40" s="54"/>
      <c r="I40" s="54"/>
      <c r="J40" s="54"/>
      <c r="K40" s="54"/>
      <c r="L40" s="54"/>
      <c r="M40" s="54"/>
      <c r="N40" s="54"/>
      <c r="O40" s="54"/>
      <c r="P40" s="54"/>
      <c r="Q40" s="54"/>
      <c r="R40" s="54"/>
      <c r="S40" s="54"/>
      <c r="T40" s="54"/>
      <c r="U40" s="54"/>
      <c r="V40" s="54"/>
      <c r="W40" s="54"/>
      <c r="X40" s="54"/>
      <c r="Y40" s="54"/>
      <c r="Z40" s="54"/>
      <c r="AA40" s="54"/>
      <c r="AB40" s="54"/>
      <c r="AC40" s="54"/>
      <c r="AD40" s="54"/>
      <c r="AE40" s="54"/>
      <c r="AF40" s="54"/>
      <c r="AG40" s="54"/>
      <c r="AH40" s="54"/>
      <c r="AI40" s="54"/>
      <c r="AJ40" s="54"/>
      <c r="AK40" s="54"/>
      <c r="AL40" s="4"/>
      <c r="AM40" s="127"/>
      <c r="AN40" s="127"/>
      <c r="AO40" s="129"/>
      <c r="AP40" s="129"/>
      <c r="AQ40" s="129"/>
      <c r="AR40" s="129"/>
      <c r="AS40" s="129"/>
      <c r="AT40" s="129"/>
      <c r="AU40" s="129"/>
      <c r="AV40" s="129"/>
      <c r="AW40" s="129"/>
      <c r="AX40" s="197"/>
      <c r="AY40" s="197"/>
      <c r="AZ40" s="197"/>
      <c r="BA40" s="197"/>
      <c r="BB40" s="129"/>
      <c r="BC40" s="129"/>
      <c r="BD40" s="129"/>
      <c r="BE40" s="129"/>
      <c r="BF40" s="129"/>
      <c r="BG40" s="129"/>
      <c r="BH40" s="129"/>
      <c r="BI40" s="129"/>
      <c r="BJ40" s="129"/>
      <c r="BK40" s="129"/>
      <c r="BL40" s="129"/>
      <c r="BM40" s="197"/>
    </row>
    <row r="41" spans="1:65" x14ac:dyDescent="0.25">
      <c r="A41" s="121"/>
      <c r="B41" s="123"/>
      <c r="C41" s="123"/>
      <c r="D41" s="46"/>
      <c r="E41" s="46"/>
      <c r="F41" s="47"/>
      <c r="G41" s="49"/>
      <c r="H41" s="49"/>
      <c r="I41" s="49"/>
      <c r="J41" s="49"/>
      <c r="K41" s="49"/>
      <c r="L41" s="49"/>
      <c r="M41" s="49"/>
      <c r="N41" s="49"/>
      <c r="O41" s="49"/>
      <c r="P41" s="49"/>
      <c r="Q41" s="49"/>
      <c r="R41" s="49"/>
      <c r="S41" s="49"/>
      <c r="T41" s="49"/>
      <c r="U41" s="49"/>
      <c r="V41" s="49"/>
      <c r="W41" s="32"/>
      <c r="X41" s="32"/>
      <c r="Y41" s="32"/>
      <c r="Z41" s="32"/>
      <c r="AA41" s="32"/>
      <c r="AB41" s="32"/>
      <c r="AC41" s="32"/>
      <c r="AD41" s="32"/>
      <c r="AE41" s="32"/>
      <c r="AF41" s="32"/>
      <c r="AG41" s="32"/>
      <c r="AH41" s="32"/>
      <c r="AI41" s="54"/>
      <c r="AJ41" s="54"/>
      <c r="AK41" s="54"/>
      <c r="AL41" s="4"/>
      <c r="AM41" s="127"/>
      <c r="AN41" s="127"/>
      <c r="AO41" s="129"/>
      <c r="AP41" s="129"/>
      <c r="AQ41" s="129"/>
      <c r="AR41" s="129"/>
      <c r="AS41" s="129"/>
      <c r="AT41" s="129"/>
      <c r="AU41" s="129"/>
      <c r="AV41" s="129"/>
      <c r="AW41" s="129"/>
      <c r="AX41" s="197"/>
      <c r="AY41" s="197"/>
      <c r="AZ41" s="197"/>
      <c r="BA41" s="197"/>
      <c r="BB41" s="129"/>
      <c r="BC41" s="129"/>
      <c r="BD41" s="129"/>
      <c r="BE41" s="129"/>
      <c r="BF41" s="129"/>
      <c r="BG41" s="129"/>
      <c r="BH41" s="129"/>
      <c r="BI41" s="129"/>
      <c r="BJ41" s="129"/>
      <c r="BK41" s="129"/>
      <c r="BL41" s="129"/>
      <c r="BM41" s="197"/>
    </row>
    <row r="42" spans="1:65" x14ac:dyDescent="0.25">
      <c r="A42" s="121" t="s">
        <v>60</v>
      </c>
      <c r="B42" s="121" t="s">
        <v>22</v>
      </c>
      <c r="C42" s="172" t="s">
        <v>208</v>
      </c>
      <c r="D42" s="159">
        <v>10</v>
      </c>
      <c r="E42" s="29" t="str">
        <f>INDEX(ra_ScName,MATCH(D42,ra_ScNumber,0))</f>
        <v>Disclosed nominal return (incl actual asset revaluations)</v>
      </c>
      <c r="F42" s="122">
        <v>127658.0267346656</v>
      </c>
      <c r="G42" s="122">
        <v>285613</v>
      </c>
      <c r="H42" s="122">
        <v>43170.327005351857</v>
      </c>
      <c r="I42" s="122">
        <v>117351.02318562799</v>
      </c>
      <c r="J42" s="122">
        <v>158439</v>
      </c>
      <c r="K42" s="122">
        <v>59452</v>
      </c>
      <c r="L42" s="122">
        <v>99283.174584512322</v>
      </c>
      <c r="M42" s="122">
        <v>27058</v>
      </c>
      <c r="N42" s="122">
        <v>150201</v>
      </c>
      <c r="O42" s="122">
        <v>130997.7665</v>
      </c>
      <c r="P42" s="122">
        <v>1275729</v>
      </c>
      <c r="Q42" s="122">
        <v>168527.98133999141</v>
      </c>
      <c r="R42" s="122">
        <v>137423.2903311328</v>
      </c>
      <c r="S42" s="122">
        <v>426853.74653996591</v>
      </c>
      <c r="T42" s="122">
        <v>2273866</v>
      </c>
      <c r="U42" s="122">
        <v>528459.12843431695</v>
      </c>
      <c r="V42" s="122">
        <v>774919.12600000005</v>
      </c>
      <c r="W42" s="122">
        <v>29598.500695817071</v>
      </c>
      <c r="X42" s="122">
        <v>168892.45305999991</v>
      </c>
      <c r="Y42" s="122">
        <v>136991</v>
      </c>
      <c r="Z42" s="122">
        <v>177116</v>
      </c>
      <c r="AA42" s="122">
        <v>180393.6195</v>
      </c>
      <c r="AB42" s="122">
        <v>64927</v>
      </c>
      <c r="AC42" s="122">
        <v>208745.69291109851</v>
      </c>
      <c r="AD42" s="122">
        <v>27272</v>
      </c>
      <c r="AE42" s="122">
        <v>276178</v>
      </c>
      <c r="AF42" s="122">
        <v>80931.066425145007</v>
      </c>
      <c r="AG42" s="122">
        <v>340675.74257896439</v>
      </c>
      <c r="AH42" s="122">
        <v>105472.27499999999</v>
      </c>
      <c r="AI42" s="117">
        <f>SUM(F42:AH42)</f>
        <v>8582194.9408265911</v>
      </c>
      <c r="AJ42" s="117">
        <f>SUM(F42:U42)</f>
        <v>6010082.4646555651</v>
      </c>
      <c r="AK42" s="117">
        <f>SUM(W42:AH42)</f>
        <v>1797193.3501710247</v>
      </c>
      <c r="AL42" s="4"/>
      <c r="AM42" s="127" t="b">
        <f>IF(INDEX($AO42:$BM42,0,$F$14)=1,TRUE,FALSE)</f>
        <v>1</v>
      </c>
      <c r="AN42" s="127" t="str">
        <f>IF(AM42,A42&amp;", "&amp;B42,"")</f>
        <v>Total opening RAB value, 2009/10</v>
      </c>
      <c r="AO42" s="129"/>
      <c r="AP42" s="129"/>
      <c r="AQ42" s="129"/>
      <c r="AR42" s="129">
        <v>1</v>
      </c>
      <c r="AS42" s="129">
        <v>1</v>
      </c>
      <c r="AT42" s="129">
        <v>1</v>
      </c>
      <c r="AU42" s="129">
        <v>1</v>
      </c>
      <c r="AV42" s="129">
        <v>1</v>
      </c>
      <c r="AW42" s="129">
        <v>1</v>
      </c>
      <c r="AX42" s="197">
        <v>1</v>
      </c>
      <c r="AY42" s="197">
        <v>1</v>
      </c>
      <c r="AZ42" s="197">
        <v>1</v>
      </c>
      <c r="BA42" s="197"/>
      <c r="BB42" s="129"/>
      <c r="BC42" s="129"/>
      <c r="BD42" s="129"/>
      <c r="BE42" s="129"/>
      <c r="BF42" s="129"/>
      <c r="BG42" s="129"/>
      <c r="BH42" s="129"/>
      <c r="BI42" s="129"/>
      <c r="BJ42" s="129"/>
      <c r="BK42" s="129"/>
      <c r="BL42" s="129">
        <v>1</v>
      </c>
      <c r="BM42" s="197">
        <v>1</v>
      </c>
    </row>
    <row r="43" spans="1:65" x14ac:dyDescent="0.25">
      <c r="A43" s="121" t="s">
        <v>49</v>
      </c>
      <c r="B43" s="121" t="s">
        <v>22</v>
      </c>
      <c r="C43" s="172" t="s">
        <v>209</v>
      </c>
      <c r="D43" s="160">
        <v>10</v>
      </c>
      <c r="E43" s="29" t="str">
        <f>INDEX(ra_ScName,MATCH(D43,ra_ScNumber,0))</f>
        <v>Disclosed nominal return (incl actual asset revaluations)</v>
      </c>
      <c r="F43" s="122">
        <v>0</v>
      </c>
      <c r="G43" s="122">
        <v>-484</v>
      </c>
      <c r="H43" s="122">
        <v>0</v>
      </c>
      <c r="I43" s="122">
        <v>0</v>
      </c>
      <c r="J43" s="122">
        <v>0</v>
      </c>
      <c r="K43" s="122">
        <v>0</v>
      </c>
      <c r="L43" s="122">
        <v>0</v>
      </c>
      <c r="M43" s="122">
        <v>0</v>
      </c>
      <c r="N43" s="122">
        <v>0</v>
      </c>
      <c r="O43" s="122">
        <v>0</v>
      </c>
      <c r="P43" s="122">
        <v>0</v>
      </c>
      <c r="Q43" s="122">
        <v>0</v>
      </c>
      <c r="R43" s="122">
        <v>0</v>
      </c>
      <c r="S43" s="122">
        <v>0</v>
      </c>
      <c r="T43" s="122">
        <v>0</v>
      </c>
      <c r="U43" s="122">
        <v>0</v>
      </c>
      <c r="V43" s="122">
        <v>0</v>
      </c>
      <c r="W43" s="122">
        <v>0</v>
      </c>
      <c r="X43" s="122">
        <v>0</v>
      </c>
      <c r="Y43" s="122">
        <v>0</v>
      </c>
      <c r="Z43" s="122">
        <v>0</v>
      </c>
      <c r="AA43" s="122">
        <v>0</v>
      </c>
      <c r="AB43" s="122">
        <v>0</v>
      </c>
      <c r="AC43" s="122">
        <v>-91</v>
      </c>
      <c r="AD43" s="122">
        <v>0</v>
      </c>
      <c r="AE43" s="122">
        <v>0</v>
      </c>
      <c r="AF43" s="122">
        <v>0</v>
      </c>
      <c r="AG43" s="122">
        <v>0</v>
      </c>
      <c r="AH43" s="122">
        <v>0</v>
      </c>
      <c r="AI43" s="117">
        <f>SUM(F43:AH43)</f>
        <v>-575</v>
      </c>
      <c r="AJ43" s="117">
        <f>SUM(F43:U43)</f>
        <v>-484</v>
      </c>
      <c r="AK43" s="117">
        <f>SUM(W43:AH43)</f>
        <v>-91</v>
      </c>
      <c r="AL43" s="4"/>
      <c r="AM43" s="127" t="b">
        <f>IF(INDEX($AO43:$BM43,0,$F$14)=1,TRUE,FALSE)</f>
        <v>1</v>
      </c>
      <c r="AN43" s="127" t="str">
        <f>IF(AM43,A43&amp;", "&amp;B43,"")</f>
        <v>Opening deferred tax, 2009/10</v>
      </c>
      <c r="AO43" s="129"/>
      <c r="AP43" s="129"/>
      <c r="AQ43" s="129"/>
      <c r="AR43" s="129">
        <v>1</v>
      </c>
      <c r="AS43" s="129">
        <v>1</v>
      </c>
      <c r="AT43" s="129">
        <v>1</v>
      </c>
      <c r="AU43" s="129">
        <v>1</v>
      </c>
      <c r="AV43" s="129">
        <v>1</v>
      </c>
      <c r="AW43" s="129">
        <v>1</v>
      </c>
      <c r="AX43" s="197">
        <v>1</v>
      </c>
      <c r="AY43" s="197">
        <v>1</v>
      </c>
      <c r="AZ43" s="197">
        <v>1</v>
      </c>
      <c r="BA43" s="197"/>
      <c r="BB43" s="129"/>
      <c r="BC43" s="129"/>
      <c r="BD43" s="129"/>
      <c r="BE43" s="129"/>
      <c r="BF43" s="129"/>
      <c r="BG43" s="129"/>
      <c r="BH43" s="129"/>
      <c r="BI43" s="129"/>
      <c r="BJ43" s="129"/>
      <c r="BK43" s="129"/>
      <c r="BL43" s="129">
        <v>1</v>
      </c>
      <c r="BM43" s="197">
        <v>1</v>
      </c>
    </row>
    <row r="44" spans="1:65" x14ac:dyDescent="0.25">
      <c r="A44" s="121"/>
      <c r="B44" s="121"/>
      <c r="C44" s="172"/>
      <c r="D44" s="84"/>
      <c r="E44" s="84"/>
      <c r="F44" s="54"/>
      <c r="G44" s="54"/>
      <c r="H44" s="54"/>
      <c r="I44" s="54"/>
      <c r="J44" s="54"/>
      <c r="K44" s="54"/>
      <c r="L44" s="54"/>
      <c r="M44" s="54"/>
      <c r="N44" s="54"/>
      <c r="O44" s="54"/>
      <c r="P44" s="54"/>
      <c r="Q44" s="54"/>
      <c r="R44" s="54"/>
      <c r="S44" s="54"/>
      <c r="T44" s="54"/>
      <c r="U44" s="54"/>
      <c r="V44" s="54"/>
      <c r="W44" s="54"/>
      <c r="X44" s="54"/>
      <c r="Y44" s="54"/>
      <c r="Z44" s="54"/>
      <c r="AA44" s="54"/>
      <c r="AB44" s="54"/>
      <c r="AC44" s="54"/>
      <c r="AD44" s="54"/>
      <c r="AE44" s="54"/>
      <c r="AF44" s="54"/>
      <c r="AG44" s="54"/>
      <c r="AH44" s="54"/>
      <c r="AI44" s="54"/>
      <c r="AJ44" s="54"/>
      <c r="AK44" s="54"/>
      <c r="AL44" s="4"/>
      <c r="AM44" s="127"/>
      <c r="AN44" s="127"/>
      <c r="AO44" s="129"/>
      <c r="AP44" s="129"/>
      <c r="AQ44" s="129"/>
      <c r="AR44" s="129"/>
      <c r="AS44" s="129"/>
      <c r="AT44" s="129"/>
      <c r="AU44" s="129"/>
      <c r="AV44" s="129"/>
      <c r="AW44" s="129"/>
      <c r="AX44" s="197"/>
      <c r="AY44" s="197"/>
      <c r="AZ44" s="197"/>
      <c r="BA44" s="197"/>
      <c r="BB44" s="129"/>
      <c r="BC44" s="129"/>
      <c r="BD44" s="129"/>
      <c r="BE44" s="129"/>
      <c r="BF44" s="129"/>
      <c r="BG44" s="129"/>
      <c r="BH44" s="129"/>
      <c r="BI44" s="129"/>
      <c r="BJ44" s="129"/>
      <c r="BK44" s="129"/>
      <c r="BL44" s="129"/>
      <c r="BM44" s="197"/>
    </row>
    <row r="45" spans="1:65" x14ac:dyDescent="0.25">
      <c r="A45" s="121"/>
      <c r="B45" s="121"/>
      <c r="C45" s="172"/>
      <c r="D45" s="46"/>
      <c r="E45" s="46"/>
      <c r="F45" s="54"/>
      <c r="G45" s="54"/>
      <c r="H45" s="54"/>
      <c r="I45" s="54"/>
      <c r="J45" s="54"/>
      <c r="K45" s="54"/>
      <c r="L45" s="54"/>
      <c r="M45" s="54"/>
      <c r="N45" s="54"/>
      <c r="O45" s="54"/>
      <c r="P45" s="54"/>
      <c r="Q45" s="54"/>
      <c r="R45" s="54"/>
      <c r="S45" s="54"/>
      <c r="T45" s="54"/>
      <c r="U45" s="54"/>
      <c r="V45" s="54"/>
      <c r="W45" s="55"/>
      <c r="X45" s="55"/>
      <c r="Y45" s="55"/>
      <c r="Z45" s="55"/>
      <c r="AA45" s="55"/>
      <c r="AB45" s="55"/>
      <c r="AC45" s="55"/>
      <c r="AD45" s="55"/>
      <c r="AE45" s="55"/>
      <c r="AF45" s="55"/>
      <c r="AG45" s="55"/>
      <c r="AH45" s="55"/>
      <c r="AI45" s="54"/>
      <c r="AJ45" s="54"/>
      <c r="AK45" s="54"/>
      <c r="AL45" s="4"/>
      <c r="AM45" s="127"/>
      <c r="AN45" s="127"/>
      <c r="AO45" s="129"/>
      <c r="AP45" s="129"/>
      <c r="AQ45" s="129"/>
      <c r="AR45" s="129"/>
      <c r="AS45" s="129"/>
      <c r="AT45" s="129"/>
      <c r="AU45" s="129"/>
      <c r="AV45" s="129"/>
      <c r="AW45" s="129"/>
      <c r="AX45" s="197"/>
      <c r="AY45" s="197"/>
      <c r="AZ45" s="197"/>
      <c r="BA45" s="197"/>
      <c r="BB45" s="129"/>
      <c r="BC45" s="129"/>
      <c r="BD45" s="129"/>
      <c r="BE45" s="129"/>
      <c r="BF45" s="129"/>
      <c r="BG45" s="129"/>
      <c r="BH45" s="129"/>
      <c r="BI45" s="129"/>
      <c r="BJ45" s="129"/>
      <c r="BK45" s="129"/>
      <c r="BL45" s="129"/>
      <c r="BM45" s="197"/>
    </row>
    <row r="46" spans="1:65" x14ac:dyDescent="0.25">
      <c r="A46" s="121" t="s">
        <v>155</v>
      </c>
      <c r="B46" s="121" t="s">
        <v>23</v>
      </c>
      <c r="C46" s="186" t="s">
        <v>222</v>
      </c>
      <c r="D46" s="161">
        <v>1</v>
      </c>
      <c r="E46" s="29" t="str">
        <f>INDEX(ra_ScName,MATCH(D46,ra_ScNumber,0))</f>
        <v>Expected nominal return (incl forecast asset revaluations)</v>
      </c>
      <c r="F46" s="54"/>
      <c r="G46" s="54"/>
      <c r="H46" s="54"/>
      <c r="I46" s="54"/>
      <c r="J46" s="54"/>
      <c r="K46" s="54"/>
      <c r="L46" s="54"/>
      <c r="M46" s="54"/>
      <c r="N46" s="54"/>
      <c r="O46" s="54"/>
      <c r="P46" s="54"/>
      <c r="Q46" s="54"/>
      <c r="R46" s="54"/>
      <c r="S46" s="54"/>
      <c r="T46" s="54"/>
      <c r="U46" s="54"/>
      <c r="V46" s="54"/>
      <c r="W46" s="54"/>
      <c r="X46" s="54"/>
      <c r="Y46" s="54"/>
      <c r="Z46" s="54"/>
      <c r="AA46" s="54"/>
      <c r="AB46" s="54"/>
      <c r="AC46" s="54"/>
      <c r="AD46" s="54"/>
      <c r="AE46" s="54"/>
      <c r="AF46" s="54"/>
      <c r="AG46" s="54"/>
      <c r="AH46" s="54"/>
      <c r="AI46" s="117">
        <f>SUM(F46:AH46)</f>
        <v>0</v>
      </c>
      <c r="AJ46" s="117">
        <f>SUM(F46:U46)</f>
        <v>0</v>
      </c>
      <c r="AK46" s="117">
        <f>SUM(W46:AH46)</f>
        <v>0</v>
      </c>
      <c r="AL46" s="4"/>
      <c r="AM46" s="127" t="b">
        <f>IF(INDEX($AO46:$BM46,0,$F$14)=1,TRUE,FALSE)</f>
        <v>0</v>
      </c>
      <c r="AN46" s="127" t="str">
        <f>IF(AM46,A46&amp;", "&amp;B46,"")</f>
        <v/>
      </c>
      <c r="AO46" s="129">
        <v>1</v>
      </c>
      <c r="AP46" s="129">
        <v>1</v>
      </c>
      <c r="AQ46" s="129"/>
      <c r="AR46" s="129"/>
      <c r="AS46" s="129"/>
      <c r="AT46" s="129"/>
      <c r="AU46" s="129"/>
      <c r="AV46" s="129"/>
      <c r="AW46" s="129"/>
      <c r="AX46" s="197"/>
      <c r="AY46" s="197"/>
      <c r="AZ46" s="197"/>
      <c r="BA46" s="197"/>
      <c r="BB46" s="129"/>
      <c r="BC46" s="129"/>
      <c r="BD46" s="129"/>
      <c r="BE46" s="129"/>
      <c r="BF46" s="129"/>
      <c r="BG46" s="129"/>
      <c r="BH46" s="129"/>
      <c r="BI46" s="129"/>
      <c r="BJ46" s="129"/>
      <c r="BK46" s="129"/>
      <c r="BL46" s="129"/>
      <c r="BM46" s="197"/>
    </row>
    <row r="47" spans="1:65" x14ac:dyDescent="0.25">
      <c r="A47" s="121" t="s">
        <v>155</v>
      </c>
      <c r="B47" s="121" t="s">
        <v>24</v>
      </c>
      <c r="C47" s="186" t="s">
        <v>222</v>
      </c>
      <c r="D47" s="161">
        <v>1</v>
      </c>
      <c r="E47" s="29" t="str">
        <f>INDEX(ra_ScName,MATCH(D47,ra_ScNumber,0))</f>
        <v>Expected nominal return (incl forecast asset revaluations)</v>
      </c>
      <c r="F47" s="54"/>
      <c r="G47" s="54"/>
      <c r="H47" s="54"/>
      <c r="I47" s="54"/>
      <c r="J47" s="54"/>
      <c r="K47" s="54"/>
      <c r="L47" s="54"/>
      <c r="M47" s="54"/>
      <c r="N47" s="54"/>
      <c r="O47" s="54"/>
      <c r="P47" s="54"/>
      <c r="Q47" s="54"/>
      <c r="R47" s="54"/>
      <c r="S47" s="54"/>
      <c r="T47" s="54"/>
      <c r="U47" s="54"/>
      <c r="V47" s="54"/>
      <c r="W47" s="54"/>
      <c r="X47" s="54"/>
      <c r="Y47" s="54"/>
      <c r="Z47" s="54"/>
      <c r="AA47" s="54"/>
      <c r="AB47" s="54"/>
      <c r="AC47" s="54"/>
      <c r="AD47" s="54"/>
      <c r="AE47" s="54"/>
      <c r="AF47" s="54"/>
      <c r="AG47" s="54"/>
      <c r="AH47" s="54"/>
      <c r="AI47" s="117">
        <f>SUM(F47:AH47)</f>
        <v>0</v>
      </c>
      <c r="AJ47" s="117">
        <f>SUM(F47:U47)</f>
        <v>0</v>
      </c>
      <c r="AK47" s="117">
        <f>SUM(W47:AH47)</f>
        <v>0</v>
      </c>
      <c r="AL47" s="4"/>
      <c r="AM47" s="127" t="b">
        <f>IF(INDEX($AO47:$BM47,0,$F$14)=1,TRUE,FALSE)</f>
        <v>0</v>
      </c>
      <c r="AN47" s="127" t="str">
        <f>IF(AM47,A47&amp;", "&amp;B47,"")</f>
        <v/>
      </c>
      <c r="AO47" s="129">
        <v>1</v>
      </c>
      <c r="AP47" s="129">
        <v>1</v>
      </c>
      <c r="AQ47" s="129"/>
      <c r="AR47" s="129"/>
      <c r="AS47" s="129"/>
      <c r="AT47" s="129"/>
      <c r="AU47" s="129"/>
      <c r="AV47" s="129"/>
      <c r="AW47" s="129"/>
      <c r="AX47" s="197"/>
      <c r="AY47" s="197"/>
      <c r="AZ47" s="197"/>
      <c r="BA47" s="197"/>
      <c r="BB47" s="129"/>
      <c r="BC47" s="129"/>
      <c r="BD47" s="129"/>
      <c r="BE47" s="129"/>
      <c r="BF47" s="129"/>
      <c r="BG47" s="129"/>
      <c r="BH47" s="129"/>
      <c r="BI47" s="129"/>
      <c r="BJ47" s="129"/>
      <c r="BK47" s="129"/>
      <c r="BL47" s="129"/>
      <c r="BM47" s="197"/>
    </row>
    <row r="48" spans="1:65" x14ac:dyDescent="0.25">
      <c r="A48" s="121" t="s">
        <v>155</v>
      </c>
      <c r="B48" s="121" t="s">
        <v>25</v>
      </c>
      <c r="C48" s="172" t="s">
        <v>397</v>
      </c>
      <c r="D48" s="161">
        <v>1</v>
      </c>
      <c r="E48" s="29" t="str">
        <f>INDEX(ra_ScName,MATCH(D48,ra_ScNumber,0))</f>
        <v>Expected nominal return (incl forecast asset revaluations)</v>
      </c>
      <c r="F48" s="122">
        <v>36270.712131340522</v>
      </c>
      <c r="G48" s="122">
        <v>56441.842061854717</v>
      </c>
      <c r="H48" s="122">
        <v>9630.4886628512395</v>
      </c>
      <c r="I48" s="122">
        <v>20977.996031760449</v>
      </c>
      <c r="J48" s="122">
        <v>28948.51117976959</v>
      </c>
      <c r="K48" s="122">
        <v>13165.580869671277</v>
      </c>
      <c r="L48" s="122">
        <v>20649.049140429663</v>
      </c>
      <c r="M48" s="122">
        <v>7066.6857318134444</v>
      </c>
      <c r="N48" s="122">
        <v>28402.093665892455</v>
      </c>
      <c r="O48" s="122">
        <v>24372.108518493362</v>
      </c>
      <c r="P48" s="122">
        <v>242027.70068293621</v>
      </c>
      <c r="Q48" s="122">
        <v>32404.169387547645</v>
      </c>
      <c r="R48" s="122">
        <v>33885.994862213578</v>
      </c>
      <c r="S48" s="122">
        <v>93893.367425859469</v>
      </c>
      <c r="T48" s="122">
        <v>404717.48447256733</v>
      </c>
      <c r="U48" s="122">
        <v>107152.20299827274</v>
      </c>
      <c r="V48" s="122" t="s">
        <v>165</v>
      </c>
      <c r="W48" s="122" t="s">
        <v>165</v>
      </c>
      <c r="X48" s="122" t="s">
        <v>165</v>
      </c>
      <c r="Y48" s="122" t="s">
        <v>165</v>
      </c>
      <c r="Z48" s="122" t="s">
        <v>165</v>
      </c>
      <c r="AA48" s="122" t="s">
        <v>165</v>
      </c>
      <c r="AB48" s="122" t="s">
        <v>165</v>
      </c>
      <c r="AC48" s="122" t="s">
        <v>165</v>
      </c>
      <c r="AD48" s="122" t="s">
        <v>165</v>
      </c>
      <c r="AE48" s="122" t="s">
        <v>165</v>
      </c>
      <c r="AF48" s="122" t="s">
        <v>165</v>
      </c>
      <c r="AG48" s="122" t="s">
        <v>165</v>
      </c>
      <c r="AH48" s="122" t="s">
        <v>165</v>
      </c>
      <c r="AI48" s="117">
        <f>SUM(F48:AH48)</f>
        <v>1160005.9878232738</v>
      </c>
      <c r="AJ48" s="117">
        <f>SUM(F48:U48)</f>
        <v>1160005.9878232738</v>
      </c>
      <c r="AK48" s="117">
        <f>SUM(W48:AH48)</f>
        <v>0</v>
      </c>
      <c r="AL48" s="4"/>
      <c r="AM48" s="127" t="b">
        <f>IF(INDEX($AO48:$BM48,0,$F$14)=1,TRUE,FALSE)</f>
        <v>0</v>
      </c>
      <c r="AN48" s="127" t="str">
        <f>IF(AM48,A48&amp;", "&amp;B48,"")</f>
        <v/>
      </c>
      <c r="AO48" s="129">
        <v>1</v>
      </c>
      <c r="AP48" s="129">
        <v>1</v>
      </c>
      <c r="AQ48" s="129"/>
      <c r="AR48" s="129"/>
      <c r="AS48" s="129"/>
      <c r="AT48" s="129"/>
      <c r="AU48" s="129"/>
      <c r="AV48" s="129"/>
      <c r="AW48" s="129"/>
      <c r="AX48" s="197"/>
      <c r="AY48" s="197"/>
      <c r="AZ48" s="197"/>
      <c r="BA48" s="197"/>
      <c r="BB48" s="129"/>
      <c r="BC48" s="129"/>
      <c r="BD48" s="129"/>
      <c r="BE48" s="129"/>
      <c r="BF48" s="129"/>
      <c r="BG48" s="129"/>
      <c r="BH48" s="129"/>
      <c r="BI48" s="129"/>
      <c r="BJ48" s="129"/>
      <c r="BK48" s="129"/>
      <c r="BL48" s="129"/>
      <c r="BM48" s="197"/>
    </row>
    <row r="49" spans="1:65" x14ac:dyDescent="0.25">
      <c r="A49" s="121" t="s">
        <v>155</v>
      </c>
      <c r="B49" s="121" t="s">
        <v>26</v>
      </c>
      <c r="C49" s="172" t="s">
        <v>397</v>
      </c>
      <c r="D49" s="161">
        <v>1</v>
      </c>
      <c r="E49" s="29" t="str">
        <f>INDEX(ra_ScName,MATCH(D49,ra_ScNumber,0))</f>
        <v>Expected nominal return (incl forecast asset revaluations)</v>
      </c>
      <c r="F49" s="122">
        <v>35606.127677340082</v>
      </c>
      <c r="G49" s="122">
        <v>58156.897843142251</v>
      </c>
      <c r="H49" s="122">
        <v>9380.3162098429384</v>
      </c>
      <c r="I49" s="122">
        <v>21428.118043605049</v>
      </c>
      <c r="J49" s="122">
        <v>30110.189403276338</v>
      </c>
      <c r="K49" s="122">
        <v>13462.950590292608</v>
      </c>
      <c r="L49" s="122">
        <v>21126.153941995814</v>
      </c>
      <c r="M49" s="122">
        <v>7272.8078405408141</v>
      </c>
      <c r="N49" s="122">
        <v>29250.610569581684</v>
      </c>
      <c r="O49" s="122">
        <v>25026.145129017772</v>
      </c>
      <c r="P49" s="122">
        <v>249039.07425494294</v>
      </c>
      <c r="Q49" s="122">
        <v>31626.41858989156</v>
      </c>
      <c r="R49" s="122">
        <v>33187.491046463481</v>
      </c>
      <c r="S49" s="122">
        <v>92582.725722132614</v>
      </c>
      <c r="T49" s="122">
        <v>421260.9160931696</v>
      </c>
      <c r="U49" s="122">
        <v>110585.59172908995</v>
      </c>
      <c r="V49" s="122" t="s">
        <v>165</v>
      </c>
      <c r="W49" s="122" t="s">
        <v>165</v>
      </c>
      <c r="X49" s="122" t="s">
        <v>165</v>
      </c>
      <c r="Y49" s="122" t="s">
        <v>165</v>
      </c>
      <c r="Z49" s="122" t="s">
        <v>165</v>
      </c>
      <c r="AA49" s="122" t="s">
        <v>165</v>
      </c>
      <c r="AB49" s="122" t="s">
        <v>165</v>
      </c>
      <c r="AC49" s="122" t="s">
        <v>165</v>
      </c>
      <c r="AD49" s="122" t="s">
        <v>165</v>
      </c>
      <c r="AE49" s="122" t="s">
        <v>165</v>
      </c>
      <c r="AF49" s="122" t="s">
        <v>165</v>
      </c>
      <c r="AG49" s="122" t="s">
        <v>165</v>
      </c>
      <c r="AH49" s="122" t="s">
        <v>165</v>
      </c>
      <c r="AI49" s="117">
        <f>SUM(F49:AH49)</f>
        <v>1189102.5346843253</v>
      </c>
      <c r="AJ49" s="117">
        <f>SUM(F49:U49)</f>
        <v>1189102.5346843253</v>
      </c>
      <c r="AK49" s="117">
        <f>SUM(W49:AH49)</f>
        <v>0</v>
      </c>
      <c r="AL49" s="4"/>
      <c r="AM49" s="127" t="b">
        <f>IF(INDEX($AO49:$BM49,0,$F$14)=1,TRUE,FALSE)</f>
        <v>0</v>
      </c>
      <c r="AN49" s="127" t="str">
        <f>IF(AM49,A49&amp;", "&amp;B49,"")</f>
        <v/>
      </c>
      <c r="AO49" s="129">
        <v>1</v>
      </c>
      <c r="AP49" s="129">
        <v>1</v>
      </c>
      <c r="AQ49" s="129"/>
      <c r="AR49" s="129"/>
      <c r="AS49" s="129"/>
      <c r="AT49" s="129"/>
      <c r="AU49" s="129"/>
      <c r="AV49" s="129"/>
      <c r="AW49" s="129"/>
      <c r="AX49" s="197"/>
      <c r="AY49" s="197"/>
      <c r="AZ49" s="197"/>
      <c r="BA49" s="197"/>
      <c r="BB49" s="129"/>
      <c r="BC49" s="129"/>
      <c r="BD49" s="129"/>
      <c r="BE49" s="129"/>
      <c r="BF49" s="129"/>
      <c r="BG49" s="129"/>
      <c r="BH49" s="129"/>
      <c r="BI49" s="129"/>
      <c r="BJ49" s="129"/>
      <c r="BK49" s="129"/>
      <c r="BL49" s="129"/>
      <c r="BM49" s="197"/>
    </row>
    <row r="50" spans="1:65" x14ac:dyDescent="0.25">
      <c r="A50" s="121" t="s">
        <v>155</v>
      </c>
      <c r="B50" s="121" t="s">
        <v>27</v>
      </c>
      <c r="C50" s="172" t="s">
        <v>397</v>
      </c>
      <c r="D50" s="161">
        <v>1</v>
      </c>
      <c r="E50" s="29" t="str">
        <f>INDEX(ra_ScName,MATCH(D50,ra_ScNumber,0))</f>
        <v>Expected nominal return (incl forecast asset revaluations)</v>
      </c>
      <c r="F50" s="122">
        <v>40254.253403055038</v>
      </c>
      <c r="G50" s="122">
        <v>59830.685133787505</v>
      </c>
      <c r="H50" s="122">
        <v>10520.152678486633</v>
      </c>
      <c r="I50" s="122">
        <v>21853.789281964488</v>
      </c>
      <c r="J50" s="122">
        <v>31269.679625732784</v>
      </c>
      <c r="K50" s="122">
        <v>13745.583126679874</v>
      </c>
      <c r="L50" s="122">
        <v>21580.599855407221</v>
      </c>
      <c r="M50" s="122">
        <v>7473.2779979244069</v>
      </c>
      <c r="N50" s="122">
        <v>30077.532602721931</v>
      </c>
      <c r="O50" s="122">
        <v>25657.687077291313</v>
      </c>
      <c r="P50" s="122">
        <v>255854.22999008506</v>
      </c>
      <c r="Q50" s="122">
        <v>35543.15857445608</v>
      </c>
      <c r="R50" s="122">
        <v>37430.205694426673</v>
      </c>
      <c r="S50" s="122">
        <v>102256.23213881069</v>
      </c>
      <c r="T50" s="122">
        <v>437797.27948758309</v>
      </c>
      <c r="U50" s="122">
        <v>113951.14089105742</v>
      </c>
      <c r="V50" s="122" t="s">
        <v>165</v>
      </c>
      <c r="W50" s="122" t="s">
        <v>165</v>
      </c>
      <c r="X50" s="122" t="s">
        <v>165</v>
      </c>
      <c r="Y50" s="122" t="s">
        <v>165</v>
      </c>
      <c r="Z50" s="122" t="s">
        <v>165</v>
      </c>
      <c r="AA50" s="122" t="s">
        <v>165</v>
      </c>
      <c r="AB50" s="122" t="s">
        <v>165</v>
      </c>
      <c r="AC50" s="122" t="s">
        <v>165</v>
      </c>
      <c r="AD50" s="122" t="s">
        <v>165</v>
      </c>
      <c r="AE50" s="122" t="s">
        <v>165</v>
      </c>
      <c r="AF50" s="122" t="s">
        <v>165</v>
      </c>
      <c r="AG50" s="122" t="s">
        <v>165</v>
      </c>
      <c r="AH50" s="122" t="s">
        <v>165</v>
      </c>
      <c r="AI50" s="117">
        <f>SUM(F50:AH50)</f>
        <v>1245095.4875594703</v>
      </c>
      <c r="AJ50" s="117">
        <f>SUM(F50:U50)</f>
        <v>1245095.4875594703</v>
      </c>
      <c r="AK50" s="117">
        <f>SUM(W50:AH50)</f>
        <v>0</v>
      </c>
      <c r="AL50" s="4"/>
      <c r="AM50" s="127" t="b">
        <f>IF(INDEX($AO50:$BM50,0,$F$14)=1,TRUE,FALSE)</f>
        <v>0</v>
      </c>
      <c r="AN50" s="127" t="str">
        <f>IF(AM50,A50&amp;", "&amp;B50,"")</f>
        <v/>
      </c>
      <c r="AO50" s="129">
        <v>1</v>
      </c>
      <c r="AP50" s="129">
        <v>1</v>
      </c>
      <c r="AQ50" s="129"/>
      <c r="AR50" s="129"/>
      <c r="AS50" s="129"/>
      <c r="AT50" s="129"/>
      <c r="AU50" s="129"/>
      <c r="AV50" s="129"/>
      <c r="AW50" s="129"/>
      <c r="AX50" s="197"/>
      <c r="AY50" s="197"/>
      <c r="AZ50" s="197"/>
      <c r="BA50" s="197"/>
      <c r="BB50" s="129"/>
      <c r="BC50" s="129"/>
      <c r="BD50" s="129"/>
      <c r="BE50" s="129"/>
      <c r="BF50" s="129"/>
      <c r="BG50" s="129"/>
      <c r="BH50" s="129"/>
      <c r="BI50" s="129"/>
      <c r="BJ50" s="129"/>
      <c r="BK50" s="129"/>
      <c r="BL50" s="129"/>
      <c r="BM50" s="197"/>
    </row>
    <row r="51" spans="1:65" x14ac:dyDescent="0.25">
      <c r="A51" s="121"/>
      <c r="B51" s="121"/>
      <c r="C51" s="172"/>
      <c r="D51" s="49"/>
      <c r="E51" s="49"/>
      <c r="F51" s="54"/>
      <c r="G51" s="54"/>
      <c r="H51" s="54"/>
      <c r="I51" s="54"/>
      <c r="J51" s="54"/>
      <c r="K51" s="54"/>
      <c r="L51" s="54"/>
      <c r="M51" s="54"/>
      <c r="N51" s="54"/>
      <c r="O51" s="54"/>
      <c r="P51" s="54"/>
      <c r="Q51" s="54"/>
      <c r="R51" s="54"/>
      <c r="S51" s="54"/>
      <c r="T51" s="54"/>
      <c r="U51" s="54"/>
      <c r="V51" s="54"/>
      <c r="W51" s="54"/>
      <c r="X51" s="54"/>
      <c r="Y51" s="54"/>
      <c r="Z51" s="54"/>
      <c r="AA51" s="54"/>
      <c r="AB51" s="54"/>
      <c r="AC51" s="54"/>
      <c r="AD51" s="54"/>
      <c r="AE51" s="54"/>
      <c r="AF51" s="54"/>
      <c r="AG51" s="54"/>
      <c r="AH51" s="54"/>
      <c r="AI51" s="54"/>
      <c r="AJ51" s="54"/>
      <c r="AK51" s="54"/>
      <c r="AL51" s="4"/>
      <c r="AM51" s="127"/>
      <c r="AN51" s="127"/>
      <c r="AO51" s="129"/>
      <c r="AP51" s="129"/>
      <c r="AQ51" s="129"/>
      <c r="AR51" s="129"/>
      <c r="AS51" s="129"/>
      <c r="AT51" s="129"/>
      <c r="AU51" s="129"/>
      <c r="AV51" s="129"/>
      <c r="AW51" s="129"/>
      <c r="AX51" s="197"/>
      <c r="AY51" s="197"/>
      <c r="AZ51" s="197"/>
      <c r="BA51" s="197"/>
      <c r="BB51" s="129"/>
      <c r="BC51" s="129"/>
      <c r="BD51" s="129"/>
      <c r="BE51" s="129"/>
      <c r="BF51" s="129"/>
      <c r="BG51" s="129"/>
      <c r="BH51" s="129"/>
      <c r="BI51" s="129"/>
      <c r="BJ51" s="129"/>
      <c r="BK51" s="129"/>
      <c r="BL51" s="129"/>
      <c r="BM51" s="197"/>
    </row>
    <row r="52" spans="1:65" x14ac:dyDescent="0.25">
      <c r="A52" s="121"/>
      <c r="B52" s="121"/>
      <c r="C52" s="172"/>
      <c r="D52" s="49"/>
      <c r="E52" s="49"/>
      <c r="F52" s="54"/>
      <c r="G52" s="54"/>
      <c r="H52" s="54"/>
      <c r="I52" s="54"/>
      <c r="J52" s="54"/>
      <c r="K52" s="54"/>
      <c r="L52" s="54"/>
      <c r="M52" s="54"/>
      <c r="N52" s="54"/>
      <c r="O52" s="54"/>
      <c r="P52" s="54"/>
      <c r="Q52" s="54"/>
      <c r="R52" s="54"/>
      <c r="S52" s="54"/>
      <c r="T52" s="54"/>
      <c r="U52" s="54"/>
      <c r="V52" s="54"/>
      <c r="W52" s="54"/>
      <c r="X52" s="54"/>
      <c r="Y52" s="54"/>
      <c r="Z52" s="54"/>
      <c r="AA52" s="54"/>
      <c r="AB52" s="54"/>
      <c r="AC52" s="54"/>
      <c r="AD52" s="54"/>
      <c r="AE52" s="54"/>
      <c r="AF52" s="54"/>
      <c r="AG52" s="54"/>
      <c r="AH52" s="54"/>
      <c r="AI52" s="54"/>
      <c r="AJ52" s="54"/>
      <c r="AK52" s="54"/>
      <c r="AL52" s="4"/>
      <c r="AM52" s="127"/>
      <c r="AN52" s="127"/>
      <c r="AO52" s="129"/>
      <c r="AP52" s="129"/>
      <c r="AQ52" s="129"/>
      <c r="AR52" s="129"/>
      <c r="AS52" s="129"/>
      <c r="AT52" s="129"/>
      <c r="AU52" s="129"/>
      <c r="AV52" s="129"/>
      <c r="AW52" s="129"/>
      <c r="AX52" s="197"/>
      <c r="AY52" s="197"/>
      <c r="AZ52" s="197"/>
      <c r="BA52" s="197"/>
      <c r="BB52" s="129"/>
      <c r="BC52" s="129"/>
      <c r="BD52" s="129"/>
      <c r="BE52" s="129"/>
      <c r="BF52" s="129"/>
      <c r="BG52" s="129"/>
      <c r="BH52" s="129"/>
      <c r="BI52" s="129"/>
      <c r="BJ52" s="129"/>
      <c r="BK52" s="129"/>
      <c r="BL52" s="129"/>
      <c r="BM52" s="197"/>
    </row>
    <row r="53" spans="1:65" x14ac:dyDescent="0.25">
      <c r="A53" s="121"/>
      <c r="B53" s="121"/>
      <c r="C53" s="172"/>
      <c r="D53" s="46"/>
      <c r="E53" s="46"/>
      <c r="F53" s="54"/>
      <c r="G53" s="54"/>
      <c r="H53" s="54"/>
      <c r="I53" s="54"/>
      <c r="J53" s="54"/>
      <c r="K53" s="54"/>
      <c r="L53" s="54"/>
      <c r="M53" s="54"/>
      <c r="N53" s="54"/>
      <c r="O53" s="54"/>
      <c r="P53" s="54"/>
      <c r="Q53" s="54"/>
      <c r="R53" s="54"/>
      <c r="S53" s="54"/>
      <c r="T53" s="54"/>
      <c r="U53" s="54"/>
      <c r="V53" s="54"/>
      <c r="W53" s="55"/>
      <c r="X53" s="55"/>
      <c r="Y53" s="55"/>
      <c r="Z53" s="55"/>
      <c r="AA53" s="55"/>
      <c r="AB53" s="55"/>
      <c r="AC53" s="55"/>
      <c r="AD53" s="55"/>
      <c r="AE53" s="55"/>
      <c r="AF53" s="55"/>
      <c r="AG53" s="55"/>
      <c r="AH53" s="55"/>
      <c r="AI53" s="54"/>
      <c r="AJ53" s="54"/>
      <c r="AK53" s="54"/>
      <c r="AL53" s="4"/>
      <c r="AM53" s="127"/>
      <c r="AN53" s="127"/>
      <c r="AO53" s="129"/>
      <c r="AP53" s="129"/>
      <c r="AQ53" s="129"/>
      <c r="AR53" s="129"/>
      <c r="AS53" s="129"/>
      <c r="AT53" s="129"/>
      <c r="AU53" s="129"/>
      <c r="AV53" s="129"/>
      <c r="AW53" s="129"/>
      <c r="AX53" s="197"/>
      <c r="AY53" s="197"/>
      <c r="AZ53" s="197"/>
      <c r="BA53" s="197"/>
      <c r="BB53" s="129"/>
      <c r="BC53" s="129"/>
      <c r="BD53" s="129"/>
      <c r="BE53" s="129"/>
      <c r="BF53" s="129"/>
      <c r="BG53" s="129"/>
      <c r="BH53" s="129"/>
      <c r="BI53" s="129"/>
      <c r="BJ53" s="129"/>
      <c r="BK53" s="129"/>
      <c r="BL53" s="129"/>
      <c r="BM53" s="197"/>
    </row>
    <row r="54" spans="1:65" x14ac:dyDescent="0.25">
      <c r="A54" s="121" t="s">
        <v>155</v>
      </c>
      <c r="B54" s="121" t="s">
        <v>23</v>
      </c>
      <c r="C54" s="172" t="s">
        <v>209</v>
      </c>
      <c r="D54" s="161">
        <v>10</v>
      </c>
      <c r="E54" s="29" t="str">
        <f>INDEX(ra_ScName,MATCH(D54,ra_ScNumber,0))</f>
        <v>Disclosed nominal return (incl actual asset revaluations)</v>
      </c>
      <c r="F54" s="122">
        <v>33177.610999999997</v>
      </c>
      <c r="G54" s="122">
        <v>72117</v>
      </c>
      <c r="H54" s="122">
        <v>9562</v>
      </c>
      <c r="I54" s="122">
        <v>29453</v>
      </c>
      <c r="J54" s="122">
        <v>28836</v>
      </c>
      <c r="K54" s="122">
        <v>16254</v>
      </c>
      <c r="L54" s="122">
        <v>27462.531609999998</v>
      </c>
      <c r="M54" s="122">
        <v>8833</v>
      </c>
      <c r="N54" s="122">
        <v>35977.962899999999</v>
      </c>
      <c r="O54" s="122">
        <v>28166.376</v>
      </c>
      <c r="P54" s="122">
        <v>292560.95358999999</v>
      </c>
      <c r="Q54" s="122">
        <v>30653</v>
      </c>
      <c r="R54" s="122">
        <v>31490</v>
      </c>
      <c r="S54" s="122">
        <v>105661</v>
      </c>
      <c r="T54" s="122">
        <v>538136</v>
      </c>
      <c r="U54" s="122">
        <v>148081.99702000001</v>
      </c>
      <c r="V54" s="122">
        <v>192988</v>
      </c>
      <c r="W54" s="122">
        <v>6200.4471700000004</v>
      </c>
      <c r="X54" s="122">
        <v>29866</v>
      </c>
      <c r="Y54" s="122">
        <v>28435.382000000001</v>
      </c>
      <c r="Z54" s="122">
        <v>39081</v>
      </c>
      <c r="AA54" s="122">
        <v>27002</v>
      </c>
      <c r="AB54" s="122">
        <v>12501</v>
      </c>
      <c r="AC54" s="122">
        <v>50025</v>
      </c>
      <c r="AD54" s="122">
        <v>6558</v>
      </c>
      <c r="AE54" s="122">
        <v>45000.902999999998</v>
      </c>
      <c r="AF54" s="122">
        <v>19847.9071</v>
      </c>
      <c r="AG54" s="122">
        <v>79115.964349652902</v>
      </c>
      <c r="AH54" s="122">
        <v>18018</v>
      </c>
      <c r="AI54" s="117">
        <f>SUM(F54:AH54)</f>
        <v>1991062.0357396528</v>
      </c>
      <c r="AJ54" s="117">
        <f>SUM(F54:U54)</f>
        <v>1436422.43212</v>
      </c>
      <c r="AK54" s="117">
        <f>SUM(W54:AH54)</f>
        <v>361651.60361965292</v>
      </c>
      <c r="AL54" s="4"/>
      <c r="AM54" s="127" t="b">
        <f>IF(INDEX($AO54:$BM54,0,$F$14)=1,TRUE,FALSE)</f>
        <v>1</v>
      </c>
      <c r="AN54" s="127" t="str">
        <f>IF(AM54,A54&amp;", "&amp;B54,"")</f>
        <v>Base line charge revenue, 2010/11</v>
      </c>
      <c r="AO54" s="129"/>
      <c r="AP54" s="129"/>
      <c r="AQ54" s="129">
        <v>1</v>
      </c>
      <c r="AR54" s="129">
        <v>1</v>
      </c>
      <c r="AS54" s="129">
        <v>1</v>
      </c>
      <c r="AT54" s="129">
        <v>1</v>
      </c>
      <c r="AU54" s="129">
        <v>1</v>
      </c>
      <c r="AV54" s="129">
        <v>1</v>
      </c>
      <c r="AW54" s="129">
        <v>1</v>
      </c>
      <c r="AX54" s="197">
        <v>1</v>
      </c>
      <c r="AY54" s="197"/>
      <c r="AZ54" s="197"/>
      <c r="BA54" s="197"/>
      <c r="BB54" s="129"/>
      <c r="BC54" s="129"/>
      <c r="BD54" s="129"/>
      <c r="BE54" s="129"/>
      <c r="BF54" s="129"/>
      <c r="BG54" s="129"/>
      <c r="BH54" s="129"/>
      <c r="BI54" s="129"/>
      <c r="BJ54" s="129"/>
      <c r="BK54" s="129"/>
      <c r="BL54" s="129">
        <v>1</v>
      </c>
      <c r="BM54" s="197">
        <v>1</v>
      </c>
    </row>
    <row r="55" spans="1:65" x14ac:dyDescent="0.25">
      <c r="A55" s="121" t="s">
        <v>155</v>
      </c>
      <c r="B55" s="121" t="s">
        <v>24</v>
      </c>
      <c r="C55" s="172" t="s">
        <v>210</v>
      </c>
      <c r="D55" s="161">
        <v>10</v>
      </c>
      <c r="E55" s="29" t="str">
        <f>INDEX(ra_ScName,MATCH(D55,ra_ScNumber,0))</f>
        <v>Disclosed nominal return (incl actual asset revaluations)</v>
      </c>
      <c r="F55" s="122">
        <v>33797.056099999987</v>
      </c>
      <c r="G55" s="122">
        <v>76504</v>
      </c>
      <c r="H55" s="122">
        <v>9740</v>
      </c>
      <c r="I55" s="122">
        <v>30249.900000000009</v>
      </c>
      <c r="J55" s="122">
        <v>30628.25</v>
      </c>
      <c r="K55" s="122">
        <v>17078.97961162508</v>
      </c>
      <c r="L55" s="122">
        <v>29003.920799999989</v>
      </c>
      <c r="M55" s="122">
        <v>9118.1238634112196</v>
      </c>
      <c r="N55" s="122">
        <v>35320</v>
      </c>
      <c r="O55" s="122">
        <v>28720</v>
      </c>
      <c r="P55" s="122">
        <v>305605.00000000012</v>
      </c>
      <c r="Q55" s="122">
        <v>32978.630473688412</v>
      </c>
      <c r="R55" s="122">
        <v>34336.357985249029</v>
      </c>
      <c r="S55" s="122">
        <v>109703.54934</v>
      </c>
      <c r="T55" s="122">
        <v>563457</v>
      </c>
      <c r="U55" s="122">
        <v>151931.43903092551</v>
      </c>
      <c r="V55" s="122">
        <v>182875.55541999999</v>
      </c>
      <c r="W55" s="122">
        <v>6577.3448559300004</v>
      </c>
      <c r="X55" s="122">
        <v>37931.387392971461</v>
      </c>
      <c r="Y55" s="122">
        <v>31324.375885500009</v>
      </c>
      <c r="Z55" s="122">
        <v>38239</v>
      </c>
      <c r="AA55" s="122">
        <v>28160.916000000001</v>
      </c>
      <c r="AB55" s="122">
        <v>11494.98070624403</v>
      </c>
      <c r="AC55" s="122">
        <v>53227</v>
      </c>
      <c r="AD55" s="122">
        <v>6737.1303696000004</v>
      </c>
      <c r="AE55" s="122">
        <v>47699.233756928792</v>
      </c>
      <c r="AF55" s="122">
        <v>19740.850999999999</v>
      </c>
      <c r="AG55" s="122">
        <v>83368.930528000026</v>
      </c>
      <c r="AH55" s="122">
        <v>19386</v>
      </c>
      <c r="AI55" s="117">
        <f>SUM(F55:AH55)</f>
        <v>2064934.9131200735</v>
      </c>
      <c r="AJ55" s="117">
        <f>SUM(F55:U55)</f>
        <v>1498172.2072048993</v>
      </c>
      <c r="AK55" s="117">
        <f>SUM(W55:AH55)</f>
        <v>383887.15049517434</v>
      </c>
      <c r="AL55" s="4"/>
      <c r="AM55" s="127" t="b">
        <f>IF(INDEX($AO55:$BM55,0,$F$14)=1,TRUE,FALSE)</f>
        <v>1</v>
      </c>
      <c r="AN55" s="127" t="str">
        <f>IF(AM55,A55&amp;", "&amp;B55,"")</f>
        <v>Base line charge revenue, 2011/12</v>
      </c>
      <c r="AO55" s="129"/>
      <c r="AP55" s="129"/>
      <c r="AQ55" s="129">
        <v>1</v>
      </c>
      <c r="AR55" s="129">
        <v>1</v>
      </c>
      <c r="AS55" s="129">
        <v>1</v>
      </c>
      <c r="AT55" s="129">
        <v>1</v>
      </c>
      <c r="AU55" s="129">
        <v>1</v>
      </c>
      <c r="AV55" s="129">
        <v>1</v>
      </c>
      <c r="AW55" s="129">
        <v>1</v>
      </c>
      <c r="AX55" s="197">
        <v>1</v>
      </c>
      <c r="AY55" s="197"/>
      <c r="AZ55" s="197"/>
      <c r="BA55" s="197"/>
      <c r="BB55" s="129"/>
      <c r="BC55" s="129"/>
      <c r="BD55" s="129"/>
      <c r="BE55" s="129"/>
      <c r="BF55" s="129"/>
      <c r="BG55" s="129"/>
      <c r="BH55" s="129"/>
      <c r="BI55" s="129"/>
      <c r="BJ55" s="129"/>
      <c r="BK55" s="129"/>
      <c r="BL55" s="129">
        <v>1</v>
      </c>
      <c r="BM55" s="197">
        <v>1</v>
      </c>
    </row>
    <row r="56" spans="1:65" x14ac:dyDescent="0.25">
      <c r="A56" s="121" t="s">
        <v>155</v>
      </c>
      <c r="B56" s="121" t="s">
        <v>25</v>
      </c>
      <c r="C56" s="172" t="s">
        <v>210</v>
      </c>
      <c r="D56" s="161">
        <v>10</v>
      </c>
      <c r="E56" s="29" t="str">
        <f>INDEX(ra_ScName,MATCH(D56,ra_ScNumber,0))</f>
        <v>Disclosed nominal return (incl actual asset revaluations)</v>
      </c>
      <c r="F56" s="122">
        <v>38872.87298</v>
      </c>
      <c r="G56" s="122">
        <v>84995</v>
      </c>
      <c r="H56" s="122">
        <v>10633.82450000175</v>
      </c>
      <c r="I56" s="122">
        <v>31736.6</v>
      </c>
      <c r="J56" s="122">
        <v>34633.449812999992</v>
      </c>
      <c r="K56" s="122">
        <v>18234.745868138689</v>
      </c>
      <c r="L56" s="122">
        <v>30126.032780000001</v>
      </c>
      <c r="M56" s="122">
        <v>9517</v>
      </c>
      <c r="N56" s="122">
        <v>37379.96339919966</v>
      </c>
      <c r="O56" s="122">
        <v>30692.57969956092</v>
      </c>
      <c r="P56" s="122">
        <v>331316.45399999991</v>
      </c>
      <c r="Q56" s="122">
        <v>34958.335323584979</v>
      </c>
      <c r="R56" s="122">
        <v>35965.888029285132</v>
      </c>
      <c r="S56" s="122">
        <v>119301.163760001</v>
      </c>
      <c r="T56" s="122">
        <v>607644</v>
      </c>
      <c r="U56" s="122">
        <v>160055.5900095129</v>
      </c>
      <c r="V56" s="122">
        <v>204641.0172</v>
      </c>
      <c r="W56" s="122">
        <v>7127.9175977699988</v>
      </c>
      <c r="X56" s="122">
        <v>39923.02998201314</v>
      </c>
      <c r="Y56" s="122">
        <v>33922.649992600003</v>
      </c>
      <c r="Z56" s="122">
        <v>45553</v>
      </c>
      <c r="AA56" s="122">
        <v>30166.518</v>
      </c>
      <c r="AB56" s="122">
        <v>13465</v>
      </c>
      <c r="AC56" s="122">
        <v>58390</v>
      </c>
      <c r="AD56" s="122">
        <v>7521.8514390423998</v>
      </c>
      <c r="AE56" s="122">
        <v>51507</v>
      </c>
      <c r="AF56" s="122">
        <v>21626</v>
      </c>
      <c r="AG56" s="122">
        <v>90622.383115860139</v>
      </c>
      <c r="AH56" s="122">
        <v>19448</v>
      </c>
      <c r="AI56" s="117">
        <f>SUM(F56:AH56)</f>
        <v>2239977.8674895708</v>
      </c>
      <c r="AJ56" s="117">
        <f>SUM(F56:U56)</f>
        <v>1616063.5001622848</v>
      </c>
      <c r="AK56" s="117">
        <f>SUM(W56:AH56)</f>
        <v>419273.3501272857</v>
      </c>
      <c r="AL56" s="4"/>
      <c r="AM56" s="127" t="b">
        <f>IF(INDEX($AO56:$BM56,0,$F$14)=1,TRUE,FALSE)</f>
        <v>1</v>
      </c>
      <c r="AN56" s="127" t="str">
        <f>IF(AM56,A56&amp;", "&amp;B56,"")</f>
        <v>Base line charge revenue, 2012/13</v>
      </c>
      <c r="AO56" s="129"/>
      <c r="AP56" s="129"/>
      <c r="AQ56" s="129">
        <v>1</v>
      </c>
      <c r="AR56" s="129">
        <v>1</v>
      </c>
      <c r="AS56" s="129">
        <v>1</v>
      </c>
      <c r="AT56" s="129">
        <v>1</v>
      </c>
      <c r="AU56" s="129">
        <v>1</v>
      </c>
      <c r="AV56" s="129">
        <v>1</v>
      </c>
      <c r="AW56" s="129">
        <v>1</v>
      </c>
      <c r="AX56" s="197">
        <v>1</v>
      </c>
      <c r="AY56" s="197"/>
      <c r="AZ56" s="197"/>
      <c r="BA56" s="197"/>
      <c r="BB56" s="129"/>
      <c r="BC56" s="129"/>
      <c r="BD56" s="129"/>
      <c r="BE56" s="129"/>
      <c r="BF56" s="129"/>
      <c r="BG56" s="129"/>
      <c r="BH56" s="129"/>
      <c r="BI56" s="129"/>
      <c r="BJ56" s="129"/>
      <c r="BK56" s="129"/>
      <c r="BL56" s="129">
        <v>1</v>
      </c>
      <c r="BM56" s="197">
        <v>1</v>
      </c>
    </row>
    <row r="57" spans="1:65" x14ac:dyDescent="0.25">
      <c r="A57" s="121" t="s">
        <v>155</v>
      </c>
      <c r="B57" s="121" t="s">
        <v>26</v>
      </c>
      <c r="C57" s="172" t="s">
        <v>210</v>
      </c>
      <c r="D57" s="161">
        <v>10</v>
      </c>
      <c r="E57" s="29" t="str">
        <f>INDEX(ra_ScName,MATCH(D57,ra_ScNumber,0))</f>
        <v>Disclosed nominal return (incl actual asset revaluations)</v>
      </c>
      <c r="F57" s="122">
        <v>42362.346259999991</v>
      </c>
      <c r="G57" s="122">
        <v>82403</v>
      </c>
      <c r="H57" s="122">
        <v>11137.774020000001</v>
      </c>
      <c r="I57" s="122">
        <v>31751.1</v>
      </c>
      <c r="J57" s="122">
        <v>36817.637058999993</v>
      </c>
      <c r="K57" s="122">
        <v>17948.81946448718</v>
      </c>
      <c r="L57" s="122">
        <v>29977.19917</v>
      </c>
      <c r="M57" s="122">
        <v>9812.1015124038622</v>
      </c>
      <c r="N57" s="122">
        <v>40063.167842839997</v>
      </c>
      <c r="O57" s="122">
        <v>32709.054082824729</v>
      </c>
      <c r="P57" s="122">
        <v>346202.60479999997</v>
      </c>
      <c r="Q57" s="122">
        <v>37089.934190000044</v>
      </c>
      <c r="R57" s="122">
        <v>36591.446080571717</v>
      </c>
      <c r="S57" s="122">
        <v>127274.78941</v>
      </c>
      <c r="T57" s="122">
        <v>592371</v>
      </c>
      <c r="U57" s="122">
        <v>163580.92144467251</v>
      </c>
      <c r="V57" s="122">
        <v>214566.45471717621</v>
      </c>
      <c r="W57" s="122">
        <v>7584.5624463600006</v>
      </c>
      <c r="X57" s="122">
        <v>43313.814080429343</v>
      </c>
      <c r="Y57" s="122">
        <v>35457.859529999987</v>
      </c>
      <c r="Z57" s="122">
        <v>46707</v>
      </c>
      <c r="AA57" s="122">
        <v>32391.64930999999</v>
      </c>
      <c r="AB57" s="122">
        <v>13870.000000000009</v>
      </c>
      <c r="AC57" s="122">
        <v>59953</v>
      </c>
      <c r="AD57" s="122">
        <v>8070.3636236786006</v>
      </c>
      <c r="AE57" s="122">
        <v>54040.226002475552</v>
      </c>
      <c r="AF57" s="122">
        <v>22054</v>
      </c>
      <c r="AG57" s="122">
        <v>92602.185300610232</v>
      </c>
      <c r="AH57" s="122">
        <v>19578</v>
      </c>
      <c r="AI57" s="117">
        <f>SUM(F57:AH57)</f>
        <v>2288282.0103475302</v>
      </c>
      <c r="AJ57" s="117">
        <f>SUM(F57:U57)</f>
        <v>1638092.8953368003</v>
      </c>
      <c r="AK57" s="117">
        <f>SUM(W57:AH57)</f>
        <v>435622.66029355372</v>
      </c>
      <c r="AL57" s="4"/>
      <c r="AM57" s="127" t="b">
        <f>IF(INDEX($AO57:$BM57,0,$F$14)=1,TRUE,FALSE)</f>
        <v>1</v>
      </c>
      <c r="AN57" s="127" t="str">
        <f>IF(AM57,A57&amp;", "&amp;B57,"")</f>
        <v>Base line charge revenue, 2013/14</v>
      </c>
      <c r="AO57" s="129"/>
      <c r="AP57" s="129"/>
      <c r="AQ57" s="129">
        <v>1</v>
      </c>
      <c r="AR57" s="129">
        <v>1</v>
      </c>
      <c r="AS57" s="129">
        <v>1</v>
      </c>
      <c r="AT57" s="129">
        <v>1</v>
      </c>
      <c r="AU57" s="129">
        <v>1</v>
      </c>
      <c r="AV57" s="129">
        <v>1</v>
      </c>
      <c r="AW57" s="129">
        <v>1</v>
      </c>
      <c r="AX57" s="197">
        <v>1</v>
      </c>
      <c r="AY57" s="197"/>
      <c r="AZ57" s="197"/>
      <c r="BA57" s="197"/>
      <c r="BB57" s="129"/>
      <c r="BC57" s="129"/>
      <c r="BD57" s="129"/>
      <c r="BE57" s="129"/>
      <c r="BF57" s="129"/>
      <c r="BG57" s="129"/>
      <c r="BH57" s="129"/>
      <c r="BI57" s="129"/>
      <c r="BJ57" s="129"/>
      <c r="BK57" s="129"/>
      <c r="BL57" s="129">
        <v>1</v>
      </c>
      <c r="BM57" s="197">
        <v>1</v>
      </c>
    </row>
    <row r="58" spans="1:65" x14ac:dyDescent="0.25">
      <c r="A58" s="121" t="s">
        <v>155</v>
      </c>
      <c r="B58" s="121" t="s">
        <v>27</v>
      </c>
      <c r="C58" s="172" t="s">
        <v>210</v>
      </c>
      <c r="D58" s="161">
        <v>10</v>
      </c>
      <c r="E58" s="29" t="str">
        <f>INDEX(ra_ScName,MATCH(D58,ra_ScNumber,0))</f>
        <v>Disclosed nominal return (incl actual asset revaluations)</v>
      </c>
      <c r="F58" s="122">
        <v>51134</v>
      </c>
      <c r="G58" s="122">
        <v>90830.499761000014</v>
      </c>
      <c r="H58" s="122">
        <v>12181.638150000004</v>
      </c>
      <c r="I58" s="122">
        <v>33347.199999999997</v>
      </c>
      <c r="J58" s="122">
        <v>40514.173596999986</v>
      </c>
      <c r="K58" s="122">
        <v>19978.997767053068</v>
      </c>
      <c r="L58" s="122">
        <v>31816.980049999998</v>
      </c>
      <c r="M58" s="122">
        <v>10466</v>
      </c>
      <c r="N58" s="122">
        <v>42339</v>
      </c>
      <c r="O58" s="122">
        <v>35105.311065796952</v>
      </c>
      <c r="P58" s="122">
        <v>367197.10703999992</v>
      </c>
      <c r="Q58" s="122">
        <v>38457.641280000011</v>
      </c>
      <c r="R58" s="122">
        <v>38611</v>
      </c>
      <c r="S58" s="122">
        <v>141720.05333999885</v>
      </c>
      <c r="T58" s="122">
        <v>625681</v>
      </c>
      <c r="U58" s="122">
        <v>181939.25020408872</v>
      </c>
      <c r="V58" s="122">
        <v>242068.59606071821</v>
      </c>
      <c r="W58" s="122">
        <v>7604.6849999999986</v>
      </c>
      <c r="X58" s="122">
        <v>46359</v>
      </c>
      <c r="Y58" s="122">
        <v>37731.22939</v>
      </c>
      <c r="Z58" s="122">
        <v>52909</v>
      </c>
      <c r="AA58" s="122">
        <v>34526.799109999993</v>
      </c>
      <c r="AB58" s="122">
        <v>16953.095081339547</v>
      </c>
      <c r="AC58" s="122">
        <v>63340</v>
      </c>
      <c r="AD58" s="122">
        <v>8403.9371199999969</v>
      </c>
      <c r="AE58" s="122">
        <v>56711.126463702225</v>
      </c>
      <c r="AF58" s="122">
        <v>23022</v>
      </c>
      <c r="AG58" s="122">
        <v>96876.849015317028</v>
      </c>
      <c r="AH58" s="122">
        <v>20361</v>
      </c>
      <c r="AI58" s="117">
        <f>SUM(F58:AH58)</f>
        <v>2468187.1694960142</v>
      </c>
      <c r="AJ58" s="117">
        <f>SUM(F58:U58)</f>
        <v>1761319.8522549374</v>
      </c>
      <c r="AK58" s="117">
        <f>SUM(W58:AH58)</f>
        <v>464798.72118035884</v>
      </c>
      <c r="AL58" s="4"/>
      <c r="AM58" s="127" t="b">
        <f>IF(INDEX($AO58:$BM58,0,$F$14)=1,TRUE,FALSE)</f>
        <v>1</v>
      </c>
      <c r="AN58" s="127" t="str">
        <f>IF(AM58,A58&amp;", "&amp;B58,"")</f>
        <v>Base line charge revenue, 2014/15</v>
      </c>
      <c r="AO58" s="129"/>
      <c r="AP58" s="129"/>
      <c r="AQ58" s="129">
        <v>1</v>
      </c>
      <c r="AR58" s="129">
        <v>1</v>
      </c>
      <c r="AS58" s="129">
        <v>1</v>
      </c>
      <c r="AT58" s="129">
        <v>1</v>
      </c>
      <c r="AU58" s="129">
        <v>1</v>
      </c>
      <c r="AV58" s="129">
        <v>1</v>
      </c>
      <c r="AW58" s="129">
        <v>1</v>
      </c>
      <c r="AX58" s="197">
        <v>1</v>
      </c>
      <c r="AY58" s="197"/>
      <c r="AZ58" s="197"/>
      <c r="BA58" s="197"/>
      <c r="BB58" s="129"/>
      <c r="BC58" s="129"/>
      <c r="BD58" s="129"/>
      <c r="BE58" s="129"/>
      <c r="BF58" s="129"/>
      <c r="BG58" s="129"/>
      <c r="BH58" s="129"/>
      <c r="BI58" s="129"/>
      <c r="BJ58" s="129"/>
      <c r="BK58" s="129"/>
      <c r="BL58" s="129">
        <v>1</v>
      </c>
      <c r="BM58" s="197">
        <v>1</v>
      </c>
    </row>
    <row r="59" spans="1:65" ht="16.149999999999999" customHeight="1" x14ac:dyDescent="0.25">
      <c r="A59" s="121"/>
      <c r="B59" s="121"/>
      <c r="C59" s="172"/>
      <c r="D59" s="49"/>
      <c r="E59" s="49"/>
      <c r="F59" s="54"/>
      <c r="G59" s="54"/>
      <c r="H59" s="54"/>
      <c r="I59" s="54"/>
      <c r="J59" s="54"/>
      <c r="K59" s="54"/>
      <c r="L59" s="54"/>
      <c r="M59" s="54"/>
      <c r="N59" s="54"/>
      <c r="O59" s="54"/>
      <c r="P59" s="54"/>
      <c r="Q59" s="54"/>
      <c r="R59" s="54"/>
      <c r="S59" s="54"/>
      <c r="T59" s="54"/>
      <c r="U59" s="54"/>
      <c r="V59" s="54"/>
      <c r="W59" s="54"/>
      <c r="X59" s="54"/>
      <c r="Y59" s="54"/>
      <c r="Z59" s="54"/>
      <c r="AA59" s="54"/>
      <c r="AB59" s="54"/>
      <c r="AC59" s="54"/>
      <c r="AD59" s="54"/>
      <c r="AE59" s="54"/>
      <c r="AF59" s="54"/>
      <c r="AG59" s="54"/>
      <c r="AH59" s="54"/>
      <c r="AI59" s="54"/>
      <c r="AJ59" s="54"/>
      <c r="AK59" s="54"/>
      <c r="AL59" s="23"/>
      <c r="AM59" s="127"/>
      <c r="AN59" s="127"/>
      <c r="AO59" s="129"/>
      <c r="AP59" s="129"/>
      <c r="AQ59" s="129"/>
      <c r="AR59" s="129"/>
      <c r="AS59" s="129"/>
      <c r="AT59" s="129"/>
      <c r="AU59" s="129"/>
      <c r="AV59" s="129"/>
      <c r="AW59" s="129"/>
      <c r="AX59" s="197"/>
      <c r="AY59" s="197"/>
      <c r="AZ59" s="197"/>
      <c r="BA59" s="197"/>
      <c r="BB59" s="129"/>
      <c r="BC59" s="129"/>
      <c r="BD59" s="129"/>
      <c r="BE59" s="129"/>
      <c r="BF59" s="129"/>
      <c r="BG59" s="129"/>
      <c r="BH59" s="129"/>
      <c r="BI59" s="129"/>
      <c r="BJ59" s="129"/>
      <c r="BK59" s="129"/>
      <c r="BL59" s="129"/>
      <c r="BM59" s="197"/>
    </row>
    <row r="60" spans="1:65" ht="15" customHeight="1" x14ac:dyDescent="0.25">
      <c r="A60" s="121"/>
      <c r="B60" s="121"/>
      <c r="C60" s="172"/>
      <c r="D60" s="46"/>
      <c r="E60" s="46"/>
      <c r="F60" s="54"/>
      <c r="G60" s="54"/>
      <c r="H60" s="54"/>
      <c r="I60" s="54"/>
      <c r="J60" s="54"/>
      <c r="K60" s="54"/>
      <c r="L60" s="54"/>
      <c r="M60" s="54"/>
      <c r="N60" s="54"/>
      <c r="O60" s="54"/>
      <c r="P60" s="54"/>
      <c r="Q60" s="54"/>
      <c r="R60" s="54"/>
      <c r="S60" s="54"/>
      <c r="T60" s="54"/>
      <c r="U60" s="54"/>
      <c r="V60" s="54"/>
      <c r="W60" s="55"/>
      <c r="X60" s="55"/>
      <c r="Y60" s="55"/>
      <c r="Z60" s="55"/>
      <c r="AA60" s="55"/>
      <c r="AB60" s="55"/>
      <c r="AC60" s="55"/>
      <c r="AD60" s="55"/>
      <c r="AE60" s="55"/>
      <c r="AF60" s="55"/>
      <c r="AG60" s="55"/>
      <c r="AH60" s="55"/>
      <c r="AI60" s="54"/>
      <c r="AJ60" s="54"/>
      <c r="AK60" s="54"/>
      <c r="AL60" s="23"/>
      <c r="AM60" s="127"/>
      <c r="AN60" s="127"/>
      <c r="AO60" s="129"/>
      <c r="AP60" s="129"/>
      <c r="AQ60" s="129"/>
      <c r="AR60" s="129"/>
      <c r="AS60" s="129"/>
      <c r="AT60" s="129"/>
      <c r="AU60" s="129"/>
      <c r="AV60" s="129"/>
      <c r="AW60" s="129"/>
      <c r="AX60" s="197"/>
      <c r="AY60" s="197"/>
      <c r="AZ60" s="197"/>
      <c r="BA60" s="197"/>
      <c r="BB60" s="129"/>
      <c r="BC60" s="129"/>
      <c r="BD60" s="129"/>
      <c r="BE60" s="129"/>
      <c r="BF60" s="129"/>
      <c r="BG60" s="129"/>
      <c r="BH60" s="129"/>
      <c r="BI60" s="129"/>
      <c r="BJ60" s="129"/>
      <c r="BK60" s="129"/>
      <c r="BL60" s="129"/>
      <c r="BM60" s="197"/>
    </row>
    <row r="61" spans="1:65" x14ac:dyDescent="0.25">
      <c r="A61" s="121" t="s">
        <v>72</v>
      </c>
      <c r="B61" s="121" t="s">
        <v>23</v>
      </c>
      <c r="C61" s="172" t="s">
        <v>222</v>
      </c>
      <c r="D61" s="161">
        <v>1</v>
      </c>
      <c r="E61" s="29" t="str">
        <f>INDEX(ra_ScName,MATCH(D61,ra_ScNumber,0))</f>
        <v>Expected nominal return (incl forecast asset revaluations)</v>
      </c>
      <c r="F61" s="54"/>
      <c r="G61" s="54"/>
      <c r="H61" s="54"/>
      <c r="I61" s="54"/>
      <c r="J61" s="54"/>
      <c r="K61" s="54"/>
      <c r="L61" s="54"/>
      <c r="M61" s="54"/>
      <c r="N61" s="54"/>
      <c r="O61" s="54"/>
      <c r="P61" s="54"/>
      <c r="Q61" s="54"/>
      <c r="R61" s="54"/>
      <c r="S61" s="54"/>
      <c r="T61" s="54"/>
      <c r="U61" s="54"/>
      <c r="V61" s="54"/>
      <c r="W61" s="54"/>
      <c r="X61" s="54"/>
      <c r="Y61" s="54"/>
      <c r="Z61" s="54"/>
      <c r="AA61" s="54"/>
      <c r="AB61" s="54"/>
      <c r="AC61" s="54"/>
      <c r="AD61" s="54"/>
      <c r="AE61" s="54"/>
      <c r="AF61" s="54"/>
      <c r="AG61" s="54"/>
      <c r="AH61" s="54"/>
      <c r="AI61" s="117">
        <f>SUM(F61:AH61)</f>
        <v>0</v>
      </c>
      <c r="AJ61" s="117">
        <f>SUM(F61:U61)</f>
        <v>0</v>
      </c>
      <c r="AK61" s="117">
        <f>SUM(W61:AH61)</f>
        <v>0</v>
      </c>
      <c r="AL61" s="23"/>
      <c r="AM61" s="127" t="b">
        <f>IF(INDEX($AO61:$BM61,0,$F$14)=1,TRUE,FALSE)</f>
        <v>0</v>
      </c>
      <c r="AN61" s="127" t="str">
        <f>IF(AM61,A61&amp;", "&amp;B61,"")</f>
        <v/>
      </c>
      <c r="AO61" s="129">
        <v>1</v>
      </c>
      <c r="AP61" s="129">
        <v>1</v>
      </c>
      <c r="AQ61" s="129">
        <v>1</v>
      </c>
      <c r="AR61" s="129">
        <v>1</v>
      </c>
      <c r="AS61" s="129">
        <v>1</v>
      </c>
      <c r="AT61" s="129"/>
      <c r="AU61" s="129"/>
      <c r="AV61" s="129"/>
      <c r="AW61" s="129"/>
      <c r="AX61" s="197"/>
      <c r="AY61" s="197">
        <v>1</v>
      </c>
      <c r="AZ61" s="197">
        <v>1</v>
      </c>
      <c r="BA61" s="197">
        <v>1</v>
      </c>
      <c r="BB61" s="129">
        <v>1</v>
      </c>
      <c r="BC61" s="129">
        <v>1</v>
      </c>
      <c r="BD61" s="129">
        <v>1</v>
      </c>
      <c r="BE61" s="129">
        <v>1</v>
      </c>
      <c r="BF61" s="129">
        <v>1</v>
      </c>
      <c r="BG61" s="129">
        <v>1</v>
      </c>
      <c r="BH61" s="129">
        <v>1</v>
      </c>
      <c r="BI61" s="129">
        <v>1</v>
      </c>
      <c r="BJ61" s="129">
        <v>1</v>
      </c>
      <c r="BK61" s="129">
        <v>1</v>
      </c>
      <c r="BL61" s="129"/>
      <c r="BM61" s="197"/>
    </row>
    <row r="62" spans="1:65" x14ac:dyDescent="0.25">
      <c r="A62" s="121" t="s">
        <v>72</v>
      </c>
      <c r="B62" s="121" t="s">
        <v>24</v>
      </c>
      <c r="C62" s="172" t="s">
        <v>222</v>
      </c>
      <c r="D62" s="161">
        <v>1</v>
      </c>
      <c r="E62" s="29" t="str">
        <f>INDEX(ra_ScName,MATCH(D62,ra_ScNumber,0))</f>
        <v>Expected nominal return (incl forecast asset revaluations)</v>
      </c>
      <c r="F62" s="54"/>
      <c r="G62" s="54"/>
      <c r="H62" s="54"/>
      <c r="I62" s="54"/>
      <c r="J62" s="54"/>
      <c r="K62" s="54"/>
      <c r="L62" s="54"/>
      <c r="M62" s="54"/>
      <c r="N62" s="54"/>
      <c r="O62" s="54"/>
      <c r="P62" s="54"/>
      <c r="Q62" s="54"/>
      <c r="R62" s="54"/>
      <c r="S62" s="54"/>
      <c r="T62" s="54"/>
      <c r="U62" s="54"/>
      <c r="V62" s="54"/>
      <c r="W62" s="54"/>
      <c r="X62" s="54"/>
      <c r="Y62" s="54"/>
      <c r="Z62" s="54"/>
      <c r="AA62" s="54"/>
      <c r="AB62" s="54"/>
      <c r="AC62" s="54"/>
      <c r="AD62" s="54"/>
      <c r="AE62" s="54"/>
      <c r="AF62" s="54"/>
      <c r="AG62" s="54"/>
      <c r="AH62" s="54"/>
      <c r="AI62" s="117">
        <f>SUM(F62:AH62)</f>
        <v>0</v>
      </c>
      <c r="AJ62" s="117">
        <f>SUM(F62:U62)</f>
        <v>0</v>
      </c>
      <c r="AK62" s="117">
        <f>SUM(W62:AH62)</f>
        <v>0</v>
      </c>
      <c r="AL62" s="23"/>
      <c r="AM62" s="127" t="b">
        <f>IF(INDEX($AO62:$BM62,0,$F$14)=1,TRUE,FALSE)</f>
        <v>0</v>
      </c>
      <c r="AN62" s="127" t="str">
        <f>IF(AM62,A62&amp;", "&amp;B62,"")</f>
        <v/>
      </c>
      <c r="AO62" s="129">
        <v>1</v>
      </c>
      <c r="AP62" s="129">
        <v>1</v>
      </c>
      <c r="AQ62" s="129">
        <v>1</v>
      </c>
      <c r="AR62" s="129">
        <v>1</v>
      </c>
      <c r="AS62" s="129">
        <v>1</v>
      </c>
      <c r="AT62" s="129"/>
      <c r="AU62" s="129"/>
      <c r="AV62" s="129"/>
      <c r="AW62" s="129"/>
      <c r="AX62" s="197"/>
      <c r="AY62" s="197">
        <v>1</v>
      </c>
      <c r="AZ62" s="197">
        <v>1</v>
      </c>
      <c r="BA62" s="197">
        <v>1</v>
      </c>
      <c r="BB62" s="129">
        <v>1</v>
      </c>
      <c r="BC62" s="129">
        <v>1</v>
      </c>
      <c r="BD62" s="129">
        <v>1</v>
      </c>
      <c r="BE62" s="129">
        <v>1</v>
      </c>
      <c r="BF62" s="129">
        <v>1</v>
      </c>
      <c r="BG62" s="129">
        <v>1</v>
      </c>
      <c r="BH62" s="129">
        <v>1</v>
      </c>
      <c r="BI62" s="129">
        <v>1</v>
      </c>
      <c r="BJ62" s="129">
        <v>1</v>
      </c>
      <c r="BK62" s="129">
        <v>1</v>
      </c>
      <c r="BL62" s="129"/>
      <c r="BM62" s="197"/>
    </row>
    <row r="63" spans="1:65" x14ac:dyDescent="0.25">
      <c r="A63" s="121" t="s">
        <v>72</v>
      </c>
      <c r="B63" s="121" t="s">
        <v>25</v>
      </c>
      <c r="C63" s="172" t="s">
        <v>222</v>
      </c>
      <c r="D63" s="161">
        <v>1</v>
      </c>
      <c r="E63" s="29" t="str">
        <f>INDEX(ra_ScName,MATCH(D63,ra_ScNumber,0))</f>
        <v>Expected nominal return (incl forecast asset revaluations)</v>
      </c>
      <c r="F63" s="54"/>
      <c r="G63" s="54"/>
      <c r="H63" s="54"/>
      <c r="I63" s="54"/>
      <c r="J63" s="54"/>
      <c r="K63" s="54"/>
      <c r="L63" s="54"/>
      <c r="M63" s="54"/>
      <c r="N63" s="54"/>
      <c r="O63" s="54"/>
      <c r="P63" s="54"/>
      <c r="Q63" s="54"/>
      <c r="R63" s="54"/>
      <c r="S63" s="54"/>
      <c r="T63" s="54"/>
      <c r="U63" s="54"/>
      <c r="V63" s="54"/>
      <c r="W63" s="54"/>
      <c r="X63" s="54"/>
      <c r="Y63" s="54"/>
      <c r="Z63" s="54"/>
      <c r="AA63" s="54"/>
      <c r="AB63" s="54"/>
      <c r="AC63" s="54"/>
      <c r="AD63" s="54"/>
      <c r="AE63" s="54"/>
      <c r="AF63" s="54"/>
      <c r="AG63" s="54"/>
      <c r="AH63" s="54"/>
      <c r="AI63" s="117">
        <f>SUM(F63:AH63)</f>
        <v>0</v>
      </c>
      <c r="AJ63" s="117">
        <f>SUM(F63:U63)</f>
        <v>0</v>
      </c>
      <c r="AK63" s="117">
        <f>SUM(W63:AH63)</f>
        <v>0</v>
      </c>
      <c r="AL63" s="23"/>
      <c r="AM63" s="127" t="b">
        <f>IF(INDEX($AO63:$BM63,0,$F$14)=1,TRUE,FALSE)</f>
        <v>0</v>
      </c>
      <c r="AN63" s="127" t="str">
        <f>IF(AM63,A63&amp;", "&amp;B63,"")</f>
        <v/>
      </c>
      <c r="AO63" s="129">
        <v>1</v>
      </c>
      <c r="AP63" s="129">
        <v>1</v>
      </c>
      <c r="AQ63" s="129">
        <v>1</v>
      </c>
      <c r="AR63" s="129">
        <v>1</v>
      </c>
      <c r="AS63" s="129">
        <v>1</v>
      </c>
      <c r="AT63" s="129"/>
      <c r="AU63" s="129"/>
      <c r="AV63" s="129"/>
      <c r="AW63" s="129"/>
      <c r="AX63" s="197"/>
      <c r="AY63" s="197">
        <v>1</v>
      </c>
      <c r="AZ63" s="197">
        <v>1</v>
      </c>
      <c r="BA63" s="197">
        <v>1</v>
      </c>
      <c r="BB63" s="129">
        <v>1</v>
      </c>
      <c r="BC63" s="129">
        <v>1</v>
      </c>
      <c r="BD63" s="129">
        <v>1</v>
      </c>
      <c r="BE63" s="129">
        <v>1</v>
      </c>
      <c r="BF63" s="129">
        <v>1</v>
      </c>
      <c r="BG63" s="129">
        <v>1</v>
      </c>
      <c r="BH63" s="129">
        <v>1</v>
      </c>
      <c r="BI63" s="129">
        <v>1</v>
      </c>
      <c r="BJ63" s="129">
        <v>1</v>
      </c>
      <c r="BK63" s="129">
        <v>1</v>
      </c>
      <c r="BL63" s="129"/>
      <c r="BM63" s="197"/>
    </row>
    <row r="64" spans="1:65" x14ac:dyDescent="0.25">
      <c r="A64" s="121" t="s">
        <v>72</v>
      </c>
      <c r="B64" s="121" t="s">
        <v>26</v>
      </c>
      <c r="C64" s="172" t="s">
        <v>222</v>
      </c>
      <c r="D64" s="161">
        <v>1</v>
      </c>
      <c r="E64" s="29" t="str">
        <f>INDEX(ra_ScName,MATCH(D64,ra_ScNumber,0))</f>
        <v>Expected nominal return (incl forecast asset revaluations)</v>
      </c>
      <c r="F64" s="54"/>
      <c r="G64" s="54"/>
      <c r="H64" s="54"/>
      <c r="I64" s="54"/>
      <c r="J64" s="54"/>
      <c r="K64" s="54"/>
      <c r="L64" s="54"/>
      <c r="M64" s="54"/>
      <c r="N64" s="54"/>
      <c r="O64" s="54"/>
      <c r="P64" s="54"/>
      <c r="Q64" s="54"/>
      <c r="R64" s="54"/>
      <c r="S64" s="54"/>
      <c r="T64" s="54"/>
      <c r="U64" s="54"/>
      <c r="V64" s="54"/>
      <c r="W64" s="54"/>
      <c r="X64" s="54"/>
      <c r="Y64" s="54"/>
      <c r="Z64" s="54"/>
      <c r="AA64" s="54"/>
      <c r="AB64" s="54"/>
      <c r="AC64" s="54"/>
      <c r="AD64" s="54"/>
      <c r="AE64" s="54"/>
      <c r="AF64" s="54"/>
      <c r="AG64" s="54"/>
      <c r="AH64" s="54"/>
      <c r="AI64" s="117">
        <f>SUM(F64:AH64)</f>
        <v>0</v>
      </c>
      <c r="AJ64" s="117">
        <f>SUM(F64:U64)</f>
        <v>0</v>
      </c>
      <c r="AK64" s="117">
        <f>SUM(W64:AH64)</f>
        <v>0</v>
      </c>
      <c r="AL64" s="23"/>
      <c r="AM64" s="127" t="b">
        <f>IF(INDEX($AO64:$BM64,0,$F$14)=1,TRUE,FALSE)</f>
        <v>0</v>
      </c>
      <c r="AN64" s="127" t="str">
        <f>IF(AM64,A64&amp;", "&amp;B64,"")</f>
        <v/>
      </c>
      <c r="AO64" s="129">
        <v>1</v>
      </c>
      <c r="AP64" s="129">
        <v>1</v>
      </c>
      <c r="AQ64" s="129">
        <v>1</v>
      </c>
      <c r="AR64" s="129">
        <v>1</v>
      </c>
      <c r="AS64" s="129">
        <v>1</v>
      </c>
      <c r="AT64" s="129"/>
      <c r="AU64" s="129"/>
      <c r="AV64" s="129"/>
      <c r="AW64" s="129"/>
      <c r="AX64" s="197"/>
      <c r="AY64" s="197">
        <v>1</v>
      </c>
      <c r="AZ64" s="197">
        <v>1</v>
      </c>
      <c r="BA64" s="197">
        <v>1</v>
      </c>
      <c r="BB64" s="129">
        <v>1</v>
      </c>
      <c r="BC64" s="129">
        <v>1</v>
      </c>
      <c r="BD64" s="129">
        <v>1</v>
      </c>
      <c r="BE64" s="129">
        <v>1</v>
      </c>
      <c r="BF64" s="129">
        <v>1</v>
      </c>
      <c r="BG64" s="129">
        <v>1</v>
      </c>
      <c r="BH64" s="129">
        <v>1</v>
      </c>
      <c r="BI64" s="129">
        <v>1</v>
      </c>
      <c r="BJ64" s="129">
        <v>1</v>
      </c>
      <c r="BK64" s="129">
        <v>1</v>
      </c>
      <c r="BL64" s="129"/>
      <c r="BM64" s="197"/>
    </row>
    <row r="65" spans="1:65" x14ac:dyDescent="0.25">
      <c r="A65" s="121" t="s">
        <v>72</v>
      </c>
      <c r="B65" s="121" t="s">
        <v>27</v>
      </c>
      <c r="C65" s="172" t="s">
        <v>222</v>
      </c>
      <c r="D65" s="161">
        <v>1</v>
      </c>
      <c r="E65" s="29" t="str">
        <f>INDEX(ra_ScName,MATCH(D65,ra_ScNumber,0))</f>
        <v>Expected nominal return (incl forecast asset revaluations)</v>
      </c>
      <c r="F65" s="54"/>
      <c r="G65" s="54"/>
      <c r="H65" s="54"/>
      <c r="I65" s="54"/>
      <c r="J65" s="54"/>
      <c r="K65" s="54"/>
      <c r="L65" s="54"/>
      <c r="M65" s="54"/>
      <c r="N65" s="54"/>
      <c r="O65" s="54"/>
      <c r="P65" s="54"/>
      <c r="Q65" s="54"/>
      <c r="R65" s="54"/>
      <c r="S65" s="54"/>
      <c r="T65" s="54"/>
      <c r="U65" s="54"/>
      <c r="V65" s="54"/>
      <c r="W65" s="54"/>
      <c r="X65" s="54"/>
      <c r="Y65" s="54"/>
      <c r="Z65" s="54"/>
      <c r="AA65" s="54"/>
      <c r="AB65" s="54"/>
      <c r="AC65" s="54"/>
      <c r="AD65" s="54"/>
      <c r="AE65" s="54"/>
      <c r="AF65" s="54"/>
      <c r="AG65" s="54"/>
      <c r="AH65" s="54"/>
      <c r="AI65" s="117">
        <f>SUM(F65:AH65)</f>
        <v>0</v>
      </c>
      <c r="AJ65" s="117">
        <f>SUM(F65:U65)</f>
        <v>0</v>
      </c>
      <c r="AK65" s="117">
        <f>SUM(W65:AH65)</f>
        <v>0</v>
      </c>
      <c r="AL65" s="23"/>
      <c r="AM65" s="127" t="b">
        <f>IF(INDEX($AO65:$BM65,0,$F$14)=1,TRUE,FALSE)</f>
        <v>0</v>
      </c>
      <c r="AN65" s="127" t="str">
        <f>IF(AM65,A65&amp;", "&amp;B65,"")</f>
        <v/>
      </c>
      <c r="AO65" s="129">
        <v>1</v>
      </c>
      <c r="AP65" s="129">
        <v>1</v>
      </c>
      <c r="AQ65" s="129">
        <v>1</v>
      </c>
      <c r="AR65" s="129">
        <v>1</v>
      </c>
      <c r="AS65" s="129">
        <v>1</v>
      </c>
      <c r="AT65" s="129"/>
      <c r="AU65" s="129"/>
      <c r="AV65" s="129"/>
      <c r="AW65" s="129"/>
      <c r="AX65" s="197"/>
      <c r="AY65" s="197">
        <v>1</v>
      </c>
      <c r="AZ65" s="197">
        <v>1</v>
      </c>
      <c r="BA65" s="197">
        <v>1</v>
      </c>
      <c r="BB65" s="129">
        <v>1</v>
      </c>
      <c r="BC65" s="129">
        <v>1</v>
      </c>
      <c r="BD65" s="129">
        <v>1</v>
      </c>
      <c r="BE65" s="129">
        <v>1</v>
      </c>
      <c r="BF65" s="129">
        <v>1</v>
      </c>
      <c r="BG65" s="129">
        <v>1</v>
      </c>
      <c r="BH65" s="129">
        <v>1</v>
      </c>
      <c r="BI65" s="129">
        <v>1</v>
      </c>
      <c r="BJ65" s="129">
        <v>1</v>
      </c>
      <c r="BK65" s="129">
        <v>1</v>
      </c>
      <c r="BL65" s="129"/>
      <c r="BM65" s="197"/>
    </row>
    <row r="66" spans="1:65" x14ac:dyDescent="0.25">
      <c r="A66" s="121"/>
      <c r="B66" s="121"/>
      <c r="C66" s="172"/>
      <c r="D66" s="49"/>
      <c r="E66" s="49"/>
      <c r="F66" s="54"/>
      <c r="G66" s="54"/>
      <c r="H66" s="54"/>
      <c r="I66" s="54"/>
      <c r="J66" s="54"/>
      <c r="K66" s="54"/>
      <c r="L66" s="54"/>
      <c r="M66" s="54"/>
      <c r="N66" s="54"/>
      <c r="O66" s="54"/>
      <c r="P66" s="54"/>
      <c r="Q66" s="54"/>
      <c r="R66" s="54"/>
      <c r="S66" s="54"/>
      <c r="T66" s="54"/>
      <c r="U66" s="54"/>
      <c r="V66" s="54"/>
      <c r="W66" s="55"/>
      <c r="X66" s="55"/>
      <c r="Y66" s="55"/>
      <c r="Z66" s="55"/>
      <c r="AA66" s="55"/>
      <c r="AB66" s="55"/>
      <c r="AC66" s="55"/>
      <c r="AD66" s="55"/>
      <c r="AE66" s="55"/>
      <c r="AF66" s="55"/>
      <c r="AG66" s="55"/>
      <c r="AH66" s="55"/>
      <c r="AI66" s="54"/>
      <c r="AJ66" s="54"/>
      <c r="AK66" s="54"/>
      <c r="AL66" s="23"/>
      <c r="AM66" s="127"/>
      <c r="AN66" s="127"/>
      <c r="AO66" s="129"/>
      <c r="AP66" s="129"/>
      <c r="AQ66" s="129"/>
      <c r="AR66" s="129"/>
      <c r="AS66" s="129"/>
      <c r="AT66" s="129"/>
      <c r="AU66" s="129"/>
      <c r="AV66" s="129"/>
      <c r="AW66" s="129"/>
      <c r="AX66" s="197"/>
      <c r="AY66" s="197"/>
      <c r="AZ66" s="197"/>
      <c r="BA66" s="197"/>
      <c r="BB66" s="129"/>
      <c r="BC66" s="129"/>
      <c r="BD66" s="129"/>
      <c r="BE66" s="129"/>
      <c r="BF66" s="129"/>
      <c r="BG66" s="129"/>
      <c r="BH66" s="129"/>
      <c r="BI66" s="129"/>
      <c r="BJ66" s="129"/>
      <c r="BK66" s="129"/>
      <c r="BL66" s="129"/>
      <c r="BM66" s="197"/>
    </row>
    <row r="67" spans="1:65" x14ac:dyDescent="0.25">
      <c r="A67" s="121"/>
      <c r="B67" s="121"/>
      <c r="C67" s="172"/>
      <c r="D67" s="46"/>
      <c r="E67" s="46"/>
      <c r="F67" s="54"/>
      <c r="G67" s="54"/>
      <c r="H67" s="54"/>
      <c r="I67" s="54"/>
      <c r="J67" s="54"/>
      <c r="K67" s="54"/>
      <c r="L67" s="54"/>
      <c r="M67" s="54"/>
      <c r="N67" s="54"/>
      <c r="O67" s="54"/>
      <c r="P67" s="54"/>
      <c r="Q67" s="54"/>
      <c r="R67" s="54"/>
      <c r="S67" s="54"/>
      <c r="T67" s="54"/>
      <c r="U67" s="54"/>
      <c r="V67" s="54"/>
      <c r="W67" s="55"/>
      <c r="X67" s="55"/>
      <c r="Y67" s="55"/>
      <c r="Z67" s="55"/>
      <c r="AA67" s="55"/>
      <c r="AB67" s="55"/>
      <c r="AC67" s="55"/>
      <c r="AD67" s="55"/>
      <c r="AE67" s="55"/>
      <c r="AF67" s="55"/>
      <c r="AG67" s="55"/>
      <c r="AH67" s="55"/>
      <c r="AI67" s="54"/>
      <c r="AJ67" s="54"/>
      <c r="AK67" s="54"/>
      <c r="AL67" s="23"/>
      <c r="AM67" s="127"/>
      <c r="AN67" s="127"/>
      <c r="AO67" s="129"/>
      <c r="AP67" s="129"/>
      <c r="AQ67" s="129"/>
      <c r="AR67" s="129"/>
      <c r="AS67" s="129"/>
      <c r="AT67" s="129"/>
      <c r="AU67" s="129"/>
      <c r="AV67" s="129"/>
      <c r="AW67" s="129"/>
      <c r="AX67" s="197"/>
      <c r="AY67" s="197"/>
      <c r="AZ67" s="197"/>
      <c r="BA67" s="197"/>
      <c r="BB67" s="129"/>
      <c r="BC67" s="129"/>
      <c r="BD67" s="129"/>
      <c r="BE67" s="129"/>
      <c r="BF67" s="129"/>
      <c r="BG67" s="129"/>
      <c r="BH67" s="129"/>
      <c r="BI67" s="129"/>
      <c r="BJ67" s="129"/>
      <c r="BK67" s="129"/>
      <c r="BL67" s="129"/>
      <c r="BM67" s="197"/>
    </row>
    <row r="68" spans="1:65" x14ac:dyDescent="0.25">
      <c r="A68" s="121" t="s">
        <v>72</v>
      </c>
      <c r="B68" s="121" t="s">
        <v>23</v>
      </c>
      <c r="C68" s="172" t="s">
        <v>352</v>
      </c>
      <c r="D68" s="161">
        <v>10</v>
      </c>
      <c r="E68" s="29" t="str">
        <f>INDEX(ra_ScName,MATCH(D68,ra_ScNumber,0))</f>
        <v>Disclosed nominal return (incl actual asset revaluations)</v>
      </c>
      <c r="F68" s="122">
        <v>-245.42506160569513</v>
      </c>
      <c r="G68" s="122">
        <v>-106.75658614128687</v>
      </c>
      <c r="H68" s="122">
        <v>26.233594726912159</v>
      </c>
      <c r="I68" s="122">
        <v>-161.65240401135023</v>
      </c>
      <c r="J68" s="122">
        <v>-631.35142245114355</v>
      </c>
      <c r="K68" s="122">
        <v>-166.84154891892024</v>
      </c>
      <c r="L68" s="122">
        <v>-29.188962190352751</v>
      </c>
      <c r="M68" s="122">
        <v>1.7378792388673994</v>
      </c>
      <c r="N68" s="122">
        <v>-228.46196023017671</v>
      </c>
      <c r="O68" s="122">
        <v>-4.116663152268619</v>
      </c>
      <c r="P68" s="122">
        <v>-8021.1254213620168</v>
      </c>
      <c r="Q68" s="122">
        <v>4.9731709167514246</v>
      </c>
      <c r="R68" s="122">
        <v>3.1386180860480448</v>
      </c>
      <c r="S68" s="122">
        <v>-1747.90719826196</v>
      </c>
      <c r="T68" s="122">
        <v>-5773.0764516231638</v>
      </c>
      <c r="U68" s="122">
        <v>-79.56708275811296</v>
      </c>
      <c r="V68" s="122">
        <v>-1481.9872244442201</v>
      </c>
      <c r="W68" s="122">
        <v>-211.09603560449352</v>
      </c>
      <c r="X68" s="122">
        <v>-270.23934777983993</v>
      </c>
      <c r="Y68" s="122">
        <v>-411.1708519910369</v>
      </c>
      <c r="Z68" s="122">
        <v>20.350531440678793</v>
      </c>
      <c r="AA68" s="122">
        <v>-367.29633319008036</v>
      </c>
      <c r="AB68" s="122">
        <v>-124.58790190886778</v>
      </c>
      <c r="AC68" s="122">
        <v>0</v>
      </c>
      <c r="AD68" s="122">
        <v>2.7332974725534394</v>
      </c>
      <c r="AE68" s="122">
        <v>-551.19139310493847</v>
      </c>
      <c r="AF68" s="122">
        <v>-121.03330408978151</v>
      </c>
      <c r="AG68" s="122">
        <v>-1565.4486807163776</v>
      </c>
      <c r="AH68" s="122">
        <v>-198.90000362001334</v>
      </c>
      <c r="AI68" s="117">
        <f>SUM(F68:AH68)</f>
        <v>-22439.254747274281</v>
      </c>
      <c r="AJ68" s="117">
        <f>SUM(F68:U68)</f>
        <v>-17159.38749973787</v>
      </c>
      <c r="AK68" s="117">
        <f>SUM(W68:AH68)</f>
        <v>-3797.880023092197</v>
      </c>
      <c r="AL68" s="23"/>
      <c r="AM68" s="127" t="b">
        <f>IF(INDEX($AO68:$BM68,0,$F$14)=1,TRUE,FALSE)</f>
        <v>1</v>
      </c>
      <c r="AN68" s="127" t="str">
        <f>IF(AM68,A68&amp;", "&amp;B68,"")</f>
        <v>Gains / (losses) on asset disposals, 2010/11</v>
      </c>
      <c r="AO68" s="129"/>
      <c r="AP68" s="129"/>
      <c r="AQ68" s="129"/>
      <c r="AR68" s="129"/>
      <c r="AS68" s="129"/>
      <c r="AT68" s="129">
        <v>1</v>
      </c>
      <c r="AU68" s="129">
        <v>1</v>
      </c>
      <c r="AV68" s="129">
        <v>1</v>
      </c>
      <c r="AW68" s="129">
        <v>1</v>
      </c>
      <c r="AX68" s="197">
        <v>1</v>
      </c>
      <c r="AY68" s="197"/>
      <c r="AZ68" s="197"/>
      <c r="BA68" s="197"/>
      <c r="BB68" s="129"/>
      <c r="BC68" s="129"/>
      <c r="BD68" s="129"/>
      <c r="BE68" s="129"/>
      <c r="BF68" s="129"/>
      <c r="BG68" s="129"/>
      <c r="BH68" s="129"/>
      <c r="BI68" s="129"/>
      <c r="BJ68" s="129"/>
      <c r="BK68" s="129"/>
      <c r="BL68" s="129">
        <v>1</v>
      </c>
      <c r="BM68" s="197">
        <v>1</v>
      </c>
    </row>
    <row r="69" spans="1:65" x14ac:dyDescent="0.25">
      <c r="A69" s="121" t="s">
        <v>72</v>
      </c>
      <c r="B69" s="121" t="s">
        <v>24</v>
      </c>
      <c r="C69" s="172" t="s">
        <v>210</v>
      </c>
      <c r="D69" s="161">
        <v>10</v>
      </c>
      <c r="E69" s="29" t="str">
        <f>INDEX(ra_ScName,MATCH(D69,ra_ScNumber,0))</f>
        <v>Disclosed nominal return (incl actual asset revaluations)</v>
      </c>
      <c r="F69" s="122">
        <v>-129.46393</v>
      </c>
      <c r="G69" s="122">
        <v>-16</v>
      </c>
      <c r="H69" s="122">
        <v>37</v>
      </c>
      <c r="I69" s="122">
        <v>-291</v>
      </c>
      <c r="J69" s="122">
        <v>-1227</v>
      </c>
      <c r="K69" s="122">
        <v>-436</v>
      </c>
      <c r="L69" s="122">
        <v>24.568999999999999</v>
      </c>
      <c r="M69" s="122">
        <v>0</v>
      </c>
      <c r="N69" s="122">
        <v>-267</v>
      </c>
      <c r="O69" s="122">
        <v>0</v>
      </c>
      <c r="P69" s="122">
        <v>-9496.6598659920001</v>
      </c>
      <c r="Q69" s="122">
        <v>12.134779999999999</v>
      </c>
      <c r="R69" s="122">
        <v>0</v>
      </c>
      <c r="S69" s="122">
        <v>-115.06747</v>
      </c>
      <c r="T69" s="122">
        <v>-5053</v>
      </c>
      <c r="U69" s="122">
        <v>0</v>
      </c>
      <c r="V69" s="122">
        <v>536</v>
      </c>
      <c r="W69" s="122">
        <v>-139.63800000000001</v>
      </c>
      <c r="X69" s="122">
        <v>-173.30518000000001</v>
      </c>
      <c r="Y69" s="122">
        <v>-151</v>
      </c>
      <c r="Z69" s="122">
        <v>0</v>
      </c>
      <c r="AA69" s="122">
        <v>-1077.345</v>
      </c>
      <c r="AB69" s="122">
        <v>0</v>
      </c>
      <c r="AC69" s="122">
        <v>0</v>
      </c>
      <c r="AD69" s="122">
        <v>12</v>
      </c>
      <c r="AE69" s="122">
        <v>-688</v>
      </c>
      <c r="AF69" s="122">
        <v>-128.94984667101079</v>
      </c>
      <c r="AG69" s="122">
        <v>-3564</v>
      </c>
      <c r="AH69" s="122">
        <v>-353</v>
      </c>
      <c r="AI69" s="117">
        <f>SUM(F69:AH69)</f>
        <v>-22684.725512663012</v>
      </c>
      <c r="AJ69" s="117">
        <f>SUM(F69:U69)</f>
        <v>-16957.487485992002</v>
      </c>
      <c r="AK69" s="117">
        <f>SUM(W69:AH69)</f>
        <v>-6263.2380266710106</v>
      </c>
      <c r="AL69" s="23"/>
      <c r="AM69" s="127" t="b">
        <f>IF(INDEX($AO69:$BM69,0,$F$14)=1,TRUE,FALSE)</f>
        <v>1</v>
      </c>
      <c r="AN69" s="127" t="str">
        <f>IF(AM69,A69&amp;", "&amp;B69,"")</f>
        <v>Gains / (losses) on asset disposals, 2011/12</v>
      </c>
      <c r="AO69" s="129"/>
      <c r="AP69" s="129"/>
      <c r="AQ69" s="129"/>
      <c r="AR69" s="129"/>
      <c r="AS69" s="129"/>
      <c r="AT69" s="129">
        <v>1</v>
      </c>
      <c r="AU69" s="129">
        <v>1</v>
      </c>
      <c r="AV69" s="129">
        <v>1</v>
      </c>
      <c r="AW69" s="129">
        <v>1</v>
      </c>
      <c r="AX69" s="197">
        <v>1</v>
      </c>
      <c r="AY69" s="197"/>
      <c r="AZ69" s="197"/>
      <c r="BA69" s="197"/>
      <c r="BB69" s="129"/>
      <c r="BC69" s="129"/>
      <c r="BD69" s="129"/>
      <c r="BE69" s="129"/>
      <c r="BF69" s="129"/>
      <c r="BG69" s="129"/>
      <c r="BH69" s="129"/>
      <c r="BI69" s="129"/>
      <c r="BJ69" s="129"/>
      <c r="BK69" s="129"/>
      <c r="BL69" s="129">
        <v>1</v>
      </c>
      <c r="BM69" s="197">
        <v>1</v>
      </c>
    </row>
    <row r="70" spans="1:65" x14ac:dyDescent="0.25">
      <c r="A70" s="121" t="s">
        <v>72</v>
      </c>
      <c r="B70" s="121" t="s">
        <v>25</v>
      </c>
      <c r="C70" s="172" t="s">
        <v>210</v>
      </c>
      <c r="D70" s="161">
        <v>10</v>
      </c>
      <c r="E70" s="29" t="str">
        <f>INDEX(ra_ScName,MATCH(D70,ra_ScNumber,0))</f>
        <v>Disclosed nominal return (incl actual asset revaluations)</v>
      </c>
      <c r="F70" s="122">
        <v>-538.80521999999996</v>
      </c>
      <c r="G70" s="122">
        <v>-81</v>
      </c>
      <c r="H70" s="122">
        <v>22</v>
      </c>
      <c r="I70" s="122">
        <v>-259.23962996585789</v>
      </c>
      <c r="J70" s="122">
        <v>-1507</v>
      </c>
      <c r="K70" s="122">
        <v>-69</v>
      </c>
      <c r="L70" s="122">
        <v>16.399000000000001</v>
      </c>
      <c r="M70" s="122">
        <v>7.5629999999999997</v>
      </c>
      <c r="N70" s="122">
        <v>-162.1621947564166</v>
      </c>
      <c r="O70" s="122">
        <v>-6.0302900000000008</v>
      </c>
      <c r="P70" s="122">
        <v>-8111</v>
      </c>
      <c r="Q70" s="122">
        <v>0.51426300000000069</v>
      </c>
      <c r="R70" s="122">
        <v>0</v>
      </c>
      <c r="S70" s="122">
        <v>-326.52</v>
      </c>
      <c r="T70" s="122">
        <v>-3008</v>
      </c>
      <c r="U70" s="122">
        <v>0</v>
      </c>
      <c r="V70" s="122">
        <v>-1856</v>
      </c>
      <c r="W70" s="122">
        <v>-329.09298936450801</v>
      </c>
      <c r="X70" s="122">
        <v>-358.18666999999999</v>
      </c>
      <c r="Y70" s="122">
        <v>-1000.784</v>
      </c>
      <c r="Z70" s="122">
        <v>0</v>
      </c>
      <c r="AA70" s="122">
        <v>-498.67099999999999</v>
      </c>
      <c r="AB70" s="122">
        <v>-117</v>
      </c>
      <c r="AC70" s="122">
        <v>0</v>
      </c>
      <c r="AD70" s="122">
        <v>0</v>
      </c>
      <c r="AE70" s="122">
        <v>-423</v>
      </c>
      <c r="AF70" s="122">
        <v>-127.7523811817171</v>
      </c>
      <c r="AG70" s="122">
        <v>-2001.31368</v>
      </c>
      <c r="AH70" s="122">
        <v>-216</v>
      </c>
      <c r="AI70" s="117">
        <f>SUM(F70:AH70)</f>
        <v>-20950.081792268498</v>
      </c>
      <c r="AJ70" s="117">
        <f>SUM(F70:U70)</f>
        <v>-14022.281071722276</v>
      </c>
      <c r="AK70" s="117">
        <f>SUM(W70:AH70)</f>
        <v>-5071.8007205462254</v>
      </c>
      <c r="AL70" s="23"/>
      <c r="AM70" s="127" t="b">
        <f>IF(INDEX($AO70:$BM70,0,$F$14)=1,TRUE,FALSE)</f>
        <v>1</v>
      </c>
      <c r="AN70" s="127" t="str">
        <f>IF(AM70,A70&amp;", "&amp;B70,"")</f>
        <v>Gains / (losses) on asset disposals, 2012/13</v>
      </c>
      <c r="AO70" s="129"/>
      <c r="AP70" s="129"/>
      <c r="AQ70" s="129"/>
      <c r="AR70" s="129"/>
      <c r="AS70" s="129"/>
      <c r="AT70" s="129">
        <v>1</v>
      </c>
      <c r="AU70" s="129">
        <v>1</v>
      </c>
      <c r="AV70" s="129">
        <v>1</v>
      </c>
      <c r="AW70" s="129">
        <v>1</v>
      </c>
      <c r="AX70" s="197">
        <v>1</v>
      </c>
      <c r="AY70" s="197"/>
      <c r="AZ70" s="197"/>
      <c r="BA70" s="197"/>
      <c r="BB70" s="129"/>
      <c r="BC70" s="129"/>
      <c r="BD70" s="129"/>
      <c r="BE70" s="129"/>
      <c r="BF70" s="129"/>
      <c r="BG70" s="129"/>
      <c r="BH70" s="129"/>
      <c r="BI70" s="129"/>
      <c r="BJ70" s="129"/>
      <c r="BK70" s="129"/>
      <c r="BL70" s="129">
        <v>1</v>
      </c>
      <c r="BM70" s="197">
        <v>1</v>
      </c>
    </row>
    <row r="71" spans="1:65" x14ac:dyDescent="0.25">
      <c r="A71" s="121" t="s">
        <v>72</v>
      </c>
      <c r="B71" s="121" t="s">
        <v>26</v>
      </c>
      <c r="C71" s="172" t="s">
        <v>210</v>
      </c>
      <c r="D71" s="161">
        <v>10</v>
      </c>
      <c r="E71" s="29" t="str">
        <f>INDEX(ra_ScName,MATCH(D71,ra_ScNumber,0))</f>
        <v>Disclosed nominal return (incl actual asset revaluations)</v>
      </c>
      <c r="F71" s="122">
        <v>-168.47564</v>
      </c>
      <c r="G71" s="122">
        <v>-363</v>
      </c>
      <c r="H71" s="122">
        <v>18.463989999999999</v>
      </c>
      <c r="I71" s="122">
        <v>-146.0962554985295</v>
      </c>
      <c r="J71" s="122">
        <v>-26</v>
      </c>
      <c r="K71" s="122">
        <v>-166.91</v>
      </c>
      <c r="L71" s="122">
        <v>-44</v>
      </c>
      <c r="M71" s="122">
        <v>0</v>
      </c>
      <c r="N71" s="122">
        <v>-197</v>
      </c>
      <c r="O71" s="122">
        <v>-14.43515</v>
      </c>
      <c r="P71" s="122">
        <v>-8274.7208954329999</v>
      </c>
      <c r="Q71" s="122">
        <v>11</v>
      </c>
      <c r="R71" s="122">
        <v>3.86768</v>
      </c>
      <c r="S71" s="122">
        <v>-3861</v>
      </c>
      <c r="T71" s="122">
        <v>-7805</v>
      </c>
      <c r="U71" s="122">
        <v>-341.81114678397552</v>
      </c>
      <c r="V71" s="122">
        <v>-6554</v>
      </c>
      <c r="W71" s="122">
        <v>-307</v>
      </c>
      <c r="X71" s="122">
        <v>-313.98451999999997</v>
      </c>
      <c r="Y71" s="122">
        <v>-255.60849999999999</v>
      </c>
      <c r="Z71" s="122">
        <v>38</v>
      </c>
      <c r="AA71" s="122">
        <v>-98</v>
      </c>
      <c r="AB71" s="122">
        <v>-219</v>
      </c>
      <c r="AC71" s="122">
        <v>0</v>
      </c>
      <c r="AD71" s="122">
        <v>0</v>
      </c>
      <c r="AE71" s="122">
        <v>-665.02599999999995</v>
      </c>
      <c r="AF71" s="122">
        <v>-138.63559897939521</v>
      </c>
      <c r="AG71" s="122">
        <v>-820.89062999999499</v>
      </c>
      <c r="AH71" s="122">
        <v>-200</v>
      </c>
      <c r="AI71" s="117">
        <f>SUM(F71:AH71)</f>
        <v>-30909.2626666949</v>
      </c>
      <c r="AJ71" s="117">
        <f>SUM(F71:U71)</f>
        <v>-21375.117417715508</v>
      </c>
      <c r="AK71" s="117">
        <f>SUM(W71:AH71)</f>
        <v>-2980.1452489793901</v>
      </c>
      <c r="AL71" s="23"/>
      <c r="AM71" s="127" t="b">
        <f>IF(INDEX($AO71:$BM71,0,$F$14)=1,TRUE,FALSE)</f>
        <v>1</v>
      </c>
      <c r="AN71" s="127" t="str">
        <f>IF(AM71,A71&amp;", "&amp;B71,"")</f>
        <v>Gains / (losses) on asset disposals, 2013/14</v>
      </c>
      <c r="AO71" s="129"/>
      <c r="AP71" s="129"/>
      <c r="AQ71" s="129"/>
      <c r="AR71" s="129"/>
      <c r="AS71" s="129"/>
      <c r="AT71" s="129">
        <v>1</v>
      </c>
      <c r="AU71" s="129">
        <v>1</v>
      </c>
      <c r="AV71" s="129">
        <v>1</v>
      </c>
      <c r="AW71" s="129">
        <v>1</v>
      </c>
      <c r="AX71" s="197">
        <v>1</v>
      </c>
      <c r="AY71" s="197"/>
      <c r="AZ71" s="197"/>
      <c r="BA71" s="197"/>
      <c r="BB71" s="129"/>
      <c r="BC71" s="129"/>
      <c r="BD71" s="129"/>
      <c r="BE71" s="129"/>
      <c r="BF71" s="129"/>
      <c r="BG71" s="129"/>
      <c r="BH71" s="129"/>
      <c r="BI71" s="129"/>
      <c r="BJ71" s="129"/>
      <c r="BK71" s="129"/>
      <c r="BL71" s="129">
        <v>1</v>
      </c>
      <c r="BM71" s="197">
        <v>1</v>
      </c>
    </row>
    <row r="72" spans="1:65" x14ac:dyDescent="0.25">
      <c r="A72" s="121" t="s">
        <v>72</v>
      </c>
      <c r="B72" s="121" t="s">
        <v>27</v>
      </c>
      <c r="C72" s="172" t="s">
        <v>210</v>
      </c>
      <c r="D72" s="161">
        <v>10</v>
      </c>
      <c r="E72" s="29" t="str">
        <f>INDEX(ra_ScName,MATCH(D72,ra_ScNumber,0))</f>
        <v>Disclosed nominal return (incl actual asset revaluations)</v>
      </c>
      <c r="F72" s="122">
        <v>-225</v>
      </c>
      <c r="G72" s="122">
        <v>0</v>
      </c>
      <c r="H72" s="122">
        <v>36</v>
      </c>
      <c r="I72" s="122">
        <v>-7.6306751465664098</v>
      </c>
      <c r="J72" s="122">
        <v>2</v>
      </c>
      <c r="K72" s="122">
        <v>-54.613999999999997</v>
      </c>
      <c r="L72" s="122">
        <v>-120.578874935</v>
      </c>
      <c r="M72" s="122">
        <v>0</v>
      </c>
      <c r="N72" s="122">
        <v>-360</v>
      </c>
      <c r="O72" s="122">
        <v>2.68</v>
      </c>
      <c r="P72" s="122">
        <v>-8807.870170071641</v>
      </c>
      <c r="Q72" s="122">
        <v>-2</v>
      </c>
      <c r="R72" s="122">
        <v>9.533059999999999</v>
      </c>
      <c r="S72" s="122">
        <v>-3185.3620000000001</v>
      </c>
      <c r="T72" s="122">
        <v>-9004</v>
      </c>
      <c r="U72" s="122">
        <v>0</v>
      </c>
      <c r="V72" s="122">
        <v>-560.45799999999997</v>
      </c>
      <c r="W72" s="122">
        <v>-137.16337480111179</v>
      </c>
      <c r="X72" s="122">
        <v>-321</v>
      </c>
      <c r="Y72" s="122">
        <v>-371.85480000000001</v>
      </c>
      <c r="Z72" s="122">
        <v>49</v>
      </c>
      <c r="AA72" s="122">
        <v>66</v>
      </c>
      <c r="AB72" s="122">
        <v>-199</v>
      </c>
      <c r="AC72" s="122">
        <v>0</v>
      </c>
      <c r="AD72" s="122">
        <v>0</v>
      </c>
      <c r="AE72" s="122">
        <v>-606.82000000000005</v>
      </c>
      <c r="AF72" s="122">
        <v>-127.91787587228428</v>
      </c>
      <c r="AG72" s="122">
        <v>-437.38863999999944</v>
      </c>
      <c r="AH72" s="122">
        <v>-95</v>
      </c>
      <c r="AI72" s="117">
        <f>SUM(F72:AH72)</f>
        <v>-24458.445350826605</v>
      </c>
      <c r="AJ72" s="117">
        <f>SUM(F72:U72)</f>
        <v>-21716.842660153208</v>
      </c>
      <c r="AK72" s="117">
        <f>SUM(W72:AH72)</f>
        <v>-2181.1446906733954</v>
      </c>
      <c r="AL72" s="23"/>
      <c r="AM72" s="127" t="b">
        <f>IF(INDEX($AO72:$BM72,0,$F$14)=1,TRUE,FALSE)</f>
        <v>1</v>
      </c>
      <c r="AN72" s="127" t="str">
        <f>IF(AM72,A72&amp;", "&amp;B72,"")</f>
        <v>Gains / (losses) on asset disposals, 2014/15</v>
      </c>
      <c r="AO72" s="129"/>
      <c r="AP72" s="129"/>
      <c r="AQ72" s="129"/>
      <c r="AR72" s="129"/>
      <c r="AS72" s="129"/>
      <c r="AT72" s="129">
        <v>1</v>
      </c>
      <c r="AU72" s="129">
        <v>1</v>
      </c>
      <c r="AV72" s="129">
        <v>1</v>
      </c>
      <c r="AW72" s="129">
        <v>1</v>
      </c>
      <c r="AX72" s="197">
        <v>1</v>
      </c>
      <c r="AY72" s="197"/>
      <c r="AZ72" s="197"/>
      <c r="BA72" s="197"/>
      <c r="BB72" s="129"/>
      <c r="BC72" s="129"/>
      <c r="BD72" s="129"/>
      <c r="BE72" s="129"/>
      <c r="BF72" s="129"/>
      <c r="BG72" s="129"/>
      <c r="BH72" s="129"/>
      <c r="BI72" s="129"/>
      <c r="BJ72" s="129"/>
      <c r="BK72" s="129"/>
      <c r="BL72" s="129">
        <v>1</v>
      </c>
      <c r="BM72" s="197">
        <v>1</v>
      </c>
    </row>
    <row r="73" spans="1:65" x14ac:dyDescent="0.25">
      <c r="A73" s="121"/>
      <c r="B73" s="121"/>
      <c r="C73" s="172"/>
      <c r="D73" s="49"/>
      <c r="E73" s="49"/>
      <c r="F73" s="54"/>
      <c r="G73" s="54"/>
      <c r="H73" s="54"/>
      <c r="I73" s="54"/>
      <c r="J73" s="54"/>
      <c r="K73" s="54"/>
      <c r="L73" s="54"/>
      <c r="M73" s="54"/>
      <c r="N73" s="54"/>
      <c r="O73" s="54"/>
      <c r="P73" s="54"/>
      <c r="Q73" s="54"/>
      <c r="R73" s="54"/>
      <c r="S73" s="54"/>
      <c r="T73" s="54"/>
      <c r="U73" s="54"/>
      <c r="V73" s="54"/>
      <c r="W73" s="54"/>
      <c r="X73" s="54"/>
      <c r="Y73" s="54"/>
      <c r="Z73" s="54"/>
      <c r="AA73" s="54"/>
      <c r="AB73" s="54"/>
      <c r="AC73" s="54"/>
      <c r="AD73" s="54"/>
      <c r="AE73" s="54"/>
      <c r="AF73" s="54"/>
      <c r="AG73" s="54"/>
      <c r="AH73" s="54"/>
      <c r="AI73" s="54"/>
      <c r="AJ73" s="54"/>
      <c r="AK73" s="54"/>
      <c r="AL73" s="23"/>
      <c r="AM73" s="127"/>
      <c r="AN73" s="127"/>
      <c r="AO73" s="129"/>
      <c r="AP73" s="129"/>
      <c r="AQ73" s="129"/>
      <c r="AR73" s="129"/>
      <c r="AS73" s="129"/>
      <c r="AT73" s="129"/>
      <c r="AU73" s="129"/>
      <c r="AV73" s="129"/>
      <c r="AW73" s="129"/>
      <c r="AX73" s="197"/>
      <c r="AY73" s="197"/>
      <c r="AZ73" s="197"/>
      <c r="BA73" s="197"/>
      <c r="BB73" s="129"/>
      <c r="BC73" s="129"/>
      <c r="BD73" s="129"/>
      <c r="BE73" s="129"/>
      <c r="BF73" s="129"/>
      <c r="BG73" s="129"/>
      <c r="BH73" s="129"/>
      <c r="BI73" s="129"/>
      <c r="BJ73" s="129"/>
      <c r="BK73" s="129"/>
      <c r="BL73" s="129"/>
      <c r="BM73" s="197"/>
    </row>
    <row r="74" spans="1:65" x14ac:dyDescent="0.25">
      <c r="A74" s="121"/>
      <c r="B74" s="121"/>
      <c r="C74" s="172"/>
      <c r="D74" s="46"/>
      <c r="E74" s="46"/>
      <c r="F74" s="54"/>
      <c r="G74" s="54"/>
      <c r="H74" s="54"/>
      <c r="I74" s="54"/>
      <c r="J74" s="54"/>
      <c r="K74" s="54"/>
      <c r="L74" s="54"/>
      <c r="M74" s="54"/>
      <c r="N74" s="54"/>
      <c r="O74" s="54"/>
      <c r="P74" s="54"/>
      <c r="Q74" s="54"/>
      <c r="R74" s="54"/>
      <c r="S74" s="54"/>
      <c r="T74" s="54"/>
      <c r="U74" s="54"/>
      <c r="V74" s="54"/>
      <c r="W74" s="55"/>
      <c r="X74" s="55"/>
      <c r="Y74" s="55"/>
      <c r="Z74" s="55"/>
      <c r="AA74" s="55"/>
      <c r="AB74" s="55"/>
      <c r="AC74" s="55"/>
      <c r="AD74" s="55"/>
      <c r="AE74" s="55"/>
      <c r="AF74" s="55"/>
      <c r="AG74" s="55"/>
      <c r="AH74" s="55"/>
      <c r="AI74" s="54"/>
      <c r="AJ74" s="54"/>
      <c r="AK74" s="54"/>
      <c r="AL74" s="23"/>
      <c r="AM74" s="127"/>
      <c r="AN74" s="127"/>
      <c r="AO74" s="129"/>
      <c r="AP74" s="129"/>
      <c r="AQ74" s="129"/>
      <c r="AR74" s="129"/>
      <c r="AS74" s="129"/>
      <c r="AT74" s="129"/>
      <c r="AU74" s="129"/>
      <c r="AV74" s="129"/>
      <c r="AW74" s="129"/>
      <c r="AX74" s="197"/>
      <c r="AY74" s="197"/>
      <c r="AZ74" s="197"/>
      <c r="BA74" s="197"/>
      <c r="BB74" s="129"/>
      <c r="BC74" s="129"/>
      <c r="BD74" s="129"/>
      <c r="BE74" s="129"/>
      <c r="BF74" s="129"/>
      <c r="BG74" s="129"/>
      <c r="BH74" s="129"/>
      <c r="BI74" s="129"/>
      <c r="BJ74" s="129"/>
      <c r="BK74" s="129"/>
      <c r="BL74" s="129"/>
      <c r="BM74" s="197"/>
    </row>
    <row r="75" spans="1:65" x14ac:dyDescent="0.25">
      <c r="A75" s="121" t="s">
        <v>73</v>
      </c>
      <c r="B75" s="121" t="s">
        <v>23</v>
      </c>
      <c r="C75" s="172" t="s">
        <v>397</v>
      </c>
      <c r="D75" s="161">
        <v>1</v>
      </c>
      <c r="E75" s="29" t="str">
        <f>INDEX(ra_ScName,MATCH(D75,ra_ScNumber,0))</f>
        <v>Expected nominal return (incl forecast asset revaluations)</v>
      </c>
      <c r="F75" s="122">
        <v>6.4629153765773371</v>
      </c>
      <c r="G75" s="122">
        <v>628.22691634950843</v>
      </c>
      <c r="H75" s="122">
        <v>24.611066557488723</v>
      </c>
      <c r="I75" s="122">
        <v>384.2853607413773</v>
      </c>
      <c r="J75" s="122">
        <v>466.1459586631475</v>
      </c>
      <c r="K75" s="122">
        <v>89.144233086894616</v>
      </c>
      <c r="L75" s="122">
        <v>107.88685221889965</v>
      </c>
      <c r="M75" s="122">
        <v>0</v>
      </c>
      <c r="N75" s="122">
        <v>301.22839392322675</v>
      </c>
      <c r="O75" s="122">
        <v>317.66302572112289</v>
      </c>
      <c r="P75" s="122">
        <v>81.140039988003338</v>
      </c>
      <c r="Q75" s="122">
        <v>44.85423521746398</v>
      </c>
      <c r="R75" s="122">
        <v>0</v>
      </c>
      <c r="S75" s="122">
        <v>289.14772269678122</v>
      </c>
      <c r="T75" s="122">
        <v>7017.0588795047979</v>
      </c>
      <c r="U75" s="122">
        <v>458.52285345373156</v>
      </c>
      <c r="V75" s="122" t="s">
        <v>165</v>
      </c>
      <c r="W75" s="122" t="s">
        <v>165</v>
      </c>
      <c r="X75" s="122" t="s">
        <v>165</v>
      </c>
      <c r="Y75" s="122" t="s">
        <v>165</v>
      </c>
      <c r="Z75" s="122" t="s">
        <v>165</v>
      </c>
      <c r="AA75" s="122" t="s">
        <v>165</v>
      </c>
      <c r="AB75" s="122" t="s">
        <v>165</v>
      </c>
      <c r="AC75" s="122" t="s">
        <v>165</v>
      </c>
      <c r="AD75" s="122" t="s">
        <v>165</v>
      </c>
      <c r="AE75" s="122" t="s">
        <v>165</v>
      </c>
      <c r="AF75" s="122" t="s">
        <v>165</v>
      </c>
      <c r="AG75" s="122" t="s">
        <v>165</v>
      </c>
      <c r="AH75" s="122" t="s">
        <v>165</v>
      </c>
      <c r="AI75" s="117">
        <f>SUM(F75:AH75)</f>
        <v>10216.378453499021</v>
      </c>
      <c r="AJ75" s="117">
        <f>SUM(F75:U75)</f>
        <v>10216.378453499021</v>
      </c>
      <c r="AK75" s="117">
        <f>SUM(W75:AH75)</f>
        <v>0</v>
      </c>
      <c r="AL75" s="23"/>
      <c r="AM75" s="127" t="b">
        <f>IF(INDEX($AO75:$BM75,0,$F$14)=1,TRUE,FALSE)</f>
        <v>0</v>
      </c>
      <c r="AN75" s="127" t="str">
        <f>IF(AM75,A75&amp;", "&amp;B75,"")</f>
        <v/>
      </c>
      <c r="AO75" s="129">
        <v>1</v>
      </c>
      <c r="AP75" s="129">
        <v>1</v>
      </c>
      <c r="AQ75" s="129"/>
      <c r="AR75" s="129"/>
      <c r="AS75" s="129"/>
      <c r="AT75" s="129"/>
      <c r="AU75" s="129"/>
      <c r="AV75" s="129"/>
      <c r="AW75" s="129"/>
      <c r="AX75" s="197"/>
      <c r="AY75" s="197">
        <v>1</v>
      </c>
      <c r="AZ75" s="197">
        <v>1</v>
      </c>
      <c r="BA75" s="197">
        <v>1</v>
      </c>
      <c r="BB75" s="129">
        <v>1</v>
      </c>
      <c r="BC75" s="129">
        <v>1</v>
      </c>
      <c r="BD75" s="129">
        <v>1</v>
      </c>
      <c r="BE75" s="129">
        <v>1</v>
      </c>
      <c r="BF75" s="129">
        <v>1</v>
      </c>
      <c r="BG75" s="129">
        <v>1</v>
      </c>
      <c r="BH75" s="129">
        <v>1</v>
      </c>
      <c r="BI75" s="129">
        <v>1</v>
      </c>
      <c r="BJ75" s="129">
        <v>1</v>
      </c>
      <c r="BK75" s="129">
        <v>1</v>
      </c>
      <c r="BL75" s="129"/>
      <c r="BM75" s="197"/>
    </row>
    <row r="76" spans="1:65" x14ac:dyDescent="0.25">
      <c r="A76" s="121" t="s">
        <v>73</v>
      </c>
      <c r="B76" s="121" t="s">
        <v>24</v>
      </c>
      <c r="C76" s="172" t="s">
        <v>397</v>
      </c>
      <c r="D76" s="161">
        <v>1</v>
      </c>
      <c r="E76" s="29" t="str">
        <f>INDEX(ra_ScName,MATCH(D76,ra_ScNumber,0))</f>
        <v>Expected nominal return (incl forecast asset revaluations)</v>
      </c>
      <c r="F76" s="122">
        <v>6.5644271364188667</v>
      </c>
      <c r="G76" s="122">
        <v>638.09435482620233</v>
      </c>
      <c r="H76" s="122">
        <v>24.997627812318392</v>
      </c>
      <c r="I76" s="122">
        <v>390.32125645982831</v>
      </c>
      <c r="J76" s="122">
        <v>473.46762293534363</v>
      </c>
      <c r="K76" s="122">
        <v>90.544404287212345</v>
      </c>
      <c r="L76" s="122">
        <v>109.58141010715462</v>
      </c>
      <c r="M76" s="122">
        <v>0</v>
      </c>
      <c r="N76" s="122">
        <v>305.95972995343453</v>
      </c>
      <c r="O76" s="122">
        <v>322.65249732930812</v>
      </c>
      <c r="P76" s="122">
        <v>82.414490877867266</v>
      </c>
      <c r="Q76" s="122">
        <v>45.558752000984363</v>
      </c>
      <c r="R76" s="122">
        <v>0</v>
      </c>
      <c r="S76" s="122">
        <v>293.68930996426997</v>
      </c>
      <c r="T76" s="122">
        <v>7127.274463999639</v>
      </c>
      <c r="U76" s="122">
        <v>465.72478308913054</v>
      </c>
      <c r="V76" s="122" t="s">
        <v>165</v>
      </c>
      <c r="W76" s="122" t="s">
        <v>165</v>
      </c>
      <c r="X76" s="122" t="s">
        <v>165</v>
      </c>
      <c r="Y76" s="122" t="s">
        <v>165</v>
      </c>
      <c r="Z76" s="122" t="s">
        <v>165</v>
      </c>
      <c r="AA76" s="122" t="s">
        <v>165</v>
      </c>
      <c r="AB76" s="122" t="s">
        <v>165</v>
      </c>
      <c r="AC76" s="122" t="s">
        <v>165</v>
      </c>
      <c r="AD76" s="122" t="s">
        <v>165</v>
      </c>
      <c r="AE76" s="122" t="s">
        <v>165</v>
      </c>
      <c r="AF76" s="122" t="s">
        <v>165</v>
      </c>
      <c r="AG76" s="122" t="s">
        <v>165</v>
      </c>
      <c r="AH76" s="122" t="s">
        <v>165</v>
      </c>
      <c r="AI76" s="117">
        <f t="shared" ref="AI76:AI153" si="2">SUM(F76:AH76)</f>
        <v>10376.845130779111</v>
      </c>
      <c r="AJ76" s="117">
        <f>SUM(F76:U76)</f>
        <v>10376.845130779111</v>
      </c>
      <c r="AK76" s="117">
        <f t="shared" ref="AK76:AK153" si="3">SUM(W76:AH76)</f>
        <v>0</v>
      </c>
      <c r="AL76" s="23"/>
      <c r="AM76" s="127" t="b">
        <f>IF(INDEX($AO76:$BM76,0,$F$14)=1,TRUE,FALSE)</f>
        <v>0</v>
      </c>
      <c r="AN76" s="127" t="str">
        <f>IF(AM76,A76&amp;", "&amp;B76,"")</f>
        <v/>
      </c>
      <c r="AO76" s="129">
        <v>1</v>
      </c>
      <c r="AP76" s="129">
        <v>1</v>
      </c>
      <c r="AQ76" s="129"/>
      <c r="AR76" s="129"/>
      <c r="AS76" s="129"/>
      <c r="AT76" s="129"/>
      <c r="AU76" s="129"/>
      <c r="AV76" s="129"/>
      <c r="AW76" s="129"/>
      <c r="AX76" s="197"/>
      <c r="AY76" s="197">
        <v>1</v>
      </c>
      <c r="AZ76" s="197">
        <v>1</v>
      </c>
      <c r="BA76" s="197">
        <v>1</v>
      </c>
      <c r="BB76" s="129">
        <v>1</v>
      </c>
      <c r="BC76" s="129">
        <v>1</v>
      </c>
      <c r="BD76" s="129">
        <v>1</v>
      </c>
      <c r="BE76" s="129">
        <v>1</v>
      </c>
      <c r="BF76" s="129">
        <v>1</v>
      </c>
      <c r="BG76" s="129">
        <v>1</v>
      </c>
      <c r="BH76" s="129">
        <v>1</v>
      </c>
      <c r="BI76" s="129">
        <v>1</v>
      </c>
      <c r="BJ76" s="129">
        <v>1</v>
      </c>
      <c r="BK76" s="129">
        <v>1</v>
      </c>
      <c r="BL76" s="129"/>
      <c r="BM76" s="197"/>
    </row>
    <row r="77" spans="1:65" x14ac:dyDescent="0.25">
      <c r="A77" s="121" t="s">
        <v>73</v>
      </c>
      <c r="B77" s="121" t="s">
        <v>25</v>
      </c>
      <c r="C77" s="172" t="s">
        <v>397</v>
      </c>
      <c r="D77" s="161">
        <v>1</v>
      </c>
      <c r="E77" s="29" t="str">
        <f>INDEX(ra_ScName,MATCH(D77,ra_ScNumber,0))</f>
        <v>Expected nominal return (incl forecast asset revaluations)</v>
      </c>
      <c r="F77" s="122">
        <v>6.6828575229006502</v>
      </c>
      <c r="G77" s="122">
        <v>649.60636638234519</v>
      </c>
      <c r="H77" s="122">
        <v>25.448615942953001</v>
      </c>
      <c r="I77" s="122">
        <v>397.36313479802112</v>
      </c>
      <c r="J77" s="122">
        <v>482.00956458623904</v>
      </c>
      <c r="K77" s="122">
        <v>92.177937354249693</v>
      </c>
      <c r="L77" s="122">
        <v>111.55839431011876</v>
      </c>
      <c r="M77" s="122">
        <v>0</v>
      </c>
      <c r="N77" s="122">
        <v>311.47962198867691</v>
      </c>
      <c r="O77" s="122">
        <v>328.47354753885753</v>
      </c>
      <c r="P77" s="122">
        <v>83.901350249375184</v>
      </c>
      <c r="Q77" s="122">
        <v>46.380688248424804</v>
      </c>
      <c r="R77" s="122">
        <v>0</v>
      </c>
      <c r="S77" s="122">
        <v>298.98782844300683</v>
      </c>
      <c r="T77" s="122">
        <v>7255.8593125769521</v>
      </c>
      <c r="U77" s="122">
        <v>474.1270343304293</v>
      </c>
      <c r="V77" s="122" t="s">
        <v>165</v>
      </c>
      <c r="W77" s="122" t="s">
        <v>165</v>
      </c>
      <c r="X77" s="122" t="s">
        <v>165</v>
      </c>
      <c r="Y77" s="122" t="s">
        <v>165</v>
      </c>
      <c r="Z77" s="122" t="s">
        <v>165</v>
      </c>
      <c r="AA77" s="122" t="s">
        <v>165</v>
      </c>
      <c r="AB77" s="122" t="s">
        <v>165</v>
      </c>
      <c r="AC77" s="122" t="s">
        <v>165</v>
      </c>
      <c r="AD77" s="122" t="s">
        <v>165</v>
      </c>
      <c r="AE77" s="122" t="s">
        <v>165</v>
      </c>
      <c r="AF77" s="122" t="s">
        <v>165</v>
      </c>
      <c r="AG77" s="122" t="s">
        <v>165</v>
      </c>
      <c r="AH77" s="122" t="s">
        <v>165</v>
      </c>
      <c r="AI77" s="117">
        <f t="shared" si="2"/>
        <v>10564.056254272551</v>
      </c>
      <c r="AJ77" s="117">
        <f>SUM(F77:U77)</f>
        <v>10564.056254272551</v>
      </c>
      <c r="AK77" s="117">
        <f t="shared" si="3"/>
        <v>0</v>
      </c>
      <c r="AL77" s="23"/>
      <c r="AM77" s="127" t="b">
        <f>IF(INDEX($AO77:$BM77,0,$F$14)=1,TRUE,FALSE)</f>
        <v>0</v>
      </c>
      <c r="AN77" s="127" t="str">
        <f>IF(AM77,A77&amp;", "&amp;B77,"")</f>
        <v/>
      </c>
      <c r="AO77" s="129">
        <v>1</v>
      </c>
      <c r="AP77" s="129">
        <v>1</v>
      </c>
      <c r="AQ77" s="129"/>
      <c r="AR77" s="129"/>
      <c r="AS77" s="129"/>
      <c r="AT77" s="129"/>
      <c r="AU77" s="129"/>
      <c r="AV77" s="129"/>
      <c r="AW77" s="129"/>
      <c r="AX77" s="197"/>
      <c r="AY77" s="197">
        <v>1</v>
      </c>
      <c r="AZ77" s="197">
        <v>1</v>
      </c>
      <c r="BA77" s="197">
        <v>1</v>
      </c>
      <c r="BB77" s="129">
        <v>1</v>
      </c>
      <c r="BC77" s="129">
        <v>1</v>
      </c>
      <c r="BD77" s="129">
        <v>1</v>
      </c>
      <c r="BE77" s="129">
        <v>1</v>
      </c>
      <c r="BF77" s="129">
        <v>1</v>
      </c>
      <c r="BG77" s="129">
        <v>1</v>
      </c>
      <c r="BH77" s="129">
        <v>1</v>
      </c>
      <c r="BI77" s="129">
        <v>1</v>
      </c>
      <c r="BJ77" s="129">
        <v>1</v>
      </c>
      <c r="BK77" s="129">
        <v>1</v>
      </c>
      <c r="BL77" s="129"/>
      <c r="BM77" s="197"/>
    </row>
    <row r="78" spans="1:65" x14ac:dyDescent="0.25">
      <c r="A78" s="121" t="s">
        <v>73</v>
      </c>
      <c r="B78" s="121" t="s">
        <v>26</v>
      </c>
      <c r="C78" s="172" t="s">
        <v>397</v>
      </c>
      <c r="D78" s="161">
        <v>1</v>
      </c>
      <c r="E78" s="29" t="str">
        <f>INDEX(ra_ScName,MATCH(D78,ra_ScNumber,0))</f>
        <v>Expected nominal return (incl forecast asset revaluations)</v>
      </c>
      <c r="F78" s="122">
        <v>6.8012879093824345</v>
      </c>
      <c r="G78" s="122">
        <v>661.11837793848804</v>
      </c>
      <c r="H78" s="122">
        <v>25.899604073587614</v>
      </c>
      <c r="I78" s="122">
        <v>404.40501313621388</v>
      </c>
      <c r="J78" s="122">
        <v>490.55150623713439</v>
      </c>
      <c r="K78" s="122">
        <v>93.811470421287027</v>
      </c>
      <c r="L78" s="122">
        <v>113.53537851308289</v>
      </c>
      <c r="M78" s="122">
        <v>0</v>
      </c>
      <c r="N78" s="122">
        <v>316.99951402391929</v>
      </c>
      <c r="O78" s="122">
        <v>334.29459774840689</v>
      </c>
      <c r="P78" s="122">
        <v>85.388209620883103</v>
      </c>
      <c r="Q78" s="122">
        <v>47.202624495865251</v>
      </c>
      <c r="R78" s="122">
        <v>0</v>
      </c>
      <c r="S78" s="122">
        <v>304.28634692174364</v>
      </c>
      <c r="T78" s="122">
        <v>7384.4441611542652</v>
      </c>
      <c r="U78" s="122">
        <v>482.52928557172811</v>
      </c>
      <c r="V78" s="122" t="s">
        <v>165</v>
      </c>
      <c r="W78" s="122" t="s">
        <v>165</v>
      </c>
      <c r="X78" s="122" t="s">
        <v>165</v>
      </c>
      <c r="Y78" s="122" t="s">
        <v>165</v>
      </c>
      <c r="Z78" s="122" t="s">
        <v>165</v>
      </c>
      <c r="AA78" s="122" t="s">
        <v>165</v>
      </c>
      <c r="AB78" s="122" t="s">
        <v>165</v>
      </c>
      <c r="AC78" s="122" t="s">
        <v>165</v>
      </c>
      <c r="AD78" s="122" t="s">
        <v>165</v>
      </c>
      <c r="AE78" s="122" t="s">
        <v>165</v>
      </c>
      <c r="AF78" s="122" t="s">
        <v>165</v>
      </c>
      <c r="AG78" s="122" t="s">
        <v>165</v>
      </c>
      <c r="AH78" s="122" t="s">
        <v>165</v>
      </c>
      <c r="AI78" s="117">
        <f t="shared" si="2"/>
        <v>10751.267377765989</v>
      </c>
      <c r="AJ78" s="117">
        <f>SUM(F78:U78)</f>
        <v>10751.267377765989</v>
      </c>
      <c r="AK78" s="117">
        <f t="shared" si="3"/>
        <v>0</v>
      </c>
      <c r="AL78" s="23"/>
      <c r="AM78" s="127" t="b">
        <f>IF(INDEX($AO78:$BM78,0,$F$14)=1,TRUE,FALSE)</f>
        <v>0</v>
      </c>
      <c r="AN78" s="127" t="str">
        <f>IF(AM78,A78&amp;", "&amp;B78,"")</f>
        <v/>
      </c>
      <c r="AO78" s="129">
        <v>1</v>
      </c>
      <c r="AP78" s="129">
        <v>1</v>
      </c>
      <c r="AQ78" s="129"/>
      <c r="AR78" s="129"/>
      <c r="AS78" s="129"/>
      <c r="AT78" s="129"/>
      <c r="AU78" s="129"/>
      <c r="AV78" s="129"/>
      <c r="AW78" s="129"/>
      <c r="AX78" s="197"/>
      <c r="AY78" s="197">
        <v>1</v>
      </c>
      <c r="AZ78" s="197">
        <v>1</v>
      </c>
      <c r="BA78" s="197">
        <v>1</v>
      </c>
      <c r="BB78" s="129">
        <v>1</v>
      </c>
      <c r="BC78" s="129">
        <v>1</v>
      </c>
      <c r="BD78" s="129">
        <v>1</v>
      </c>
      <c r="BE78" s="129">
        <v>1</v>
      </c>
      <c r="BF78" s="129">
        <v>1</v>
      </c>
      <c r="BG78" s="129">
        <v>1</v>
      </c>
      <c r="BH78" s="129">
        <v>1</v>
      </c>
      <c r="BI78" s="129">
        <v>1</v>
      </c>
      <c r="BJ78" s="129">
        <v>1</v>
      </c>
      <c r="BK78" s="129">
        <v>1</v>
      </c>
      <c r="BL78" s="129"/>
      <c r="BM78" s="197"/>
    </row>
    <row r="79" spans="1:65" x14ac:dyDescent="0.25">
      <c r="A79" s="121" t="s">
        <v>73</v>
      </c>
      <c r="B79" s="121" t="s">
        <v>27</v>
      </c>
      <c r="C79" s="172" t="s">
        <v>397</v>
      </c>
      <c r="D79" s="161">
        <v>1</v>
      </c>
      <c r="E79" s="29" t="str">
        <f>INDEX(ra_ScName,MATCH(D79,ra_ScNumber,0))</f>
        <v>Expected nominal return (incl forecast asset revaluations)</v>
      </c>
      <c r="F79" s="122">
        <v>6.9591950913581453</v>
      </c>
      <c r="G79" s="122">
        <v>676.46772668001176</v>
      </c>
      <c r="H79" s="122">
        <v>26.500921581100425</v>
      </c>
      <c r="I79" s="122">
        <v>413.79418425380425</v>
      </c>
      <c r="J79" s="122">
        <v>501.94076177166153</v>
      </c>
      <c r="K79" s="122">
        <v>95.989514510670134</v>
      </c>
      <c r="L79" s="122">
        <v>116.17135745036839</v>
      </c>
      <c r="M79" s="122">
        <v>0</v>
      </c>
      <c r="N79" s="122">
        <v>324.35937007090911</v>
      </c>
      <c r="O79" s="122">
        <v>342.05599802780603</v>
      </c>
      <c r="P79" s="122">
        <v>87.370688782893652</v>
      </c>
      <c r="Q79" s="122">
        <v>48.298539492452498</v>
      </c>
      <c r="R79" s="122">
        <v>0</v>
      </c>
      <c r="S79" s="122">
        <v>311.35103822672608</v>
      </c>
      <c r="T79" s="122">
        <v>7555.8906259240148</v>
      </c>
      <c r="U79" s="122">
        <v>493.73228722679301</v>
      </c>
      <c r="V79" s="122" t="s">
        <v>165</v>
      </c>
      <c r="W79" s="122" t="s">
        <v>165</v>
      </c>
      <c r="X79" s="122" t="s">
        <v>165</v>
      </c>
      <c r="Y79" s="122" t="s">
        <v>165</v>
      </c>
      <c r="Z79" s="122" t="s">
        <v>165</v>
      </c>
      <c r="AA79" s="122" t="s">
        <v>165</v>
      </c>
      <c r="AB79" s="122" t="s">
        <v>165</v>
      </c>
      <c r="AC79" s="122" t="s">
        <v>165</v>
      </c>
      <c r="AD79" s="122" t="s">
        <v>165</v>
      </c>
      <c r="AE79" s="122" t="s">
        <v>165</v>
      </c>
      <c r="AF79" s="122" t="s">
        <v>165</v>
      </c>
      <c r="AG79" s="122" t="s">
        <v>165</v>
      </c>
      <c r="AH79" s="122" t="s">
        <v>165</v>
      </c>
      <c r="AI79" s="117">
        <f t="shared" si="2"/>
        <v>11000.882209090569</v>
      </c>
      <c r="AJ79" s="117">
        <f>SUM(F79:U79)</f>
        <v>11000.882209090569</v>
      </c>
      <c r="AK79" s="117">
        <f t="shared" si="3"/>
        <v>0</v>
      </c>
      <c r="AL79" s="23"/>
      <c r="AM79" s="127" t="b">
        <f>IF(INDEX($AO79:$BM79,0,$F$14)=1,TRUE,FALSE)</f>
        <v>0</v>
      </c>
      <c r="AN79" s="127" t="str">
        <f>IF(AM79,A79&amp;", "&amp;B79,"")</f>
        <v/>
      </c>
      <c r="AO79" s="129">
        <v>1</v>
      </c>
      <c r="AP79" s="129">
        <v>1</v>
      </c>
      <c r="AQ79" s="129"/>
      <c r="AR79" s="129"/>
      <c r="AS79" s="129"/>
      <c r="AT79" s="129"/>
      <c r="AU79" s="129"/>
      <c r="AV79" s="129"/>
      <c r="AW79" s="129"/>
      <c r="AX79" s="197"/>
      <c r="AY79" s="197">
        <v>1</v>
      </c>
      <c r="AZ79" s="197">
        <v>1</v>
      </c>
      <c r="BA79" s="197">
        <v>1</v>
      </c>
      <c r="BB79" s="129">
        <v>1</v>
      </c>
      <c r="BC79" s="129">
        <v>1</v>
      </c>
      <c r="BD79" s="129">
        <v>1</v>
      </c>
      <c r="BE79" s="129">
        <v>1</v>
      </c>
      <c r="BF79" s="129">
        <v>1</v>
      </c>
      <c r="BG79" s="129">
        <v>1</v>
      </c>
      <c r="BH79" s="129">
        <v>1</v>
      </c>
      <c r="BI79" s="129">
        <v>1</v>
      </c>
      <c r="BJ79" s="129">
        <v>1</v>
      </c>
      <c r="BK79" s="129">
        <v>1</v>
      </c>
      <c r="BL79" s="129"/>
      <c r="BM79" s="197"/>
    </row>
    <row r="80" spans="1:65" x14ac:dyDescent="0.25">
      <c r="A80" s="121"/>
      <c r="B80" s="121"/>
      <c r="C80" s="172"/>
      <c r="D80" s="49"/>
      <c r="E80" s="49"/>
      <c r="F80" s="54"/>
      <c r="G80" s="54"/>
      <c r="H80" s="54"/>
      <c r="I80" s="54"/>
      <c r="J80" s="54"/>
      <c r="K80" s="54"/>
      <c r="L80" s="54"/>
      <c r="M80" s="54"/>
      <c r="N80" s="54"/>
      <c r="O80" s="54"/>
      <c r="P80" s="54"/>
      <c r="Q80" s="54"/>
      <c r="R80" s="54"/>
      <c r="S80" s="54"/>
      <c r="T80" s="54"/>
      <c r="U80" s="54"/>
      <c r="V80" s="54"/>
      <c r="W80" s="55"/>
      <c r="X80" s="55"/>
      <c r="Y80" s="55"/>
      <c r="Z80" s="55"/>
      <c r="AA80" s="55"/>
      <c r="AB80" s="55"/>
      <c r="AC80" s="55"/>
      <c r="AD80" s="55"/>
      <c r="AE80" s="55"/>
      <c r="AF80" s="55"/>
      <c r="AG80" s="55"/>
      <c r="AH80" s="55"/>
      <c r="AI80" s="54"/>
      <c r="AJ80" s="54"/>
      <c r="AK80" s="54"/>
      <c r="AL80" s="23"/>
      <c r="AM80" s="127"/>
      <c r="AN80" s="127"/>
      <c r="AO80" s="129"/>
      <c r="AP80" s="129"/>
      <c r="AQ80" s="129"/>
      <c r="AR80" s="129"/>
      <c r="AS80" s="129"/>
      <c r="AT80" s="129"/>
      <c r="AU80" s="129"/>
      <c r="AV80" s="129"/>
      <c r="AW80" s="129"/>
      <c r="AX80" s="197"/>
      <c r="AY80" s="197"/>
      <c r="AZ80" s="197"/>
      <c r="BA80" s="197"/>
      <c r="BB80" s="129"/>
      <c r="BC80" s="129"/>
      <c r="BD80" s="129"/>
      <c r="BE80" s="129"/>
      <c r="BF80" s="129"/>
      <c r="BG80" s="129"/>
      <c r="BH80" s="129"/>
      <c r="BI80" s="129"/>
      <c r="BJ80" s="129"/>
      <c r="BK80" s="129"/>
      <c r="BL80" s="129"/>
      <c r="BM80" s="197"/>
    </row>
    <row r="81" spans="1:65" x14ac:dyDescent="0.25">
      <c r="A81" s="121"/>
      <c r="B81" s="121"/>
      <c r="C81" s="172"/>
      <c r="D81" s="46"/>
      <c r="E81" s="46"/>
      <c r="F81" s="54"/>
      <c r="G81" s="54"/>
      <c r="H81" s="54"/>
      <c r="I81" s="54"/>
      <c r="J81" s="54"/>
      <c r="K81" s="54"/>
      <c r="L81" s="54"/>
      <c r="M81" s="54"/>
      <c r="N81" s="54"/>
      <c r="O81" s="54"/>
      <c r="P81" s="54"/>
      <c r="Q81" s="54"/>
      <c r="R81" s="54"/>
      <c r="S81" s="54"/>
      <c r="T81" s="54"/>
      <c r="U81" s="54"/>
      <c r="V81" s="54"/>
      <c r="W81" s="55"/>
      <c r="X81" s="55"/>
      <c r="Y81" s="55"/>
      <c r="Z81" s="55"/>
      <c r="AA81" s="55"/>
      <c r="AB81" s="55"/>
      <c r="AC81" s="55"/>
      <c r="AD81" s="55"/>
      <c r="AE81" s="55"/>
      <c r="AF81" s="55"/>
      <c r="AG81" s="55"/>
      <c r="AH81" s="55"/>
      <c r="AI81" s="54"/>
      <c r="AJ81" s="54"/>
      <c r="AK81" s="54"/>
      <c r="AL81" s="23"/>
      <c r="AM81" s="127"/>
      <c r="AN81" s="127"/>
      <c r="AO81" s="129"/>
      <c r="AP81" s="129"/>
      <c r="AQ81" s="129"/>
      <c r="AR81" s="129"/>
      <c r="AS81" s="129"/>
      <c r="AT81" s="129"/>
      <c r="AU81" s="129"/>
      <c r="AV81" s="129"/>
      <c r="AW81" s="129"/>
      <c r="AX81" s="197"/>
      <c r="AY81" s="197"/>
      <c r="AZ81" s="197"/>
      <c r="BA81" s="197"/>
      <c r="BB81" s="129"/>
      <c r="BC81" s="129"/>
      <c r="BD81" s="129"/>
      <c r="BE81" s="129"/>
      <c r="BF81" s="129"/>
      <c r="BG81" s="129"/>
      <c r="BH81" s="129"/>
      <c r="BI81" s="129"/>
      <c r="BJ81" s="129"/>
      <c r="BK81" s="129"/>
      <c r="BL81" s="129"/>
      <c r="BM81" s="197"/>
    </row>
    <row r="82" spans="1:65" x14ac:dyDescent="0.25">
      <c r="A82" s="121" t="s">
        <v>73</v>
      </c>
      <c r="B82" s="121" t="s">
        <v>23</v>
      </c>
      <c r="C82" s="172" t="s">
        <v>209</v>
      </c>
      <c r="D82" s="161">
        <v>10</v>
      </c>
      <c r="E82" s="29" t="str">
        <f>INDEX(ra_ScName,MATCH(D82,ra_ScNumber,0))</f>
        <v>Disclosed nominal return (incl actual asset revaluations)</v>
      </c>
      <c r="F82" s="122">
        <v>0.67100000000000004</v>
      </c>
      <c r="G82" s="122">
        <v>698</v>
      </c>
      <c r="H82" s="122">
        <v>29</v>
      </c>
      <c r="I82" s="122">
        <v>281</v>
      </c>
      <c r="J82" s="122">
        <v>659</v>
      </c>
      <c r="K82" s="122">
        <v>86</v>
      </c>
      <c r="L82" s="122">
        <v>13.23921</v>
      </c>
      <c r="M82" s="122">
        <v>0</v>
      </c>
      <c r="N82" s="122">
        <v>270.76427999999999</v>
      </c>
      <c r="O82" s="122">
        <v>274</v>
      </c>
      <c r="P82" s="122">
        <v>107.84219</v>
      </c>
      <c r="Q82" s="122">
        <v>0</v>
      </c>
      <c r="R82" s="122">
        <v>0</v>
      </c>
      <c r="S82" s="122">
        <v>419.15827999999999</v>
      </c>
      <c r="T82" s="122">
        <v>13987</v>
      </c>
      <c r="U82" s="122">
        <v>239.78279000000001</v>
      </c>
      <c r="V82" s="122">
        <v>442</v>
      </c>
      <c r="W82" s="122">
        <v>6.63</v>
      </c>
      <c r="X82" s="122">
        <v>285</v>
      </c>
      <c r="Y82" s="122">
        <v>640</v>
      </c>
      <c r="Z82" s="122">
        <v>32</v>
      </c>
      <c r="AA82" s="122">
        <v>5269</v>
      </c>
      <c r="AB82" s="122">
        <v>2.1379999999999999</v>
      </c>
      <c r="AC82" s="122">
        <v>134.5</v>
      </c>
      <c r="AD82" s="122">
        <v>0</v>
      </c>
      <c r="AE82" s="122">
        <v>687</v>
      </c>
      <c r="AF82" s="122">
        <v>75.296629999999993</v>
      </c>
      <c r="AG82" s="122">
        <v>2481.8393999999998</v>
      </c>
      <c r="AH82" s="122">
        <v>378</v>
      </c>
      <c r="AI82" s="117">
        <f t="shared" si="2"/>
        <v>27498.861780000003</v>
      </c>
      <c r="AJ82" s="117">
        <f>SUM(F82:U82)</f>
        <v>17065.457750000001</v>
      </c>
      <c r="AK82" s="117">
        <f t="shared" si="3"/>
        <v>9991.4040299999997</v>
      </c>
      <c r="AL82" s="23"/>
      <c r="AM82" s="127" t="b">
        <f>IF(INDEX($AO82:$BM82,0,$F$14)=1,TRUE,FALSE)</f>
        <v>1</v>
      </c>
      <c r="AN82" s="127" t="str">
        <f>IF(AM82,A82&amp;", "&amp;B82,"")</f>
        <v>Other regulated income (other than gains / (losses) on asset disposals), 2010/11</v>
      </c>
      <c r="AO82" s="129"/>
      <c r="AP82" s="129"/>
      <c r="AQ82" s="129">
        <v>1</v>
      </c>
      <c r="AR82" s="129">
        <v>1</v>
      </c>
      <c r="AS82" s="129">
        <v>1</v>
      </c>
      <c r="AT82" s="129">
        <v>1</v>
      </c>
      <c r="AU82" s="129">
        <v>1</v>
      </c>
      <c r="AV82" s="129">
        <v>1</v>
      </c>
      <c r="AW82" s="129">
        <v>1</v>
      </c>
      <c r="AX82" s="197">
        <v>1</v>
      </c>
      <c r="AY82" s="197"/>
      <c r="AZ82" s="197"/>
      <c r="BA82" s="197"/>
      <c r="BB82" s="129"/>
      <c r="BC82" s="129"/>
      <c r="BD82" s="129"/>
      <c r="BE82" s="129"/>
      <c r="BF82" s="129"/>
      <c r="BG82" s="129"/>
      <c r="BH82" s="129"/>
      <c r="BI82" s="129"/>
      <c r="BJ82" s="129"/>
      <c r="BK82" s="129"/>
      <c r="BL82" s="129">
        <v>1</v>
      </c>
      <c r="BM82" s="197">
        <v>1</v>
      </c>
    </row>
    <row r="83" spans="1:65" x14ac:dyDescent="0.25">
      <c r="A83" s="121" t="s">
        <v>73</v>
      </c>
      <c r="B83" s="121" t="s">
        <v>24</v>
      </c>
      <c r="C83" s="172" t="s">
        <v>210</v>
      </c>
      <c r="D83" s="161">
        <v>10</v>
      </c>
      <c r="E83" s="29" t="str">
        <f>INDEX(ra_ScName,MATCH(D83,ra_ScNumber,0))</f>
        <v>Disclosed nominal return (incl actual asset revaluations)</v>
      </c>
      <c r="F83" s="122">
        <v>10.18113</v>
      </c>
      <c r="G83" s="122">
        <v>1999</v>
      </c>
      <c r="H83" s="122">
        <v>231</v>
      </c>
      <c r="I83" s="122">
        <v>200</v>
      </c>
      <c r="J83" s="122">
        <v>503</v>
      </c>
      <c r="K83" s="122">
        <v>82</v>
      </c>
      <c r="L83" s="122">
        <v>2.8780000000000001</v>
      </c>
      <c r="M83" s="122">
        <v>240</v>
      </c>
      <c r="N83" s="122">
        <v>1170</v>
      </c>
      <c r="O83" s="122">
        <v>916</v>
      </c>
      <c r="P83" s="122">
        <v>539.84978390000003</v>
      </c>
      <c r="Q83" s="122">
        <v>0</v>
      </c>
      <c r="R83" s="122">
        <v>101</v>
      </c>
      <c r="S83" s="122">
        <v>722.90700000000004</v>
      </c>
      <c r="T83" s="122">
        <v>6271</v>
      </c>
      <c r="U83" s="122">
        <v>701.91713000000084</v>
      </c>
      <c r="V83" s="122">
        <v>22917</v>
      </c>
      <c r="W83" s="122">
        <v>80.53594635653721</v>
      </c>
      <c r="X83" s="122">
        <v>283.77699999999999</v>
      </c>
      <c r="Y83" s="122">
        <v>1107.4059999999999</v>
      </c>
      <c r="Z83" s="122">
        <v>708</v>
      </c>
      <c r="AA83" s="122">
        <v>854.67</v>
      </c>
      <c r="AB83" s="122">
        <v>250</v>
      </c>
      <c r="AC83" s="122">
        <v>521</v>
      </c>
      <c r="AD83" s="122">
        <v>138</v>
      </c>
      <c r="AE83" s="122">
        <v>707.61199999999997</v>
      </c>
      <c r="AF83" s="122">
        <v>0</v>
      </c>
      <c r="AG83" s="122">
        <v>5210.0428155838454</v>
      </c>
      <c r="AH83" s="122">
        <v>532</v>
      </c>
      <c r="AI83" s="117">
        <f t="shared" si="2"/>
        <v>47000.776805840389</v>
      </c>
      <c r="AJ83" s="117">
        <f>SUM(F83:U83)</f>
        <v>13690.733043900002</v>
      </c>
      <c r="AK83" s="117">
        <f t="shared" si="3"/>
        <v>10393.043761940382</v>
      </c>
      <c r="AL83" s="23"/>
      <c r="AM83" s="127" t="b">
        <f>IF(INDEX($AO83:$BM83,0,$F$14)=1,TRUE,FALSE)</f>
        <v>1</v>
      </c>
      <c r="AN83" s="127" t="str">
        <f>IF(AM83,A83&amp;", "&amp;B83,"")</f>
        <v>Other regulated income (other than gains / (losses) on asset disposals), 2011/12</v>
      </c>
      <c r="AO83" s="129"/>
      <c r="AP83" s="129"/>
      <c r="AQ83" s="129">
        <v>1</v>
      </c>
      <c r="AR83" s="129">
        <v>1</v>
      </c>
      <c r="AS83" s="129">
        <v>1</v>
      </c>
      <c r="AT83" s="129">
        <v>1</v>
      </c>
      <c r="AU83" s="129">
        <v>1</v>
      </c>
      <c r="AV83" s="129">
        <v>1</v>
      </c>
      <c r="AW83" s="129">
        <v>1</v>
      </c>
      <c r="AX83" s="197">
        <v>1</v>
      </c>
      <c r="AY83" s="197"/>
      <c r="AZ83" s="197"/>
      <c r="BA83" s="197"/>
      <c r="BB83" s="129"/>
      <c r="BC83" s="129"/>
      <c r="BD83" s="129"/>
      <c r="BE83" s="129"/>
      <c r="BF83" s="129"/>
      <c r="BG83" s="129"/>
      <c r="BH83" s="129"/>
      <c r="BI83" s="129"/>
      <c r="BJ83" s="129"/>
      <c r="BK83" s="129"/>
      <c r="BL83" s="129">
        <v>1</v>
      </c>
      <c r="BM83" s="197">
        <v>1</v>
      </c>
    </row>
    <row r="84" spans="1:65" x14ac:dyDescent="0.25">
      <c r="A84" s="121" t="s">
        <v>73</v>
      </c>
      <c r="B84" s="121" t="s">
        <v>25</v>
      </c>
      <c r="C84" s="172" t="s">
        <v>210</v>
      </c>
      <c r="D84" s="161">
        <v>10</v>
      </c>
      <c r="E84" s="29" t="str">
        <f>INDEX(ra_ScName,MATCH(D84,ra_ScNumber,0))</f>
        <v>Disclosed nominal return (incl actual asset revaluations)</v>
      </c>
      <c r="F84" s="122">
        <v>28.584330000000001</v>
      </c>
      <c r="G84" s="122">
        <v>2989</v>
      </c>
      <c r="H84" s="122">
        <v>236</v>
      </c>
      <c r="I84" s="122">
        <v>394.29057</v>
      </c>
      <c r="J84" s="122">
        <v>322</v>
      </c>
      <c r="K84" s="122">
        <v>58.052999999999997</v>
      </c>
      <c r="L84" s="122">
        <v>44.72495</v>
      </c>
      <c r="M84" s="122">
        <v>289.45400000000001</v>
      </c>
      <c r="N84" s="122">
        <v>1559</v>
      </c>
      <c r="O84" s="122">
        <v>1216.971</v>
      </c>
      <c r="P84" s="122">
        <v>210.99914000000001</v>
      </c>
      <c r="Q84" s="122">
        <v>0</v>
      </c>
      <c r="R84" s="122">
        <v>740.39752782608787</v>
      </c>
      <c r="S84" s="122">
        <v>729.91899999999998</v>
      </c>
      <c r="T84" s="122">
        <v>6090</v>
      </c>
      <c r="U84" s="122">
        <v>678.42719000000045</v>
      </c>
      <c r="V84" s="122">
        <v>3896</v>
      </c>
      <c r="W84" s="122">
        <v>175.49100000000001</v>
      </c>
      <c r="X84" s="122">
        <v>372.83499999999998</v>
      </c>
      <c r="Y84" s="122">
        <v>1096.425</v>
      </c>
      <c r="Z84" s="122">
        <v>785</v>
      </c>
      <c r="AA84" s="122">
        <v>563.11699999999996</v>
      </c>
      <c r="AB84" s="122">
        <v>351</v>
      </c>
      <c r="AC84" s="122">
        <v>466</v>
      </c>
      <c r="AD84" s="122">
        <v>194</v>
      </c>
      <c r="AE84" s="122">
        <v>694.745</v>
      </c>
      <c r="AF84" s="122">
        <v>1.391</v>
      </c>
      <c r="AG84" s="122">
        <v>5774.6719466102804</v>
      </c>
      <c r="AH84" s="122">
        <v>480</v>
      </c>
      <c r="AI84" s="117">
        <f t="shared" si="2"/>
        <v>30438.496654436367</v>
      </c>
      <c r="AJ84" s="117">
        <f>SUM(F84:U84)</f>
        <v>15587.820707826088</v>
      </c>
      <c r="AK84" s="117">
        <f t="shared" si="3"/>
        <v>10954.675946610281</v>
      </c>
      <c r="AL84" s="23"/>
      <c r="AM84" s="127" t="b">
        <f>IF(INDEX($AO84:$BM84,0,$F$14)=1,TRUE,FALSE)</f>
        <v>1</v>
      </c>
      <c r="AN84" s="127" t="str">
        <f>IF(AM84,A84&amp;", "&amp;B84,"")</f>
        <v>Other regulated income (other than gains / (losses) on asset disposals), 2012/13</v>
      </c>
      <c r="AO84" s="129"/>
      <c r="AP84" s="129"/>
      <c r="AQ84" s="129">
        <v>1</v>
      </c>
      <c r="AR84" s="129">
        <v>1</v>
      </c>
      <c r="AS84" s="129">
        <v>1</v>
      </c>
      <c r="AT84" s="129">
        <v>1</v>
      </c>
      <c r="AU84" s="129">
        <v>1</v>
      </c>
      <c r="AV84" s="129">
        <v>1</v>
      </c>
      <c r="AW84" s="129">
        <v>1</v>
      </c>
      <c r="AX84" s="197">
        <v>1</v>
      </c>
      <c r="AY84" s="197"/>
      <c r="AZ84" s="197"/>
      <c r="BA84" s="197"/>
      <c r="BB84" s="129"/>
      <c r="BC84" s="129"/>
      <c r="BD84" s="129"/>
      <c r="BE84" s="129"/>
      <c r="BF84" s="129"/>
      <c r="BG84" s="129"/>
      <c r="BH84" s="129"/>
      <c r="BI84" s="129"/>
      <c r="BJ84" s="129"/>
      <c r="BK84" s="129"/>
      <c r="BL84" s="129">
        <v>1</v>
      </c>
      <c r="BM84" s="197">
        <v>1</v>
      </c>
    </row>
    <row r="85" spans="1:65" x14ac:dyDescent="0.25">
      <c r="A85" s="121" t="s">
        <v>73</v>
      </c>
      <c r="B85" s="121" t="s">
        <v>26</v>
      </c>
      <c r="C85" s="172" t="s">
        <v>210</v>
      </c>
      <c r="D85" s="161">
        <v>10</v>
      </c>
      <c r="E85" s="29" t="str">
        <f>INDEX(ra_ScName,MATCH(D85,ra_ScNumber,0))</f>
        <v>Disclosed nominal return (incl actual asset revaluations)</v>
      </c>
      <c r="F85" s="122">
        <v>26.671710000000001</v>
      </c>
      <c r="G85" s="122">
        <v>3225</v>
      </c>
      <c r="H85" s="122">
        <v>104</v>
      </c>
      <c r="I85" s="122">
        <v>250.26542000000001</v>
      </c>
      <c r="J85" s="122">
        <v>668</v>
      </c>
      <c r="K85" s="122">
        <v>39.768000000000001</v>
      </c>
      <c r="L85" s="122">
        <v>390</v>
      </c>
      <c r="M85" s="122">
        <v>51</v>
      </c>
      <c r="N85" s="122">
        <v>256</v>
      </c>
      <c r="O85" s="122">
        <v>554.46100000000001</v>
      </c>
      <c r="P85" s="122">
        <v>395.97179999999997</v>
      </c>
      <c r="Q85" s="122">
        <v>0</v>
      </c>
      <c r="R85" s="122">
        <v>541.07921043478268</v>
      </c>
      <c r="S85" s="122">
        <v>676.27800000000002</v>
      </c>
      <c r="T85" s="122">
        <v>3570</v>
      </c>
      <c r="U85" s="122">
        <v>532.84507999999994</v>
      </c>
      <c r="V85" s="122">
        <v>2742</v>
      </c>
      <c r="W85" s="122">
        <v>122</v>
      </c>
      <c r="X85" s="122">
        <v>540.48751249999998</v>
      </c>
      <c r="Y85" s="122">
        <v>578.42399999999998</v>
      </c>
      <c r="Z85" s="122">
        <v>1098</v>
      </c>
      <c r="AA85" s="122">
        <v>679.36599999999999</v>
      </c>
      <c r="AB85" s="122">
        <v>0</v>
      </c>
      <c r="AC85" s="122">
        <v>580</v>
      </c>
      <c r="AD85" s="122">
        <v>-38</v>
      </c>
      <c r="AE85" s="122">
        <v>517.90899999999999</v>
      </c>
      <c r="AF85" s="122">
        <v>90.83</v>
      </c>
      <c r="AG85" s="122">
        <v>4199.26181</v>
      </c>
      <c r="AH85" s="122">
        <v>537</v>
      </c>
      <c r="AI85" s="117">
        <f t="shared" si="2"/>
        <v>22928.618542934786</v>
      </c>
      <c r="AJ85" s="117">
        <f>SUM(F85:U85)</f>
        <v>11281.340220434784</v>
      </c>
      <c r="AK85" s="117">
        <f t="shared" si="3"/>
        <v>8905.2783225000003</v>
      </c>
      <c r="AL85" s="23"/>
      <c r="AM85" s="127" t="b">
        <f>IF(INDEX($AO85:$BM85,0,$F$14)=1,TRUE,FALSE)</f>
        <v>1</v>
      </c>
      <c r="AN85" s="127" t="str">
        <f>IF(AM85,A85&amp;", "&amp;B85,"")</f>
        <v>Other regulated income (other than gains / (losses) on asset disposals), 2013/14</v>
      </c>
      <c r="AO85" s="129"/>
      <c r="AP85" s="129"/>
      <c r="AQ85" s="129">
        <v>1</v>
      </c>
      <c r="AR85" s="129">
        <v>1</v>
      </c>
      <c r="AS85" s="129">
        <v>1</v>
      </c>
      <c r="AT85" s="129">
        <v>1</v>
      </c>
      <c r="AU85" s="129">
        <v>1</v>
      </c>
      <c r="AV85" s="129">
        <v>1</v>
      </c>
      <c r="AW85" s="129">
        <v>1</v>
      </c>
      <c r="AX85" s="197">
        <v>1</v>
      </c>
      <c r="AY85" s="197"/>
      <c r="AZ85" s="197"/>
      <c r="BA85" s="197"/>
      <c r="BB85" s="129"/>
      <c r="BC85" s="129"/>
      <c r="BD85" s="129"/>
      <c r="BE85" s="129"/>
      <c r="BF85" s="129"/>
      <c r="BG85" s="129"/>
      <c r="BH85" s="129"/>
      <c r="BI85" s="129"/>
      <c r="BJ85" s="129"/>
      <c r="BK85" s="129"/>
      <c r="BL85" s="129">
        <v>1</v>
      </c>
      <c r="BM85" s="197">
        <v>1</v>
      </c>
    </row>
    <row r="86" spans="1:65" x14ac:dyDescent="0.25">
      <c r="A86" s="121" t="s">
        <v>73</v>
      </c>
      <c r="B86" s="121" t="s">
        <v>27</v>
      </c>
      <c r="C86" s="172" t="s">
        <v>210</v>
      </c>
      <c r="D86" s="161">
        <v>10</v>
      </c>
      <c r="E86" s="29" t="str">
        <f>INDEX(ra_ScName,MATCH(D86,ra_ScNumber,0))</f>
        <v>Disclosed nominal return (incl actual asset revaluations)</v>
      </c>
      <c r="F86" s="122">
        <v>4</v>
      </c>
      <c r="G86" s="122">
        <v>2633</v>
      </c>
      <c r="H86" s="122">
        <v>86</v>
      </c>
      <c r="I86" s="122">
        <v>215.44953000000004</v>
      </c>
      <c r="J86" s="122">
        <v>736</v>
      </c>
      <c r="K86" s="122">
        <v>39.768000000000001</v>
      </c>
      <c r="L86" s="122">
        <v>196.73772</v>
      </c>
      <c r="M86" s="122">
        <v>68.437259999999995</v>
      </c>
      <c r="N86" s="122">
        <v>95</v>
      </c>
      <c r="O86" s="122">
        <v>673.52</v>
      </c>
      <c r="P86" s="122">
        <v>384.97246499999994</v>
      </c>
      <c r="Q86" s="122">
        <v>0</v>
      </c>
      <c r="R86" s="122">
        <v>512.61898999999994</v>
      </c>
      <c r="S86" s="122">
        <v>1209.0825600000001</v>
      </c>
      <c r="T86" s="122">
        <v>185</v>
      </c>
      <c r="U86" s="122">
        <v>671.24241999999992</v>
      </c>
      <c r="V86" s="122">
        <v>32665.526000000002</v>
      </c>
      <c r="W86" s="122">
        <v>224.07749999999993</v>
      </c>
      <c r="X86" s="122">
        <v>429</v>
      </c>
      <c r="Y86" s="122">
        <v>645.22500000000002</v>
      </c>
      <c r="Z86" s="122">
        <v>477</v>
      </c>
      <c r="AA86" s="122">
        <v>738</v>
      </c>
      <c r="AB86" s="122">
        <v>0</v>
      </c>
      <c r="AC86" s="122">
        <v>439</v>
      </c>
      <c r="AD86" s="122">
        <v>88.335080000000005</v>
      </c>
      <c r="AE86" s="122">
        <v>518</v>
      </c>
      <c r="AF86" s="122">
        <v>98.77</v>
      </c>
      <c r="AG86" s="122">
        <v>4550.5771000000004</v>
      </c>
      <c r="AH86" s="122">
        <v>567</v>
      </c>
      <c r="AI86" s="117">
        <f t="shared" si="2"/>
        <v>49151.339624999993</v>
      </c>
      <c r="AJ86" s="117">
        <f>SUM(F86:U86)</f>
        <v>7710.8289449999993</v>
      </c>
      <c r="AK86" s="117">
        <f t="shared" si="3"/>
        <v>8774.9846799999996</v>
      </c>
      <c r="AL86" s="23"/>
      <c r="AM86" s="127" t="b">
        <f>IF(INDEX($AO86:$BM86,0,$F$14)=1,TRUE,FALSE)</f>
        <v>1</v>
      </c>
      <c r="AN86" s="127" t="str">
        <f>IF(AM86,A86&amp;", "&amp;B86,"")</f>
        <v>Other regulated income (other than gains / (losses) on asset disposals), 2014/15</v>
      </c>
      <c r="AO86" s="129"/>
      <c r="AP86" s="129"/>
      <c r="AQ86" s="129">
        <v>1</v>
      </c>
      <c r="AR86" s="129">
        <v>1</v>
      </c>
      <c r="AS86" s="129">
        <v>1</v>
      </c>
      <c r="AT86" s="129">
        <v>1</v>
      </c>
      <c r="AU86" s="129">
        <v>1</v>
      </c>
      <c r="AV86" s="129">
        <v>1</v>
      </c>
      <c r="AW86" s="129">
        <v>1</v>
      </c>
      <c r="AX86" s="197">
        <v>1</v>
      </c>
      <c r="AY86" s="197"/>
      <c r="AZ86" s="197"/>
      <c r="BA86" s="197"/>
      <c r="BB86" s="129"/>
      <c r="BC86" s="129"/>
      <c r="BD86" s="129"/>
      <c r="BE86" s="129"/>
      <c r="BF86" s="129"/>
      <c r="BG86" s="129"/>
      <c r="BH86" s="129"/>
      <c r="BI86" s="129"/>
      <c r="BJ86" s="129"/>
      <c r="BK86" s="129"/>
      <c r="BL86" s="129">
        <v>1</v>
      </c>
      <c r="BM86" s="197">
        <v>1</v>
      </c>
    </row>
    <row r="87" spans="1:65" x14ac:dyDescent="0.25">
      <c r="A87" s="49"/>
      <c r="B87" s="121"/>
      <c r="C87" s="172"/>
      <c r="D87" s="49"/>
      <c r="E87" s="49"/>
      <c r="F87" s="54"/>
      <c r="G87" s="54"/>
      <c r="H87" s="54"/>
      <c r="I87" s="54"/>
      <c r="J87" s="54"/>
      <c r="K87" s="54"/>
      <c r="L87" s="54"/>
      <c r="M87" s="54"/>
      <c r="N87" s="54"/>
      <c r="O87" s="54"/>
      <c r="P87" s="54"/>
      <c r="Q87" s="54"/>
      <c r="R87" s="54"/>
      <c r="S87" s="54"/>
      <c r="T87" s="54"/>
      <c r="U87" s="54"/>
      <c r="V87" s="54"/>
      <c r="W87" s="55"/>
      <c r="X87" s="55"/>
      <c r="Y87" s="55"/>
      <c r="Z87" s="55"/>
      <c r="AA87" s="55"/>
      <c r="AB87" s="55"/>
      <c r="AC87" s="55"/>
      <c r="AD87" s="55"/>
      <c r="AE87" s="55"/>
      <c r="AF87" s="55"/>
      <c r="AG87" s="55"/>
      <c r="AH87" s="55"/>
      <c r="AI87" s="54"/>
      <c r="AJ87" s="54"/>
      <c r="AK87" s="54"/>
      <c r="AL87" s="23"/>
      <c r="AM87" s="127"/>
      <c r="AN87" s="127"/>
      <c r="AO87" s="129"/>
      <c r="AP87" s="129"/>
      <c r="AQ87" s="129"/>
      <c r="AR87" s="129"/>
      <c r="AS87" s="129"/>
      <c r="AT87" s="129"/>
      <c r="AU87" s="129"/>
      <c r="AV87" s="129"/>
      <c r="AW87" s="129"/>
      <c r="AX87" s="197"/>
      <c r="AY87" s="197"/>
      <c r="AZ87" s="197"/>
      <c r="BA87" s="197"/>
      <c r="BB87" s="129"/>
      <c r="BC87" s="129"/>
      <c r="BD87" s="129"/>
      <c r="BE87" s="129"/>
      <c r="BF87" s="129"/>
      <c r="BG87" s="129"/>
      <c r="BH87" s="129"/>
      <c r="BI87" s="129"/>
      <c r="BJ87" s="129"/>
      <c r="BK87" s="129"/>
      <c r="BL87" s="129"/>
      <c r="BM87" s="197"/>
    </row>
    <row r="88" spans="1:65" x14ac:dyDescent="0.25">
      <c r="A88" s="121"/>
      <c r="B88" s="121"/>
      <c r="C88" s="172"/>
      <c r="D88" s="46"/>
      <c r="E88" s="46"/>
      <c r="F88" s="54"/>
      <c r="G88" s="54"/>
      <c r="H88" s="54"/>
      <c r="I88" s="54"/>
      <c r="J88" s="54"/>
      <c r="K88" s="54"/>
      <c r="L88" s="54"/>
      <c r="M88" s="54"/>
      <c r="N88" s="54"/>
      <c r="O88" s="54"/>
      <c r="P88" s="54"/>
      <c r="Q88" s="54"/>
      <c r="R88" s="54"/>
      <c r="S88" s="54"/>
      <c r="T88" s="54"/>
      <c r="U88" s="54"/>
      <c r="V88" s="54"/>
      <c r="W88" s="55"/>
      <c r="X88" s="55"/>
      <c r="Y88" s="55"/>
      <c r="Z88" s="55"/>
      <c r="AA88" s="55"/>
      <c r="AB88" s="55"/>
      <c r="AC88" s="55"/>
      <c r="AD88" s="55"/>
      <c r="AE88" s="55"/>
      <c r="AF88" s="55"/>
      <c r="AG88" s="55"/>
      <c r="AH88" s="55"/>
      <c r="AI88" s="54"/>
      <c r="AJ88" s="54"/>
      <c r="AK88" s="54"/>
      <c r="AL88" s="23"/>
      <c r="AM88" s="127"/>
      <c r="AN88" s="127"/>
      <c r="AO88" s="129"/>
      <c r="AP88" s="129"/>
      <c r="AQ88" s="129"/>
      <c r="AR88" s="129"/>
      <c r="AS88" s="129"/>
      <c r="AT88" s="129"/>
      <c r="AU88" s="129"/>
      <c r="AV88" s="129"/>
      <c r="AW88" s="129"/>
      <c r="AX88" s="197"/>
      <c r="AY88" s="197"/>
      <c r="AZ88" s="197"/>
      <c r="BA88" s="197"/>
      <c r="BB88" s="129"/>
      <c r="BC88" s="129"/>
      <c r="BD88" s="129"/>
      <c r="BE88" s="129"/>
      <c r="BF88" s="129"/>
      <c r="BG88" s="129"/>
      <c r="BH88" s="129"/>
      <c r="BI88" s="129"/>
      <c r="BJ88" s="129"/>
      <c r="BK88" s="129"/>
      <c r="BL88" s="129"/>
      <c r="BM88" s="197"/>
    </row>
    <row r="89" spans="1:65" x14ac:dyDescent="0.25">
      <c r="A89" s="121" t="s">
        <v>74</v>
      </c>
      <c r="B89" s="121" t="s">
        <v>23</v>
      </c>
      <c r="C89" s="172" t="s">
        <v>397</v>
      </c>
      <c r="D89" s="161">
        <v>1</v>
      </c>
      <c r="E89" s="29" t="str">
        <f>INDEX(ra_ScName,MATCH(D89,ra_ScNumber,0))</f>
        <v>Expected nominal return (incl forecast asset revaluations)</v>
      </c>
      <c r="F89" s="122">
        <v>10486.056315275446</v>
      </c>
      <c r="G89" s="122">
        <v>19723.18480848724</v>
      </c>
      <c r="H89" s="122">
        <v>2624.6857229443099</v>
      </c>
      <c r="I89" s="122">
        <v>6132.0522396374154</v>
      </c>
      <c r="J89" s="122">
        <v>6204.691236062904</v>
      </c>
      <c r="K89" s="122">
        <v>4519.8749144208259</v>
      </c>
      <c r="L89" s="122">
        <v>6783.5902802359678</v>
      </c>
      <c r="M89" s="122">
        <v>2159.0527302088258</v>
      </c>
      <c r="N89" s="122">
        <v>7485.2038887098779</v>
      </c>
      <c r="O89" s="122">
        <v>4980.2484336147554</v>
      </c>
      <c r="P89" s="122">
        <v>67363.250768796774</v>
      </c>
      <c r="Q89" s="122">
        <v>8470.9864010950932</v>
      </c>
      <c r="R89" s="122">
        <v>11455.313947654389</v>
      </c>
      <c r="S89" s="122">
        <v>26850.658570973748</v>
      </c>
      <c r="T89" s="122">
        <v>105963.82868465818</v>
      </c>
      <c r="U89" s="122">
        <v>29784.184265820113</v>
      </c>
      <c r="V89" s="122" t="s">
        <v>165</v>
      </c>
      <c r="W89" s="122" t="s">
        <v>165</v>
      </c>
      <c r="X89" s="122" t="s">
        <v>165</v>
      </c>
      <c r="Y89" s="122" t="s">
        <v>165</v>
      </c>
      <c r="Z89" s="122" t="s">
        <v>165</v>
      </c>
      <c r="AA89" s="122" t="s">
        <v>165</v>
      </c>
      <c r="AB89" s="122" t="s">
        <v>165</v>
      </c>
      <c r="AC89" s="122" t="s">
        <v>165</v>
      </c>
      <c r="AD89" s="122" t="s">
        <v>165</v>
      </c>
      <c r="AE89" s="122" t="s">
        <v>165</v>
      </c>
      <c r="AF89" s="122" t="s">
        <v>165</v>
      </c>
      <c r="AG89" s="122" t="s">
        <v>165</v>
      </c>
      <c r="AH89" s="122" t="s">
        <v>165</v>
      </c>
      <c r="AI89" s="117">
        <f>SUM(F89:T89)</f>
        <v>291202.67894277576</v>
      </c>
      <c r="AJ89" s="117">
        <f>SUM(F89:U89)</f>
        <v>320986.8632085959</v>
      </c>
      <c r="AK89" s="117">
        <f t="shared" si="3"/>
        <v>0</v>
      </c>
      <c r="AL89" s="23"/>
      <c r="AM89" s="127" t="b">
        <f>IF(INDEX($AO89:$BM89,0,$F$14)=1,TRUE,FALSE)</f>
        <v>0</v>
      </c>
      <c r="AN89" s="127" t="str">
        <f>IF(AM89,A89&amp;", "&amp;B89,"")</f>
        <v/>
      </c>
      <c r="AO89" s="129">
        <v>1</v>
      </c>
      <c r="AP89" s="129">
        <v>1</v>
      </c>
      <c r="AQ89" s="129">
        <v>1</v>
      </c>
      <c r="AR89" s="129">
        <v>1</v>
      </c>
      <c r="AS89" s="129"/>
      <c r="AT89" s="129"/>
      <c r="AU89" s="129"/>
      <c r="AV89" s="129"/>
      <c r="AW89" s="129"/>
      <c r="AX89" s="197"/>
      <c r="AY89" s="197"/>
      <c r="AZ89" s="197"/>
      <c r="BA89" s="197">
        <v>1</v>
      </c>
      <c r="BB89" s="129">
        <v>1</v>
      </c>
      <c r="BC89" s="129">
        <v>1</v>
      </c>
      <c r="BD89" s="129">
        <v>1</v>
      </c>
      <c r="BE89" s="129">
        <v>1</v>
      </c>
      <c r="BF89" s="129">
        <v>1</v>
      </c>
      <c r="BG89" s="129">
        <v>1</v>
      </c>
      <c r="BH89" s="129">
        <v>1</v>
      </c>
      <c r="BI89" s="129">
        <v>1</v>
      </c>
      <c r="BJ89" s="129">
        <v>1</v>
      </c>
      <c r="BK89" s="129">
        <v>1</v>
      </c>
      <c r="BL89" s="129"/>
      <c r="BM89" s="197"/>
    </row>
    <row r="90" spans="1:65" x14ac:dyDescent="0.25">
      <c r="A90" s="121" t="s">
        <v>74</v>
      </c>
      <c r="B90" s="121" t="s">
        <v>24</v>
      </c>
      <c r="C90" s="172" t="s">
        <v>397</v>
      </c>
      <c r="D90" s="161">
        <v>1</v>
      </c>
      <c r="E90" s="29" t="str">
        <f>INDEX(ra_ScName,MATCH(D90,ra_ScNumber,0))</f>
        <v>Expected nominal return (incl forecast asset revaluations)</v>
      </c>
      <c r="F90" s="122">
        <v>10769.677272781286</v>
      </c>
      <c r="G90" s="122">
        <v>20459.940283811731</v>
      </c>
      <c r="H90" s="122">
        <v>2703.4648677433279</v>
      </c>
      <c r="I90" s="122">
        <v>6301.6555861120814</v>
      </c>
      <c r="J90" s="122">
        <v>6419.5383028401675</v>
      </c>
      <c r="K90" s="122">
        <v>4655.2180622759379</v>
      </c>
      <c r="L90" s="122">
        <v>7006.3823264072134</v>
      </c>
      <c r="M90" s="122">
        <v>2261.7125727096982</v>
      </c>
      <c r="N90" s="122">
        <v>7754.3809562703609</v>
      </c>
      <c r="O90" s="122">
        <v>5153.9882922058459</v>
      </c>
      <c r="P90" s="122">
        <v>69672.141445106579</v>
      </c>
      <c r="Q90" s="122">
        <v>8698.8684246092034</v>
      </c>
      <c r="R90" s="122">
        <v>11810.885137932219</v>
      </c>
      <c r="S90" s="122">
        <v>28047.424479714638</v>
      </c>
      <c r="T90" s="122">
        <v>110738.02862403366</v>
      </c>
      <c r="U90" s="122">
        <v>31122.747965808729</v>
      </c>
      <c r="V90" s="122" t="s">
        <v>165</v>
      </c>
      <c r="W90" s="122" t="s">
        <v>165</v>
      </c>
      <c r="X90" s="122" t="s">
        <v>165</v>
      </c>
      <c r="Y90" s="122" t="s">
        <v>165</v>
      </c>
      <c r="Z90" s="122" t="s">
        <v>165</v>
      </c>
      <c r="AA90" s="122" t="s">
        <v>165</v>
      </c>
      <c r="AB90" s="122" t="s">
        <v>165</v>
      </c>
      <c r="AC90" s="122" t="s">
        <v>165</v>
      </c>
      <c r="AD90" s="122" t="s">
        <v>165</v>
      </c>
      <c r="AE90" s="122" t="s">
        <v>165</v>
      </c>
      <c r="AF90" s="122" t="s">
        <v>165</v>
      </c>
      <c r="AG90" s="122" t="s">
        <v>165</v>
      </c>
      <c r="AH90" s="122" t="s">
        <v>165</v>
      </c>
      <c r="AI90" s="117">
        <f>SUM(F90:T90)</f>
        <v>302453.306634554</v>
      </c>
      <c r="AJ90" s="117">
        <f>SUM(F90:U90)</f>
        <v>333576.05460036272</v>
      </c>
      <c r="AK90" s="117">
        <f t="shared" si="3"/>
        <v>0</v>
      </c>
      <c r="AL90" s="23"/>
      <c r="AM90" s="127" t="b">
        <f>IF(INDEX($AO90:$BM90,0,$F$14)=1,TRUE,FALSE)</f>
        <v>0</v>
      </c>
      <c r="AN90" s="127" t="str">
        <f>IF(AM90,A90&amp;", "&amp;B90,"")</f>
        <v/>
      </c>
      <c r="AO90" s="129">
        <v>1</v>
      </c>
      <c r="AP90" s="129">
        <v>1</v>
      </c>
      <c r="AQ90" s="129">
        <v>1</v>
      </c>
      <c r="AR90" s="129">
        <v>1</v>
      </c>
      <c r="AS90" s="129"/>
      <c r="AT90" s="129"/>
      <c r="AU90" s="129"/>
      <c r="AV90" s="129"/>
      <c r="AW90" s="129"/>
      <c r="AX90" s="197"/>
      <c r="AY90" s="197"/>
      <c r="AZ90" s="197"/>
      <c r="BA90" s="197">
        <v>1</v>
      </c>
      <c r="BB90" s="129">
        <v>1</v>
      </c>
      <c r="BC90" s="129">
        <v>1</v>
      </c>
      <c r="BD90" s="129">
        <v>1</v>
      </c>
      <c r="BE90" s="129">
        <v>1</v>
      </c>
      <c r="BF90" s="129">
        <v>1</v>
      </c>
      <c r="BG90" s="129">
        <v>1</v>
      </c>
      <c r="BH90" s="129">
        <v>1</v>
      </c>
      <c r="BI90" s="129">
        <v>1</v>
      </c>
      <c r="BJ90" s="129">
        <v>1</v>
      </c>
      <c r="BK90" s="129">
        <v>1</v>
      </c>
      <c r="BL90" s="129"/>
      <c r="BM90" s="197"/>
    </row>
    <row r="91" spans="1:65" x14ac:dyDescent="0.25">
      <c r="A91" s="121" t="s">
        <v>74</v>
      </c>
      <c r="B91" s="121" t="s">
        <v>25</v>
      </c>
      <c r="C91" s="172" t="s">
        <v>397</v>
      </c>
      <c r="D91" s="161">
        <v>1</v>
      </c>
      <c r="E91" s="29" t="str">
        <f>INDEX(ra_ScName,MATCH(D91,ra_ScNumber,0))</f>
        <v>Expected nominal return (incl forecast asset revaluations)</v>
      </c>
      <c r="F91" s="122">
        <v>10999.83098946927</v>
      </c>
      <c r="G91" s="122">
        <v>20999.832123125721</v>
      </c>
      <c r="H91" s="122">
        <v>2775.2350452102005</v>
      </c>
      <c r="I91" s="122">
        <v>6422.1555191858079</v>
      </c>
      <c r="J91" s="122">
        <v>6612.0240843577267</v>
      </c>
      <c r="K91" s="122">
        <v>4764.6232059655686</v>
      </c>
      <c r="L91" s="122">
        <v>7146.6784158777782</v>
      </c>
      <c r="M91" s="122">
        <v>2325.766556585826</v>
      </c>
      <c r="N91" s="122">
        <v>7959.0592342224681</v>
      </c>
      <c r="O91" s="122">
        <v>5265.8946779284342</v>
      </c>
      <c r="P91" s="122">
        <v>71488.842928982413</v>
      </c>
      <c r="Q91" s="122">
        <v>8858.622500469186</v>
      </c>
      <c r="R91" s="122">
        <v>12076.669012581377</v>
      </c>
      <c r="S91" s="122">
        <v>29436.415420227993</v>
      </c>
      <c r="T91" s="122">
        <v>114703.18207109997</v>
      </c>
      <c r="U91" s="122">
        <v>32063.422081938686</v>
      </c>
      <c r="V91" s="122" t="s">
        <v>165</v>
      </c>
      <c r="W91" s="122" t="s">
        <v>165</v>
      </c>
      <c r="X91" s="122" t="s">
        <v>165</v>
      </c>
      <c r="Y91" s="122" t="s">
        <v>165</v>
      </c>
      <c r="Z91" s="122" t="s">
        <v>165</v>
      </c>
      <c r="AA91" s="122" t="s">
        <v>165</v>
      </c>
      <c r="AB91" s="122" t="s">
        <v>165</v>
      </c>
      <c r="AC91" s="122" t="s">
        <v>165</v>
      </c>
      <c r="AD91" s="122" t="s">
        <v>165</v>
      </c>
      <c r="AE91" s="122" t="s">
        <v>165</v>
      </c>
      <c r="AF91" s="122" t="s">
        <v>165</v>
      </c>
      <c r="AG91" s="122" t="s">
        <v>165</v>
      </c>
      <c r="AH91" s="122" t="s">
        <v>165</v>
      </c>
      <c r="AI91" s="117">
        <f>SUM(F91:T91)</f>
        <v>311834.83178528975</v>
      </c>
      <c r="AJ91" s="117">
        <f>SUM(F91:U91)</f>
        <v>343898.25386722846</v>
      </c>
      <c r="AK91" s="117">
        <f t="shared" si="3"/>
        <v>0</v>
      </c>
      <c r="AL91" s="23"/>
      <c r="AM91" s="127" t="b">
        <f>IF(INDEX($AO91:$BM91,0,$F$14)=1,TRUE,FALSE)</f>
        <v>0</v>
      </c>
      <c r="AN91" s="127" t="str">
        <f>IF(AM91,A91&amp;", "&amp;B91,"")</f>
        <v/>
      </c>
      <c r="AO91" s="129">
        <v>1</v>
      </c>
      <c r="AP91" s="129">
        <v>1</v>
      </c>
      <c r="AQ91" s="129">
        <v>1</v>
      </c>
      <c r="AR91" s="129">
        <v>1</v>
      </c>
      <c r="AS91" s="129"/>
      <c r="AT91" s="129"/>
      <c r="AU91" s="129"/>
      <c r="AV91" s="129"/>
      <c r="AW91" s="129"/>
      <c r="AX91" s="197"/>
      <c r="AY91" s="197"/>
      <c r="AZ91" s="197"/>
      <c r="BA91" s="197">
        <v>1</v>
      </c>
      <c r="BB91" s="129">
        <v>1</v>
      </c>
      <c r="BC91" s="129">
        <v>1</v>
      </c>
      <c r="BD91" s="129">
        <v>1</v>
      </c>
      <c r="BE91" s="129">
        <v>1</v>
      </c>
      <c r="BF91" s="129">
        <v>1</v>
      </c>
      <c r="BG91" s="129">
        <v>1</v>
      </c>
      <c r="BH91" s="129">
        <v>1</v>
      </c>
      <c r="BI91" s="129">
        <v>1</v>
      </c>
      <c r="BJ91" s="129">
        <v>1</v>
      </c>
      <c r="BK91" s="129">
        <v>1</v>
      </c>
      <c r="BL91" s="129"/>
      <c r="BM91" s="197"/>
    </row>
    <row r="92" spans="1:65" x14ac:dyDescent="0.25">
      <c r="A92" s="121" t="s">
        <v>74</v>
      </c>
      <c r="B92" s="121" t="s">
        <v>26</v>
      </c>
      <c r="C92" s="172" t="s">
        <v>397</v>
      </c>
      <c r="D92" s="161">
        <v>1</v>
      </c>
      <c r="E92" s="29" t="str">
        <f>INDEX(ra_ScName,MATCH(D92,ra_ScNumber,0))</f>
        <v>Expected nominal return (incl forecast asset revaluations)</v>
      </c>
      <c r="F92" s="122">
        <v>11280.770356096045</v>
      </c>
      <c r="G92" s="122">
        <v>21633.688811439235</v>
      </c>
      <c r="H92" s="122">
        <v>2845.4746533096431</v>
      </c>
      <c r="I92" s="122">
        <v>6571.7669890538482</v>
      </c>
      <c r="J92" s="122">
        <v>6799.3751078096811</v>
      </c>
      <c r="K92" s="122">
        <v>4885.7498828170155</v>
      </c>
      <c r="L92" s="122">
        <v>7305.8687503434257</v>
      </c>
      <c r="M92" s="122">
        <v>2409.7780385106776</v>
      </c>
      <c r="N92" s="122">
        <v>8195.2344487117425</v>
      </c>
      <c r="O92" s="122">
        <v>5395.4926016644267</v>
      </c>
      <c r="P92" s="122">
        <v>73583.219530402217</v>
      </c>
      <c r="Q92" s="122">
        <v>9058.2880849563226</v>
      </c>
      <c r="R92" s="122">
        <v>12398.844298537073</v>
      </c>
      <c r="S92" s="122">
        <v>30419.526307488934</v>
      </c>
      <c r="T92" s="122">
        <v>118910.67905112075</v>
      </c>
      <c r="U92" s="122">
        <v>33134.124940637004</v>
      </c>
      <c r="V92" s="122" t="s">
        <v>165</v>
      </c>
      <c r="W92" s="122" t="s">
        <v>165</v>
      </c>
      <c r="X92" s="122" t="s">
        <v>165</v>
      </c>
      <c r="Y92" s="122" t="s">
        <v>165</v>
      </c>
      <c r="Z92" s="122" t="s">
        <v>165</v>
      </c>
      <c r="AA92" s="122" t="s">
        <v>165</v>
      </c>
      <c r="AB92" s="122" t="s">
        <v>165</v>
      </c>
      <c r="AC92" s="122" t="s">
        <v>165</v>
      </c>
      <c r="AD92" s="122" t="s">
        <v>165</v>
      </c>
      <c r="AE92" s="122" t="s">
        <v>165</v>
      </c>
      <c r="AF92" s="122" t="s">
        <v>165</v>
      </c>
      <c r="AG92" s="122" t="s">
        <v>165</v>
      </c>
      <c r="AH92" s="122" t="s">
        <v>165</v>
      </c>
      <c r="AI92" s="117">
        <f>SUM(F92:T92)</f>
        <v>321693.75691226101</v>
      </c>
      <c r="AJ92" s="117">
        <f>SUM(F92:U92)</f>
        <v>354827.88185289805</v>
      </c>
      <c r="AK92" s="117">
        <f t="shared" si="3"/>
        <v>0</v>
      </c>
      <c r="AL92" s="23"/>
      <c r="AM92" s="127" t="b">
        <f>IF(INDEX($AO92:$BM92,0,$F$14)=1,TRUE,FALSE)</f>
        <v>0</v>
      </c>
      <c r="AN92" s="127" t="str">
        <f>IF(AM92,A92&amp;", "&amp;B92,"")</f>
        <v/>
      </c>
      <c r="AO92" s="129">
        <v>1</v>
      </c>
      <c r="AP92" s="129">
        <v>1</v>
      </c>
      <c r="AQ92" s="129">
        <v>1</v>
      </c>
      <c r="AR92" s="129">
        <v>1</v>
      </c>
      <c r="AS92" s="129"/>
      <c r="AT92" s="129"/>
      <c r="AU92" s="129"/>
      <c r="AV92" s="129"/>
      <c r="AW92" s="129"/>
      <c r="AX92" s="197"/>
      <c r="AY92" s="197"/>
      <c r="AZ92" s="197"/>
      <c r="BA92" s="197">
        <v>1</v>
      </c>
      <c r="BB92" s="129">
        <v>1</v>
      </c>
      <c r="BC92" s="129">
        <v>1</v>
      </c>
      <c r="BD92" s="129">
        <v>1</v>
      </c>
      <c r="BE92" s="129">
        <v>1</v>
      </c>
      <c r="BF92" s="129">
        <v>1</v>
      </c>
      <c r="BG92" s="129">
        <v>1</v>
      </c>
      <c r="BH92" s="129">
        <v>1</v>
      </c>
      <c r="BI92" s="129">
        <v>1</v>
      </c>
      <c r="BJ92" s="129">
        <v>1</v>
      </c>
      <c r="BK92" s="129">
        <v>1</v>
      </c>
      <c r="BL92" s="129"/>
      <c r="BM92" s="197"/>
    </row>
    <row r="93" spans="1:65" x14ac:dyDescent="0.25">
      <c r="A93" s="121" t="s">
        <v>74</v>
      </c>
      <c r="B93" s="121" t="s">
        <v>27</v>
      </c>
      <c r="C93" s="172" t="s">
        <v>397</v>
      </c>
      <c r="D93" s="161">
        <v>1</v>
      </c>
      <c r="E93" s="29" t="str">
        <f>INDEX(ra_ScName,MATCH(D93,ra_ScNumber,0))</f>
        <v>Expected nominal return (incl forecast asset revaluations)</v>
      </c>
      <c r="F93" s="122">
        <v>11594.623029314122</v>
      </c>
      <c r="G93" s="122">
        <v>22330.603459196944</v>
      </c>
      <c r="H93" s="122">
        <v>2920.6397709002285</v>
      </c>
      <c r="I93" s="122">
        <v>6739.8702129727581</v>
      </c>
      <c r="J93" s="122">
        <v>7017.2557638432563</v>
      </c>
      <c r="K93" s="122">
        <v>5015.8181496926263</v>
      </c>
      <c r="L93" s="122">
        <v>7485.1735837006108</v>
      </c>
      <c r="M93" s="122">
        <v>2484.1294160849757</v>
      </c>
      <c r="N93" s="122">
        <v>8451.33142058665</v>
      </c>
      <c r="O93" s="122">
        <v>5533.1658601582785</v>
      </c>
      <c r="P93" s="122">
        <v>75909.876254573246</v>
      </c>
      <c r="Q93" s="122">
        <v>9283.1382178078238</v>
      </c>
      <c r="R93" s="122">
        <v>12757.926710288963</v>
      </c>
      <c r="S93" s="122">
        <v>31376.86287825611</v>
      </c>
      <c r="T93" s="122">
        <v>123513.87046710651</v>
      </c>
      <c r="U93" s="122">
        <v>34366.100457660774</v>
      </c>
      <c r="V93" s="122" t="s">
        <v>165</v>
      </c>
      <c r="W93" s="122" t="s">
        <v>165</v>
      </c>
      <c r="X93" s="122" t="s">
        <v>165</v>
      </c>
      <c r="Y93" s="122" t="s">
        <v>165</v>
      </c>
      <c r="Z93" s="122" t="s">
        <v>165</v>
      </c>
      <c r="AA93" s="122" t="s">
        <v>165</v>
      </c>
      <c r="AB93" s="122" t="s">
        <v>165</v>
      </c>
      <c r="AC93" s="122" t="s">
        <v>165</v>
      </c>
      <c r="AD93" s="122" t="s">
        <v>165</v>
      </c>
      <c r="AE93" s="122" t="s">
        <v>165</v>
      </c>
      <c r="AF93" s="122" t="s">
        <v>165</v>
      </c>
      <c r="AG93" s="122" t="s">
        <v>165</v>
      </c>
      <c r="AH93" s="122" t="s">
        <v>165</v>
      </c>
      <c r="AI93" s="117">
        <f>SUM(F93:T93)</f>
        <v>332414.28519448312</v>
      </c>
      <c r="AJ93" s="117">
        <f>SUM(F93:U93)</f>
        <v>366780.38565214392</v>
      </c>
      <c r="AK93" s="117">
        <f t="shared" si="3"/>
        <v>0</v>
      </c>
      <c r="AL93" s="23"/>
      <c r="AM93" s="127" t="b">
        <f>IF(INDEX($AO93:$BM93,0,$F$14)=1,TRUE,FALSE)</f>
        <v>0</v>
      </c>
      <c r="AN93" s="127" t="str">
        <f>IF(AM93,A93&amp;", "&amp;B93,"")</f>
        <v/>
      </c>
      <c r="AO93" s="129">
        <v>1</v>
      </c>
      <c r="AP93" s="129">
        <v>1</v>
      </c>
      <c r="AQ93" s="129">
        <v>1</v>
      </c>
      <c r="AR93" s="129">
        <v>1</v>
      </c>
      <c r="AS93" s="129"/>
      <c r="AT93" s="129"/>
      <c r="AU93" s="129"/>
      <c r="AV93" s="129"/>
      <c r="AW93" s="129"/>
      <c r="AX93" s="197"/>
      <c r="AY93" s="197"/>
      <c r="AZ93" s="197"/>
      <c r="BA93" s="197">
        <v>1</v>
      </c>
      <c r="BB93" s="129">
        <v>1</v>
      </c>
      <c r="BC93" s="129">
        <v>1</v>
      </c>
      <c r="BD93" s="129">
        <v>1</v>
      </c>
      <c r="BE93" s="129">
        <v>1</v>
      </c>
      <c r="BF93" s="129">
        <v>1</v>
      </c>
      <c r="BG93" s="129">
        <v>1</v>
      </c>
      <c r="BH93" s="129">
        <v>1</v>
      </c>
      <c r="BI93" s="129">
        <v>1</v>
      </c>
      <c r="BJ93" s="129">
        <v>1</v>
      </c>
      <c r="BK93" s="129">
        <v>1</v>
      </c>
      <c r="BL93" s="129"/>
      <c r="BM93" s="197"/>
    </row>
    <row r="94" spans="1:65" x14ac:dyDescent="0.25">
      <c r="A94" s="121"/>
      <c r="B94" s="121"/>
      <c r="C94" s="172"/>
      <c r="D94" s="49"/>
      <c r="E94" s="49"/>
      <c r="F94" s="54"/>
      <c r="G94" s="54"/>
      <c r="H94" s="54"/>
      <c r="I94" s="54"/>
      <c r="J94" s="54"/>
      <c r="K94" s="54"/>
      <c r="L94" s="54"/>
      <c r="M94" s="54"/>
      <c r="N94" s="54"/>
      <c r="O94" s="54"/>
      <c r="P94" s="54"/>
      <c r="Q94" s="54"/>
      <c r="R94" s="54"/>
      <c r="S94" s="54"/>
      <c r="T94" s="54"/>
      <c r="U94" s="54"/>
      <c r="V94" s="54"/>
      <c r="W94" s="55"/>
      <c r="X94" s="55"/>
      <c r="Y94" s="55"/>
      <c r="Z94" s="55"/>
      <c r="AA94" s="55"/>
      <c r="AB94" s="55"/>
      <c r="AC94" s="55"/>
      <c r="AD94" s="55"/>
      <c r="AE94" s="55"/>
      <c r="AF94" s="55"/>
      <c r="AG94" s="55"/>
      <c r="AH94" s="55"/>
      <c r="AI94" s="54"/>
      <c r="AJ94" s="54"/>
      <c r="AK94" s="54"/>
      <c r="AL94" s="23"/>
      <c r="AM94" s="127"/>
      <c r="AN94" s="127"/>
      <c r="AO94" s="129"/>
      <c r="AP94" s="129"/>
      <c r="AQ94" s="129"/>
      <c r="AR94" s="129"/>
      <c r="AS94" s="129"/>
      <c r="AT94" s="129"/>
      <c r="AU94" s="129"/>
      <c r="AV94" s="129"/>
      <c r="AW94" s="129"/>
      <c r="AX94" s="197"/>
      <c r="AY94" s="197"/>
      <c r="AZ94" s="197"/>
      <c r="BA94" s="197"/>
      <c r="BB94" s="129"/>
      <c r="BC94" s="129"/>
      <c r="BD94" s="129"/>
      <c r="BE94" s="129"/>
      <c r="BF94" s="129"/>
      <c r="BG94" s="129"/>
      <c r="BH94" s="129"/>
      <c r="BI94" s="129"/>
      <c r="BJ94" s="129"/>
      <c r="BK94" s="129"/>
      <c r="BL94" s="129"/>
      <c r="BM94" s="197"/>
    </row>
    <row r="95" spans="1:65" x14ac:dyDescent="0.25">
      <c r="A95" s="121"/>
      <c r="B95" s="121"/>
      <c r="C95" s="172"/>
      <c r="D95" s="46"/>
      <c r="E95" s="46"/>
      <c r="F95" s="54"/>
      <c r="G95" s="54"/>
      <c r="H95" s="54"/>
      <c r="I95" s="54"/>
      <c r="J95" s="54"/>
      <c r="K95" s="54"/>
      <c r="L95" s="54"/>
      <c r="M95" s="54"/>
      <c r="N95" s="54"/>
      <c r="O95" s="54"/>
      <c r="P95" s="54"/>
      <c r="Q95" s="54"/>
      <c r="R95" s="54"/>
      <c r="S95" s="54"/>
      <c r="T95" s="54"/>
      <c r="U95" s="54"/>
      <c r="V95" s="54"/>
      <c r="W95" s="55"/>
      <c r="X95" s="55"/>
      <c r="Y95" s="55"/>
      <c r="Z95" s="55"/>
      <c r="AA95" s="55"/>
      <c r="AB95" s="55"/>
      <c r="AC95" s="55"/>
      <c r="AD95" s="55"/>
      <c r="AE95" s="55"/>
      <c r="AF95" s="55"/>
      <c r="AG95" s="55"/>
      <c r="AH95" s="55"/>
      <c r="AI95" s="54"/>
      <c r="AJ95" s="54"/>
      <c r="AK95" s="54"/>
      <c r="AL95" s="23"/>
      <c r="AM95" s="127"/>
      <c r="AN95" s="127"/>
      <c r="AO95" s="129"/>
      <c r="AP95" s="129"/>
      <c r="AQ95" s="129"/>
      <c r="AR95" s="129"/>
      <c r="AS95" s="129"/>
      <c r="AT95" s="129"/>
      <c r="AU95" s="129"/>
      <c r="AV95" s="129"/>
      <c r="AW95" s="129"/>
      <c r="AX95" s="197"/>
      <c r="AY95" s="197"/>
      <c r="AZ95" s="197"/>
      <c r="BA95" s="197"/>
      <c r="BB95" s="129"/>
      <c r="BC95" s="129"/>
      <c r="BD95" s="129"/>
      <c r="BE95" s="129"/>
      <c r="BF95" s="129"/>
      <c r="BG95" s="129"/>
      <c r="BH95" s="129"/>
      <c r="BI95" s="129"/>
      <c r="BJ95" s="129"/>
      <c r="BK95" s="129"/>
      <c r="BL95" s="129"/>
      <c r="BM95" s="197"/>
    </row>
    <row r="96" spans="1:65" x14ac:dyDescent="0.25">
      <c r="A96" s="121" t="s">
        <v>74</v>
      </c>
      <c r="B96" s="121" t="s">
        <v>23</v>
      </c>
      <c r="C96" s="172" t="s">
        <v>397</v>
      </c>
      <c r="D96" s="161">
        <v>5</v>
      </c>
      <c r="E96" s="29" t="str">
        <f>INDEX(ra_ScName,MATCH(D96,ra_ScNumber,0))</f>
        <v>Input price inflators 2013–15</v>
      </c>
      <c r="F96" s="122">
        <v>10486.056315275446</v>
      </c>
      <c r="G96" s="122">
        <v>19723.18480848724</v>
      </c>
      <c r="H96" s="122">
        <v>2624.6857229443099</v>
      </c>
      <c r="I96" s="122">
        <v>6132.0522396374154</v>
      </c>
      <c r="J96" s="122">
        <v>6204.691236062904</v>
      </c>
      <c r="K96" s="122">
        <v>4519.8749144208259</v>
      </c>
      <c r="L96" s="122">
        <v>6783.5902802359678</v>
      </c>
      <c r="M96" s="122">
        <v>2159.0527302088258</v>
      </c>
      <c r="N96" s="122">
        <v>7485.2038887098779</v>
      </c>
      <c r="O96" s="122">
        <v>4980.2484336147554</v>
      </c>
      <c r="P96" s="122">
        <v>67363.250768796774</v>
      </c>
      <c r="Q96" s="122">
        <v>8470.9864010950932</v>
      </c>
      <c r="R96" s="122">
        <v>11455.313947654389</v>
      </c>
      <c r="S96" s="122">
        <v>26850.658570973748</v>
      </c>
      <c r="T96" s="122">
        <v>105963.82868465818</v>
      </c>
      <c r="U96" s="122">
        <v>29784.184265820113</v>
      </c>
      <c r="V96" s="122"/>
      <c r="W96" s="122"/>
      <c r="X96" s="122"/>
      <c r="Y96" s="122"/>
      <c r="Z96" s="122"/>
      <c r="AA96" s="122"/>
      <c r="AB96" s="122"/>
      <c r="AC96" s="122"/>
      <c r="AD96" s="122"/>
      <c r="AE96" s="122"/>
      <c r="AF96" s="122"/>
      <c r="AG96" s="122"/>
      <c r="AH96" s="122"/>
      <c r="AI96" s="117">
        <f>SUM(F96:T96)</f>
        <v>291202.67894277576</v>
      </c>
      <c r="AJ96" s="117">
        <f>SUM(F96:U96)</f>
        <v>320986.8632085959</v>
      </c>
      <c r="AK96" s="117">
        <f>SUM(W96:AH96)</f>
        <v>0</v>
      </c>
      <c r="AL96" s="23"/>
      <c r="AM96" s="127" t="b">
        <f>IF(INDEX($AO96:$BM96,0,$F$14)=1,TRUE,FALSE)</f>
        <v>0</v>
      </c>
      <c r="AN96" s="127" t="str">
        <f>IF(AM96,A96&amp;", "&amp;B96,"")</f>
        <v/>
      </c>
      <c r="AO96" s="129"/>
      <c r="AP96" s="129"/>
      <c r="AQ96" s="129"/>
      <c r="AR96" s="129"/>
      <c r="AS96" s="129">
        <v>1</v>
      </c>
      <c r="AT96" s="129"/>
      <c r="AU96" s="129"/>
      <c r="AV96" s="129"/>
      <c r="AW96" s="129"/>
      <c r="AX96" s="197"/>
      <c r="AY96" s="197"/>
      <c r="AZ96" s="197"/>
      <c r="BA96" s="197"/>
      <c r="BB96" s="129"/>
      <c r="BC96" s="129"/>
      <c r="BD96" s="129"/>
      <c r="BE96" s="129"/>
      <c r="BF96" s="129"/>
      <c r="BG96" s="129"/>
      <c r="BH96" s="129"/>
      <c r="BI96" s="129"/>
      <c r="BJ96" s="129"/>
      <c r="BK96" s="129"/>
      <c r="BL96" s="129"/>
      <c r="BM96" s="197"/>
    </row>
    <row r="97" spans="1:65" x14ac:dyDescent="0.25">
      <c r="A97" s="121" t="s">
        <v>74</v>
      </c>
      <c r="B97" s="121" t="s">
        <v>24</v>
      </c>
      <c r="C97" s="172" t="s">
        <v>397</v>
      </c>
      <c r="D97" s="161">
        <v>5</v>
      </c>
      <c r="E97" s="29" t="str">
        <f>INDEX(ra_ScName,MATCH(D97,ra_ScNumber,0))</f>
        <v>Input price inflators 2013–15</v>
      </c>
      <c r="F97" s="122">
        <v>10769.677272781286</v>
      </c>
      <c r="G97" s="122">
        <v>20459.940283811731</v>
      </c>
      <c r="H97" s="122">
        <v>2703.4648677433279</v>
      </c>
      <c r="I97" s="122">
        <v>6301.6555861120814</v>
      </c>
      <c r="J97" s="122">
        <v>6419.5383028401675</v>
      </c>
      <c r="K97" s="122">
        <v>4655.2180622759379</v>
      </c>
      <c r="L97" s="122">
        <v>7006.3823264072134</v>
      </c>
      <c r="M97" s="122">
        <v>2261.7125727096982</v>
      </c>
      <c r="N97" s="122">
        <v>7754.3809562703609</v>
      </c>
      <c r="O97" s="122">
        <v>5153.9882922058459</v>
      </c>
      <c r="P97" s="122">
        <v>69672.141445106579</v>
      </c>
      <c r="Q97" s="122">
        <v>8698.8684246092034</v>
      </c>
      <c r="R97" s="122">
        <v>11810.885137932219</v>
      </c>
      <c r="S97" s="122">
        <v>28047.424479714638</v>
      </c>
      <c r="T97" s="122">
        <v>110738.02862403366</v>
      </c>
      <c r="U97" s="122">
        <v>31122.747965808729</v>
      </c>
      <c r="V97" s="122"/>
      <c r="W97" s="122"/>
      <c r="X97" s="122"/>
      <c r="Y97" s="122"/>
      <c r="Z97" s="122"/>
      <c r="AA97" s="122"/>
      <c r="AB97" s="122"/>
      <c r="AC97" s="122"/>
      <c r="AD97" s="122"/>
      <c r="AE97" s="122"/>
      <c r="AF97" s="122"/>
      <c r="AG97" s="122"/>
      <c r="AH97" s="122"/>
      <c r="AI97" s="117">
        <f>SUM(F97:T97)</f>
        <v>302453.306634554</v>
      </c>
      <c r="AJ97" s="117">
        <f>SUM(F97:U97)</f>
        <v>333576.05460036272</v>
      </c>
      <c r="AK97" s="117">
        <f>SUM(W97:AH97)</f>
        <v>0</v>
      </c>
      <c r="AL97" s="23"/>
      <c r="AM97" s="127" t="b">
        <f>IF(INDEX($AO97:$BM97,0,$F$14)=1,TRUE,FALSE)</f>
        <v>0</v>
      </c>
      <c r="AN97" s="127" t="str">
        <f>IF(AM97,A97&amp;", "&amp;B97,"")</f>
        <v/>
      </c>
      <c r="AO97" s="129"/>
      <c r="AP97" s="129"/>
      <c r="AQ97" s="129"/>
      <c r="AR97" s="129"/>
      <c r="AS97" s="129">
        <v>1</v>
      </c>
      <c r="AT97" s="129"/>
      <c r="AU97" s="129"/>
      <c r="AV97" s="129"/>
      <c r="AW97" s="129"/>
      <c r="AX97" s="197"/>
      <c r="AY97" s="197"/>
      <c r="AZ97" s="197"/>
      <c r="BA97" s="197"/>
      <c r="BB97" s="129"/>
      <c r="BC97" s="129"/>
      <c r="BD97" s="129"/>
      <c r="BE97" s="129"/>
      <c r="BF97" s="129"/>
      <c r="BG97" s="129"/>
      <c r="BH97" s="129"/>
      <c r="BI97" s="129"/>
      <c r="BJ97" s="129"/>
      <c r="BK97" s="129"/>
      <c r="BL97" s="129"/>
      <c r="BM97" s="197"/>
    </row>
    <row r="98" spans="1:65" x14ac:dyDescent="0.25">
      <c r="A98" s="121" t="s">
        <v>74</v>
      </c>
      <c r="B98" s="121" t="s">
        <v>25</v>
      </c>
      <c r="C98" s="172" t="s">
        <v>223</v>
      </c>
      <c r="D98" s="161">
        <v>5</v>
      </c>
      <c r="E98" s="29" t="str">
        <f>INDEX(ra_ScName,MATCH(D98,ra_ScNumber,0))</f>
        <v>Input price inflators 2013–15</v>
      </c>
      <c r="F98" s="122">
        <v>10932.578043069361</v>
      </c>
      <c r="G98" s="122">
        <v>20872.28139949411</v>
      </c>
      <c r="H98" s="122">
        <v>2758.3699346846179</v>
      </c>
      <c r="I98" s="122">
        <v>6382.7562591897376</v>
      </c>
      <c r="J98" s="122">
        <v>6571.8878604360616</v>
      </c>
      <c r="K98" s="122">
        <v>4735.5490842869494</v>
      </c>
      <c r="L98" s="122">
        <v>7103.1919123440484</v>
      </c>
      <c r="M98" s="122">
        <v>2311.813444860893</v>
      </c>
      <c r="N98" s="122">
        <v>7910.7025330327106</v>
      </c>
      <c r="O98" s="122">
        <v>5233.8897010273804</v>
      </c>
      <c r="P98" s="122">
        <v>71053.832698471364</v>
      </c>
      <c r="Q98" s="122">
        <v>8804.2353583562181</v>
      </c>
      <c r="R98" s="122">
        <v>12002.824961516426</v>
      </c>
      <c r="S98" s="122">
        <v>29263.380736335948</v>
      </c>
      <c r="T98" s="122">
        <v>114014.87183891045</v>
      </c>
      <c r="U98" s="122">
        <v>31871.118474800682</v>
      </c>
      <c r="V98" s="122"/>
      <c r="W98" s="122"/>
      <c r="X98" s="122"/>
      <c r="Y98" s="122"/>
      <c r="Z98" s="122"/>
      <c r="AA98" s="122"/>
      <c r="AB98" s="122"/>
      <c r="AC98" s="122"/>
      <c r="AD98" s="122"/>
      <c r="AE98" s="122"/>
      <c r="AF98" s="122"/>
      <c r="AG98" s="122"/>
      <c r="AH98" s="122"/>
      <c r="AI98" s="117">
        <f>SUM(F98:T98)</f>
        <v>309952.16576601623</v>
      </c>
      <c r="AJ98" s="117">
        <f>SUM(F98:U98)</f>
        <v>341823.28424081689</v>
      </c>
      <c r="AK98" s="117">
        <f>SUM(W98:AH98)</f>
        <v>0</v>
      </c>
      <c r="AL98" s="23"/>
      <c r="AM98" s="127" t="b">
        <f>IF(INDEX($AO98:$BM98,0,$F$14)=1,TRUE,FALSE)</f>
        <v>0</v>
      </c>
      <c r="AN98" s="127" t="str">
        <f>IF(AM98,A98&amp;", "&amp;B98,"")</f>
        <v/>
      </c>
      <c r="AO98" s="129"/>
      <c r="AP98" s="129"/>
      <c r="AQ98" s="129"/>
      <c r="AR98" s="129"/>
      <c r="AS98" s="129">
        <v>1</v>
      </c>
      <c r="AT98" s="129"/>
      <c r="AU98" s="129"/>
      <c r="AV98" s="129"/>
      <c r="AW98" s="129"/>
      <c r="AX98" s="197"/>
      <c r="AY98" s="197"/>
      <c r="AZ98" s="197"/>
      <c r="BA98" s="197"/>
      <c r="BB98" s="129"/>
      <c r="BC98" s="129"/>
      <c r="BD98" s="129"/>
      <c r="BE98" s="129"/>
      <c r="BF98" s="129"/>
      <c r="BG98" s="129"/>
      <c r="BH98" s="129"/>
      <c r="BI98" s="129"/>
      <c r="BJ98" s="129"/>
      <c r="BK98" s="129"/>
      <c r="BL98" s="129"/>
      <c r="BM98" s="197"/>
    </row>
    <row r="99" spans="1:65" x14ac:dyDescent="0.25">
      <c r="A99" s="121" t="s">
        <v>74</v>
      </c>
      <c r="B99" s="121" t="s">
        <v>26</v>
      </c>
      <c r="C99" s="172" t="s">
        <v>223</v>
      </c>
      <c r="D99" s="161">
        <v>5</v>
      </c>
      <c r="E99" s="29" t="str">
        <f>INDEX(ra_ScName,MATCH(D99,ra_ScNumber,0))</f>
        <v>Input price inflators 2013–15</v>
      </c>
      <c r="F99" s="122">
        <v>11164.870860970534</v>
      </c>
      <c r="G99" s="122">
        <v>21412.922287395122</v>
      </c>
      <c r="H99" s="122">
        <v>2816.4731150711036</v>
      </c>
      <c r="I99" s="122">
        <v>6504.0200024751412</v>
      </c>
      <c r="J99" s="122">
        <v>6729.8889623788127</v>
      </c>
      <c r="K99" s="122">
        <v>4835.6991017051187</v>
      </c>
      <c r="L99" s="122">
        <v>7231.1539379053729</v>
      </c>
      <c r="M99" s="122">
        <v>2385.6445166788376</v>
      </c>
      <c r="N99" s="122">
        <v>8111.6260018013127</v>
      </c>
      <c r="O99" s="122">
        <v>5340.4493011563563</v>
      </c>
      <c r="P99" s="122">
        <v>72831.397893640053</v>
      </c>
      <c r="Q99" s="122">
        <v>8964.8389295645866</v>
      </c>
      <c r="R99" s="122">
        <v>12271.448169207861</v>
      </c>
      <c r="S99" s="122">
        <v>30121.096329827709</v>
      </c>
      <c r="T99" s="122">
        <v>117714.01584848555</v>
      </c>
      <c r="U99" s="122">
        <v>32801.827180479631</v>
      </c>
      <c r="V99" s="122"/>
      <c r="W99" s="122"/>
      <c r="X99" s="122"/>
      <c r="Y99" s="122"/>
      <c r="Z99" s="122"/>
      <c r="AA99" s="122"/>
      <c r="AB99" s="122"/>
      <c r="AC99" s="122"/>
      <c r="AD99" s="122"/>
      <c r="AE99" s="122"/>
      <c r="AF99" s="122"/>
      <c r="AG99" s="122"/>
      <c r="AH99" s="122"/>
      <c r="AI99" s="117">
        <f>SUM(F99:T99)</f>
        <v>318435.54525826348</v>
      </c>
      <c r="AJ99" s="117">
        <f>SUM(F99:U99)</f>
        <v>351237.37243874313</v>
      </c>
      <c r="AK99" s="117">
        <f>SUM(W99:AH99)</f>
        <v>0</v>
      </c>
      <c r="AL99" s="23"/>
      <c r="AM99" s="127" t="b">
        <f>IF(INDEX($AO99:$BM99,0,$F$14)=1,TRUE,FALSE)</f>
        <v>0</v>
      </c>
      <c r="AN99" s="127" t="str">
        <f>IF(AM99,A99&amp;", "&amp;B99,"")</f>
        <v/>
      </c>
      <c r="AO99" s="129"/>
      <c r="AP99" s="129"/>
      <c r="AQ99" s="129"/>
      <c r="AR99" s="129"/>
      <c r="AS99" s="129">
        <v>1</v>
      </c>
      <c r="AT99" s="129"/>
      <c r="AU99" s="129"/>
      <c r="AV99" s="129"/>
      <c r="AW99" s="129"/>
      <c r="AX99" s="197"/>
      <c r="AY99" s="197"/>
      <c r="AZ99" s="197"/>
      <c r="BA99" s="197"/>
      <c r="BB99" s="129"/>
      <c r="BC99" s="129"/>
      <c r="BD99" s="129"/>
      <c r="BE99" s="129"/>
      <c r="BF99" s="129"/>
      <c r="BG99" s="129"/>
      <c r="BH99" s="129"/>
      <c r="BI99" s="129"/>
      <c r="BJ99" s="129"/>
      <c r="BK99" s="129"/>
      <c r="BL99" s="129"/>
      <c r="BM99" s="197"/>
    </row>
    <row r="100" spans="1:65" x14ac:dyDescent="0.25">
      <c r="A100" s="121" t="s">
        <v>74</v>
      </c>
      <c r="B100" s="121" t="s">
        <v>27</v>
      </c>
      <c r="C100" s="172" t="s">
        <v>223</v>
      </c>
      <c r="D100" s="161">
        <v>5</v>
      </c>
      <c r="E100" s="29" t="str">
        <f>INDEX(ra_ScName,MATCH(D100,ra_ScNumber,0))</f>
        <v>Input price inflators 2013–15</v>
      </c>
      <c r="F100" s="122">
        <v>11223.133918348514</v>
      </c>
      <c r="G100" s="122">
        <v>21619.91080664895</v>
      </c>
      <c r="H100" s="122">
        <v>2827.8830921995741</v>
      </c>
      <c r="I100" s="122">
        <v>6523.2075132809041</v>
      </c>
      <c r="J100" s="122">
        <v>6793.508115156882</v>
      </c>
      <c r="K100" s="122">
        <v>4855.5643121615185</v>
      </c>
      <c r="L100" s="122">
        <v>7246.4197057416259</v>
      </c>
      <c r="M100" s="122">
        <v>2406.4925474728593</v>
      </c>
      <c r="N100" s="122">
        <v>8182.4622612788216</v>
      </c>
      <c r="O100" s="122">
        <v>5357.096474706037</v>
      </c>
      <c r="P100" s="122">
        <v>73493.1518120658</v>
      </c>
      <c r="Q100" s="122">
        <v>8984.4995197481621</v>
      </c>
      <c r="R100" s="122">
        <v>12349.144234217918</v>
      </c>
      <c r="S100" s="122">
        <v>30419.565726118861</v>
      </c>
      <c r="T100" s="122">
        <v>119644.30622365246</v>
      </c>
      <c r="U100" s="122">
        <v>33298.117796109895</v>
      </c>
      <c r="V100" s="122"/>
      <c r="W100" s="122"/>
      <c r="X100" s="122"/>
      <c r="Y100" s="122"/>
      <c r="Z100" s="122"/>
      <c r="AA100" s="122"/>
      <c r="AB100" s="122"/>
      <c r="AC100" s="122"/>
      <c r="AD100" s="122"/>
      <c r="AE100" s="122"/>
      <c r="AF100" s="122"/>
      <c r="AG100" s="122"/>
      <c r="AH100" s="122"/>
      <c r="AI100" s="117">
        <f>SUM(F100:T100)</f>
        <v>321926.34626279888</v>
      </c>
      <c r="AJ100" s="117">
        <f>SUM(F100:U100)</f>
        <v>355224.46405890875</v>
      </c>
      <c r="AK100" s="117">
        <f>SUM(W100:AH100)</f>
        <v>0</v>
      </c>
      <c r="AL100" s="23"/>
      <c r="AM100" s="127" t="b">
        <f>IF(INDEX($AO100:$BM100,0,$F$14)=1,TRUE,FALSE)</f>
        <v>0</v>
      </c>
      <c r="AN100" s="127" t="str">
        <f>IF(AM100,A100&amp;", "&amp;B100,"")</f>
        <v/>
      </c>
      <c r="AO100" s="129"/>
      <c r="AP100" s="129"/>
      <c r="AQ100" s="129"/>
      <c r="AR100" s="129"/>
      <c r="AS100" s="129">
        <v>1</v>
      </c>
      <c r="AT100" s="129"/>
      <c r="AU100" s="129"/>
      <c r="AV100" s="129"/>
      <c r="AW100" s="129"/>
      <c r="AX100" s="197"/>
      <c r="AY100" s="197"/>
      <c r="AZ100" s="197"/>
      <c r="BA100" s="197"/>
      <c r="BB100" s="129"/>
      <c r="BC100" s="129"/>
      <c r="BD100" s="129"/>
      <c r="BE100" s="129"/>
      <c r="BF100" s="129"/>
      <c r="BG100" s="129"/>
      <c r="BH100" s="129"/>
      <c r="BI100" s="129"/>
      <c r="BJ100" s="129"/>
      <c r="BK100" s="129"/>
      <c r="BL100" s="129"/>
      <c r="BM100" s="197"/>
    </row>
    <row r="101" spans="1:65" x14ac:dyDescent="0.25">
      <c r="A101" s="166"/>
      <c r="B101" s="166"/>
      <c r="C101" s="172"/>
      <c r="D101" s="49"/>
      <c r="E101" s="49"/>
      <c r="F101" s="54"/>
      <c r="G101" s="54"/>
      <c r="H101" s="54"/>
      <c r="I101" s="54"/>
      <c r="J101" s="54"/>
      <c r="K101" s="54"/>
      <c r="L101" s="54"/>
      <c r="M101" s="54"/>
      <c r="N101" s="54"/>
      <c r="O101" s="54"/>
      <c r="P101" s="54"/>
      <c r="Q101" s="54"/>
      <c r="R101" s="54"/>
      <c r="S101" s="54"/>
      <c r="T101" s="54"/>
      <c r="U101" s="54"/>
      <c r="V101" s="54"/>
      <c r="W101" s="55"/>
      <c r="X101" s="55"/>
      <c r="Y101" s="55"/>
      <c r="Z101" s="55"/>
      <c r="AA101" s="55"/>
      <c r="AB101" s="55"/>
      <c r="AC101" s="55"/>
      <c r="AD101" s="55"/>
      <c r="AE101" s="55"/>
      <c r="AF101" s="55"/>
      <c r="AG101" s="55"/>
      <c r="AH101" s="55"/>
      <c r="AI101" s="54"/>
      <c r="AJ101" s="54"/>
      <c r="AK101" s="54"/>
      <c r="AL101" s="23"/>
      <c r="AM101" s="127"/>
      <c r="AN101" s="127"/>
      <c r="AO101" s="129"/>
      <c r="AP101" s="129"/>
      <c r="AQ101" s="129"/>
      <c r="AR101" s="129"/>
      <c r="AS101" s="129"/>
      <c r="AT101" s="129"/>
      <c r="AU101" s="129"/>
      <c r="AV101" s="129"/>
      <c r="AW101" s="129"/>
      <c r="AX101" s="197"/>
      <c r="AY101" s="197"/>
      <c r="AZ101" s="197"/>
      <c r="BA101" s="197"/>
      <c r="BB101" s="129"/>
      <c r="BC101" s="129"/>
      <c r="BD101" s="129"/>
      <c r="BE101" s="129"/>
      <c r="BF101" s="129"/>
      <c r="BG101" s="129"/>
      <c r="BH101" s="129"/>
      <c r="BI101" s="129"/>
      <c r="BJ101" s="129"/>
      <c r="BK101" s="129"/>
      <c r="BL101" s="129"/>
      <c r="BM101" s="197"/>
    </row>
    <row r="102" spans="1:65" x14ac:dyDescent="0.25">
      <c r="A102" s="166"/>
      <c r="B102" s="166"/>
      <c r="C102" s="172"/>
      <c r="D102" s="46"/>
      <c r="E102" s="46"/>
      <c r="F102" s="54"/>
      <c r="G102" s="54"/>
      <c r="H102" s="54"/>
      <c r="I102" s="54"/>
      <c r="J102" s="54"/>
      <c r="K102" s="54"/>
      <c r="L102" s="54"/>
      <c r="M102" s="54"/>
      <c r="N102" s="54"/>
      <c r="O102" s="54"/>
      <c r="P102" s="54"/>
      <c r="Q102" s="54"/>
      <c r="R102" s="54"/>
      <c r="S102" s="54"/>
      <c r="T102" s="54"/>
      <c r="U102" s="54"/>
      <c r="V102" s="54"/>
      <c r="W102" s="55"/>
      <c r="X102" s="55"/>
      <c r="Y102" s="55"/>
      <c r="Z102" s="55"/>
      <c r="AA102" s="55"/>
      <c r="AB102" s="55"/>
      <c r="AC102" s="55"/>
      <c r="AD102" s="55"/>
      <c r="AE102" s="55"/>
      <c r="AF102" s="55"/>
      <c r="AG102" s="55"/>
      <c r="AH102" s="55"/>
      <c r="AI102" s="54"/>
      <c r="AJ102" s="54"/>
      <c r="AK102" s="54"/>
      <c r="AL102" s="23"/>
      <c r="AM102" s="127"/>
      <c r="AN102" s="127"/>
      <c r="AO102" s="129"/>
      <c r="AP102" s="129"/>
      <c r="AQ102" s="129"/>
      <c r="AR102" s="129"/>
      <c r="AS102" s="129"/>
      <c r="AT102" s="129"/>
      <c r="AU102" s="129"/>
      <c r="AV102" s="129"/>
      <c r="AW102" s="129"/>
      <c r="AX102" s="197"/>
      <c r="AY102" s="197"/>
      <c r="AZ102" s="197"/>
      <c r="BA102" s="197"/>
      <c r="BB102" s="129"/>
      <c r="BC102" s="129"/>
      <c r="BD102" s="129"/>
      <c r="BE102" s="129"/>
      <c r="BF102" s="129"/>
      <c r="BG102" s="129"/>
      <c r="BH102" s="129"/>
      <c r="BI102" s="129"/>
      <c r="BJ102" s="129"/>
      <c r="BK102" s="129"/>
      <c r="BL102" s="129"/>
      <c r="BM102" s="197"/>
    </row>
    <row r="103" spans="1:65" x14ac:dyDescent="0.25">
      <c r="A103" s="166" t="s">
        <v>74</v>
      </c>
      <c r="B103" s="166" t="s">
        <v>23</v>
      </c>
      <c r="C103" s="172" t="s">
        <v>397</v>
      </c>
      <c r="D103" s="161">
        <v>6</v>
      </c>
      <c r="E103" s="29" t="str">
        <f>INDEX(ra_ScName,MATCH(D103,ra_ScNumber,0))</f>
        <v>Operating expenditure 2013–15</v>
      </c>
      <c r="F103" s="122">
        <v>10486.056315275446</v>
      </c>
      <c r="G103" s="122">
        <v>19723.18480848724</v>
      </c>
      <c r="H103" s="122">
        <v>2624.6857229443099</v>
      </c>
      <c r="I103" s="122">
        <v>6132.0522396374154</v>
      </c>
      <c r="J103" s="122">
        <v>6204.691236062904</v>
      </c>
      <c r="K103" s="122">
        <v>4519.8749144208259</v>
      </c>
      <c r="L103" s="122">
        <v>6783.5902802359678</v>
      </c>
      <c r="M103" s="122">
        <v>2159.0527302088258</v>
      </c>
      <c r="N103" s="122">
        <v>7485.2038887098779</v>
      </c>
      <c r="O103" s="122">
        <v>4980.2484336147554</v>
      </c>
      <c r="P103" s="122">
        <v>67363.250768796774</v>
      </c>
      <c r="Q103" s="122">
        <v>8470.9864010950932</v>
      </c>
      <c r="R103" s="122">
        <v>11455.313947654389</v>
      </c>
      <c r="S103" s="122">
        <v>26850.658570973748</v>
      </c>
      <c r="T103" s="122">
        <v>105963.82868465818</v>
      </c>
      <c r="U103" s="122">
        <v>29784.184265820113</v>
      </c>
      <c r="V103" s="122"/>
      <c r="W103" s="122"/>
      <c r="X103" s="122"/>
      <c r="Y103" s="122"/>
      <c r="Z103" s="122"/>
      <c r="AA103" s="122"/>
      <c r="AB103" s="122"/>
      <c r="AC103" s="122"/>
      <c r="AD103" s="122"/>
      <c r="AE103" s="122"/>
      <c r="AF103" s="122"/>
      <c r="AG103" s="122"/>
      <c r="AH103" s="122"/>
      <c r="AI103" s="117">
        <f>SUM(F103:T103)</f>
        <v>291202.67894277576</v>
      </c>
      <c r="AJ103" s="117">
        <f>SUM(F103:U103)</f>
        <v>320986.8632085959</v>
      </c>
      <c r="AK103" s="117">
        <f>SUM(W103:AH103)</f>
        <v>0</v>
      </c>
      <c r="AL103" s="23"/>
      <c r="AM103" s="127" t="b">
        <f>IF(INDEX($AO103:$BM103,0,$F$14)=1,TRUE,FALSE)</f>
        <v>0</v>
      </c>
      <c r="AN103" s="127" t="str">
        <f>IF(AM103,A103&amp;", "&amp;B103,"")</f>
        <v/>
      </c>
      <c r="AO103" s="129"/>
      <c r="AP103" s="129"/>
      <c r="AQ103" s="129"/>
      <c r="AR103" s="129"/>
      <c r="AS103" s="129"/>
      <c r="AT103" s="129">
        <v>1</v>
      </c>
      <c r="AU103" s="129">
        <v>1</v>
      </c>
      <c r="AV103" s="129">
        <v>1</v>
      </c>
      <c r="AW103" s="129"/>
      <c r="AX103" s="197"/>
      <c r="AY103" s="197"/>
      <c r="AZ103" s="197"/>
      <c r="BA103" s="197"/>
      <c r="BB103" s="129"/>
      <c r="BC103" s="129"/>
      <c r="BD103" s="129"/>
      <c r="BE103" s="129"/>
      <c r="BF103" s="129"/>
      <c r="BG103" s="129"/>
      <c r="BH103" s="129"/>
      <c r="BI103" s="129"/>
      <c r="BJ103" s="129"/>
      <c r="BK103" s="129"/>
      <c r="BL103" s="129">
        <v>1</v>
      </c>
      <c r="BM103" s="197"/>
    </row>
    <row r="104" spans="1:65" x14ac:dyDescent="0.25">
      <c r="A104" s="166" t="s">
        <v>74</v>
      </c>
      <c r="B104" s="166" t="s">
        <v>24</v>
      </c>
      <c r="C104" s="172" t="s">
        <v>397</v>
      </c>
      <c r="D104" s="161">
        <v>6</v>
      </c>
      <c r="E104" s="29" t="str">
        <f>INDEX(ra_ScName,MATCH(D104,ra_ScNumber,0))</f>
        <v>Operating expenditure 2013–15</v>
      </c>
      <c r="F104" s="122">
        <v>10769.677272781286</v>
      </c>
      <c r="G104" s="122">
        <v>20459.940283811731</v>
      </c>
      <c r="H104" s="122">
        <v>2703.4648677433279</v>
      </c>
      <c r="I104" s="122">
        <v>6301.6555861120814</v>
      </c>
      <c r="J104" s="122">
        <v>6419.5383028401675</v>
      </c>
      <c r="K104" s="122">
        <v>4655.2180622759379</v>
      </c>
      <c r="L104" s="122">
        <v>7006.3823264072134</v>
      </c>
      <c r="M104" s="122">
        <v>2261.7125727096982</v>
      </c>
      <c r="N104" s="122">
        <v>7754.3809562703609</v>
      </c>
      <c r="O104" s="122">
        <v>5153.9882922058459</v>
      </c>
      <c r="P104" s="122">
        <v>69672.141445106579</v>
      </c>
      <c r="Q104" s="122">
        <v>8698.8684246092034</v>
      </c>
      <c r="R104" s="122">
        <v>11810.885137932219</v>
      </c>
      <c r="S104" s="122">
        <v>28047.424479714638</v>
      </c>
      <c r="T104" s="122">
        <v>110738.02862403366</v>
      </c>
      <c r="U104" s="122">
        <v>31122.747965808729</v>
      </c>
      <c r="V104" s="122"/>
      <c r="W104" s="122"/>
      <c r="X104" s="122"/>
      <c r="Y104" s="122"/>
      <c r="Z104" s="122"/>
      <c r="AA104" s="122"/>
      <c r="AB104" s="122"/>
      <c r="AC104" s="122"/>
      <c r="AD104" s="122"/>
      <c r="AE104" s="122"/>
      <c r="AF104" s="122"/>
      <c r="AG104" s="122"/>
      <c r="AH104" s="122"/>
      <c r="AI104" s="117">
        <f>SUM(F104:T104)</f>
        <v>302453.306634554</v>
      </c>
      <c r="AJ104" s="117">
        <f>SUM(F104:U104)</f>
        <v>333576.05460036272</v>
      </c>
      <c r="AK104" s="117">
        <f>SUM(W104:AH104)</f>
        <v>0</v>
      </c>
      <c r="AL104" s="23"/>
      <c r="AM104" s="127" t="b">
        <f>IF(INDEX($AO104:$BM104,0,$F$14)=1,TRUE,FALSE)</f>
        <v>0</v>
      </c>
      <c r="AN104" s="127" t="str">
        <f>IF(AM104,A104&amp;", "&amp;B104,"")</f>
        <v/>
      </c>
      <c r="AO104" s="129"/>
      <c r="AP104" s="129"/>
      <c r="AQ104" s="129"/>
      <c r="AR104" s="129"/>
      <c r="AS104" s="129"/>
      <c r="AT104" s="129">
        <v>1</v>
      </c>
      <c r="AU104" s="129">
        <v>1</v>
      </c>
      <c r="AV104" s="129">
        <v>1</v>
      </c>
      <c r="AW104" s="129"/>
      <c r="AX104" s="197"/>
      <c r="AY104" s="197"/>
      <c r="AZ104" s="197"/>
      <c r="BA104" s="197"/>
      <c r="BB104" s="129"/>
      <c r="BC104" s="129"/>
      <c r="BD104" s="129"/>
      <c r="BE104" s="129"/>
      <c r="BF104" s="129"/>
      <c r="BG104" s="129"/>
      <c r="BH104" s="129"/>
      <c r="BI104" s="129"/>
      <c r="BJ104" s="129"/>
      <c r="BK104" s="129"/>
      <c r="BL104" s="129">
        <v>1</v>
      </c>
      <c r="BM104" s="197"/>
    </row>
    <row r="105" spans="1:65" x14ac:dyDescent="0.25">
      <c r="A105" s="166" t="s">
        <v>74</v>
      </c>
      <c r="B105" s="166" t="s">
        <v>25</v>
      </c>
      <c r="C105" s="172" t="s">
        <v>210</v>
      </c>
      <c r="D105" s="161">
        <v>6</v>
      </c>
      <c r="E105" s="29" t="str">
        <f>INDEX(ra_ScName,MATCH(D105,ra_ScNumber,0))</f>
        <v>Operating expenditure 2013–15</v>
      </c>
      <c r="F105" s="122">
        <v>12301.3112</v>
      </c>
      <c r="G105" s="122">
        <v>18641</v>
      </c>
      <c r="H105" s="122">
        <v>4107</v>
      </c>
      <c r="I105" s="122">
        <v>7445.1994499999992</v>
      </c>
      <c r="J105" s="122">
        <v>7665</v>
      </c>
      <c r="K105" s="122">
        <v>5375.3869999999997</v>
      </c>
      <c r="L105" s="122">
        <v>6992.3367739845071</v>
      </c>
      <c r="M105" s="122">
        <v>2324.0830000000001</v>
      </c>
      <c r="N105" s="122">
        <v>8429</v>
      </c>
      <c r="O105" s="122">
        <v>6257.2179999999998</v>
      </c>
      <c r="P105" s="122">
        <v>65355.319773354822</v>
      </c>
      <c r="Q105" s="122">
        <v>9736.5836439999948</v>
      </c>
      <c r="R105" s="122">
        <v>12763.15617465926</v>
      </c>
      <c r="S105" s="122">
        <v>32224.174999999999</v>
      </c>
      <c r="T105" s="122">
        <v>95112</v>
      </c>
      <c r="U105" s="122">
        <v>28298.361239999998</v>
      </c>
      <c r="V105" s="122"/>
      <c r="W105" s="122"/>
      <c r="X105" s="122"/>
      <c r="Y105" s="122"/>
      <c r="Z105" s="122"/>
      <c r="AA105" s="122"/>
      <c r="AB105" s="122"/>
      <c r="AC105" s="122"/>
      <c r="AD105" s="122"/>
      <c r="AE105" s="122"/>
      <c r="AF105" s="122"/>
      <c r="AG105" s="122"/>
      <c r="AH105" s="122"/>
      <c r="AI105" s="117">
        <f>SUM(F105:T105)</f>
        <v>294728.77001599857</v>
      </c>
      <c r="AJ105" s="117">
        <f>SUM(F105:U105)</f>
        <v>323027.13125599857</v>
      </c>
      <c r="AK105" s="117">
        <f>SUM(W105:AH105)</f>
        <v>0</v>
      </c>
      <c r="AL105" s="23"/>
      <c r="AM105" s="127" t="b">
        <f>IF(INDEX($AO105:$BM105,0,$F$14)=1,TRUE,FALSE)</f>
        <v>0</v>
      </c>
      <c r="AN105" s="127" t="str">
        <f>IF(AM105,A105&amp;", "&amp;B105,"")</f>
        <v/>
      </c>
      <c r="AO105" s="129"/>
      <c r="AP105" s="129"/>
      <c r="AQ105" s="129"/>
      <c r="AR105" s="129"/>
      <c r="AS105" s="129"/>
      <c r="AT105" s="129">
        <v>1</v>
      </c>
      <c r="AU105" s="129">
        <v>1</v>
      </c>
      <c r="AV105" s="129">
        <v>1</v>
      </c>
      <c r="AW105" s="129"/>
      <c r="AX105" s="197"/>
      <c r="AY105" s="197"/>
      <c r="AZ105" s="197"/>
      <c r="BA105" s="197"/>
      <c r="BB105" s="129"/>
      <c r="BC105" s="129"/>
      <c r="BD105" s="129"/>
      <c r="BE105" s="129"/>
      <c r="BF105" s="129"/>
      <c r="BG105" s="129"/>
      <c r="BH105" s="129"/>
      <c r="BI105" s="129"/>
      <c r="BJ105" s="129"/>
      <c r="BK105" s="129"/>
      <c r="BL105" s="129">
        <v>1</v>
      </c>
      <c r="BM105" s="197"/>
    </row>
    <row r="106" spans="1:65" x14ac:dyDescent="0.25">
      <c r="A106" s="166" t="s">
        <v>74</v>
      </c>
      <c r="B106" s="166" t="s">
        <v>26</v>
      </c>
      <c r="C106" s="172" t="s">
        <v>210</v>
      </c>
      <c r="D106" s="161">
        <v>6</v>
      </c>
      <c r="E106" s="29" t="str">
        <f>INDEX(ra_ScName,MATCH(D106,ra_ScNumber,0))</f>
        <v>Operating expenditure 2013–15</v>
      </c>
      <c r="F106" s="122">
        <v>15271.56043</v>
      </c>
      <c r="G106" s="122">
        <v>22317</v>
      </c>
      <c r="H106" s="122">
        <v>4333</v>
      </c>
      <c r="I106" s="122">
        <v>7809.8741499999996</v>
      </c>
      <c r="J106" s="122">
        <v>8214</v>
      </c>
      <c r="K106" s="122">
        <v>4814.067</v>
      </c>
      <c r="L106" s="122">
        <v>7731</v>
      </c>
      <c r="M106" s="122">
        <v>2232</v>
      </c>
      <c r="N106" s="122">
        <v>8543</v>
      </c>
      <c r="O106" s="122">
        <v>7679.5959999999995</v>
      </c>
      <c r="P106" s="122">
        <v>67817.648873944156</v>
      </c>
      <c r="Q106" s="122">
        <v>10693</v>
      </c>
      <c r="R106" s="122">
        <v>12617.3259424278</v>
      </c>
      <c r="S106" s="122">
        <v>34853.785604490076</v>
      </c>
      <c r="T106" s="122">
        <v>106706</v>
      </c>
      <c r="U106" s="122">
        <v>29611.046129999999</v>
      </c>
      <c r="V106" s="122"/>
      <c r="W106" s="122"/>
      <c r="X106" s="122"/>
      <c r="Y106" s="122"/>
      <c r="Z106" s="122"/>
      <c r="AA106" s="122"/>
      <c r="AB106" s="122"/>
      <c r="AC106" s="122"/>
      <c r="AD106" s="122"/>
      <c r="AE106" s="122"/>
      <c r="AF106" s="122"/>
      <c r="AG106" s="122"/>
      <c r="AH106" s="122"/>
      <c r="AI106" s="117">
        <f>SUM(F106:T106)</f>
        <v>321632.85800086206</v>
      </c>
      <c r="AJ106" s="117">
        <f>SUM(F106:U106)</f>
        <v>351243.90413086204</v>
      </c>
      <c r="AK106" s="117">
        <f>SUM(W106:AH106)</f>
        <v>0</v>
      </c>
      <c r="AL106" s="23"/>
      <c r="AM106" s="127" t="b">
        <f>IF(INDEX($AO106:$BM106,0,$F$14)=1,TRUE,FALSE)</f>
        <v>0</v>
      </c>
      <c r="AN106" s="127" t="str">
        <f>IF(AM106,A106&amp;", "&amp;B106,"")</f>
        <v/>
      </c>
      <c r="AO106" s="129"/>
      <c r="AP106" s="129"/>
      <c r="AQ106" s="129"/>
      <c r="AR106" s="129"/>
      <c r="AS106" s="129"/>
      <c r="AT106" s="129">
        <v>1</v>
      </c>
      <c r="AU106" s="129">
        <v>1</v>
      </c>
      <c r="AV106" s="129">
        <v>1</v>
      </c>
      <c r="AW106" s="129"/>
      <c r="AX106" s="197"/>
      <c r="AY106" s="197"/>
      <c r="AZ106" s="197"/>
      <c r="BA106" s="197"/>
      <c r="BB106" s="129"/>
      <c r="BC106" s="129"/>
      <c r="BD106" s="129"/>
      <c r="BE106" s="129"/>
      <c r="BF106" s="129"/>
      <c r="BG106" s="129"/>
      <c r="BH106" s="129"/>
      <c r="BI106" s="129"/>
      <c r="BJ106" s="129"/>
      <c r="BK106" s="129"/>
      <c r="BL106" s="129">
        <v>1</v>
      </c>
      <c r="BM106" s="197"/>
    </row>
    <row r="107" spans="1:65" x14ac:dyDescent="0.25">
      <c r="A107" s="166" t="s">
        <v>74</v>
      </c>
      <c r="B107" s="166" t="s">
        <v>27</v>
      </c>
      <c r="C107" s="172" t="s">
        <v>210</v>
      </c>
      <c r="D107" s="161">
        <v>6</v>
      </c>
      <c r="E107" s="29" t="str">
        <f>INDEX(ra_ScName,MATCH(D107,ra_ScNumber,0))</f>
        <v>Operating expenditure 2013–15</v>
      </c>
      <c r="F107" s="122">
        <v>13822</v>
      </c>
      <c r="G107" s="122">
        <v>23608</v>
      </c>
      <c r="H107" s="122">
        <v>3545</v>
      </c>
      <c r="I107" s="122">
        <v>7854.0554200000006</v>
      </c>
      <c r="J107" s="122">
        <v>9121</v>
      </c>
      <c r="K107" s="122">
        <v>4161.3500000000004</v>
      </c>
      <c r="L107" s="122">
        <v>7979.563466687965</v>
      </c>
      <c r="M107" s="122">
        <v>1905.33314</v>
      </c>
      <c r="N107" s="122">
        <v>9818</v>
      </c>
      <c r="O107" s="122">
        <v>8009.0670000000009</v>
      </c>
      <c r="P107" s="122">
        <v>65510.486778504099</v>
      </c>
      <c r="Q107" s="122">
        <v>10062</v>
      </c>
      <c r="R107" s="122">
        <v>13032.385186707921</v>
      </c>
      <c r="S107" s="122">
        <v>35142.829238561593</v>
      </c>
      <c r="T107" s="122">
        <v>112188</v>
      </c>
      <c r="U107" s="122">
        <v>25555.800360000001</v>
      </c>
      <c r="V107" s="122"/>
      <c r="W107" s="122"/>
      <c r="X107" s="122"/>
      <c r="Y107" s="122"/>
      <c r="Z107" s="122"/>
      <c r="AA107" s="122"/>
      <c r="AB107" s="122"/>
      <c r="AC107" s="122"/>
      <c r="AD107" s="122"/>
      <c r="AE107" s="122"/>
      <c r="AF107" s="122"/>
      <c r="AG107" s="122"/>
      <c r="AH107" s="122"/>
      <c r="AI107" s="117">
        <f>SUM(F107:T107)</f>
        <v>325759.0702304616</v>
      </c>
      <c r="AJ107" s="117">
        <f>SUM(F107:U107)</f>
        <v>351314.87059046159</v>
      </c>
      <c r="AK107" s="117">
        <f>SUM(W107:AH107)</f>
        <v>0</v>
      </c>
      <c r="AL107" s="23"/>
      <c r="AM107" s="127" t="b">
        <f>IF(INDEX($AO107:$BM107,0,$F$14)=1,TRUE,FALSE)</f>
        <v>0</v>
      </c>
      <c r="AN107" s="127" t="str">
        <f>IF(AM107,A107&amp;", "&amp;B107,"")</f>
        <v/>
      </c>
      <c r="AO107" s="129"/>
      <c r="AP107" s="129"/>
      <c r="AQ107" s="129"/>
      <c r="AR107" s="129"/>
      <c r="AS107" s="129"/>
      <c r="AT107" s="129">
        <v>1</v>
      </c>
      <c r="AU107" s="129">
        <v>1</v>
      </c>
      <c r="AV107" s="129">
        <v>1</v>
      </c>
      <c r="AW107" s="129"/>
      <c r="AX107" s="197"/>
      <c r="AY107" s="197"/>
      <c r="AZ107" s="197"/>
      <c r="BA107" s="197"/>
      <c r="BB107" s="129"/>
      <c r="BC107" s="129"/>
      <c r="BD107" s="129"/>
      <c r="BE107" s="129"/>
      <c r="BF107" s="129"/>
      <c r="BG107" s="129"/>
      <c r="BH107" s="129"/>
      <c r="BI107" s="129"/>
      <c r="BJ107" s="129"/>
      <c r="BK107" s="129"/>
      <c r="BL107" s="129">
        <v>1</v>
      </c>
      <c r="BM107" s="197"/>
    </row>
    <row r="108" spans="1:65" x14ac:dyDescent="0.25">
      <c r="A108" s="121"/>
      <c r="B108" s="121"/>
      <c r="C108" s="172"/>
      <c r="D108" s="49"/>
      <c r="E108" s="49"/>
      <c r="F108" s="54"/>
      <c r="G108" s="54"/>
      <c r="H108" s="54"/>
      <c r="I108" s="54"/>
      <c r="J108" s="54"/>
      <c r="K108" s="54"/>
      <c r="L108" s="54"/>
      <c r="M108" s="54"/>
      <c r="N108" s="54"/>
      <c r="O108" s="54"/>
      <c r="P108" s="54"/>
      <c r="Q108" s="54"/>
      <c r="R108" s="54"/>
      <c r="S108" s="54"/>
      <c r="T108" s="54"/>
      <c r="U108" s="54"/>
      <c r="V108" s="54"/>
      <c r="W108" s="55"/>
      <c r="X108" s="55"/>
      <c r="Y108" s="55"/>
      <c r="Z108" s="55"/>
      <c r="AA108" s="55"/>
      <c r="AB108" s="55"/>
      <c r="AC108" s="55"/>
      <c r="AD108" s="55"/>
      <c r="AE108" s="55"/>
      <c r="AF108" s="55"/>
      <c r="AG108" s="55"/>
      <c r="AH108" s="55"/>
      <c r="AI108" s="54"/>
      <c r="AJ108" s="54"/>
      <c r="AK108" s="54"/>
      <c r="AL108" s="23"/>
      <c r="AM108" s="127"/>
      <c r="AN108" s="127"/>
      <c r="AO108" s="129"/>
      <c r="AP108" s="129"/>
      <c r="AQ108" s="129"/>
      <c r="AR108" s="129"/>
      <c r="AS108" s="129"/>
      <c r="AT108" s="129"/>
      <c r="AU108" s="129"/>
      <c r="AV108" s="129"/>
      <c r="AW108" s="129"/>
      <c r="AX108" s="197"/>
      <c r="AY108" s="197"/>
      <c r="AZ108" s="197"/>
      <c r="BA108" s="197"/>
      <c r="BB108" s="129"/>
      <c r="BC108" s="129"/>
      <c r="BD108" s="129"/>
      <c r="BE108" s="129"/>
      <c r="BF108" s="129"/>
      <c r="BG108" s="129"/>
      <c r="BH108" s="129"/>
      <c r="BI108" s="129"/>
      <c r="BJ108" s="129"/>
      <c r="BK108" s="129"/>
      <c r="BL108" s="129"/>
      <c r="BM108" s="197"/>
    </row>
    <row r="109" spans="1:65" x14ac:dyDescent="0.25">
      <c r="A109" s="121"/>
      <c r="B109" s="121"/>
      <c r="C109" s="172"/>
      <c r="D109" s="46"/>
      <c r="E109" s="46"/>
      <c r="F109" s="54"/>
      <c r="G109" s="54"/>
      <c r="H109" s="54"/>
      <c r="I109" s="54"/>
      <c r="J109" s="54"/>
      <c r="K109" s="54"/>
      <c r="L109" s="54"/>
      <c r="M109" s="54"/>
      <c r="N109" s="54"/>
      <c r="O109" s="54"/>
      <c r="P109" s="54"/>
      <c r="Q109" s="54"/>
      <c r="R109" s="54"/>
      <c r="S109" s="54"/>
      <c r="T109" s="54"/>
      <c r="U109" s="54"/>
      <c r="V109" s="54"/>
      <c r="W109" s="55"/>
      <c r="X109" s="55"/>
      <c r="Y109" s="55"/>
      <c r="Z109" s="55"/>
      <c r="AA109" s="55"/>
      <c r="AB109" s="55"/>
      <c r="AC109" s="55"/>
      <c r="AD109" s="55"/>
      <c r="AE109" s="55"/>
      <c r="AF109" s="55"/>
      <c r="AG109" s="55"/>
      <c r="AH109" s="55"/>
      <c r="AI109" s="54"/>
      <c r="AJ109" s="54"/>
      <c r="AK109" s="54"/>
      <c r="AL109" s="23"/>
      <c r="AM109" s="127"/>
      <c r="AN109" s="127"/>
      <c r="AO109" s="129"/>
      <c r="AP109" s="129"/>
      <c r="AQ109" s="129"/>
      <c r="AR109" s="129"/>
      <c r="AS109" s="129"/>
      <c r="AT109" s="129"/>
      <c r="AU109" s="129"/>
      <c r="AV109" s="129"/>
      <c r="AW109" s="129"/>
      <c r="AX109" s="197"/>
      <c r="AY109" s="197"/>
      <c r="AZ109" s="197"/>
      <c r="BA109" s="197"/>
      <c r="BB109" s="129"/>
      <c r="BC109" s="129"/>
      <c r="BD109" s="129"/>
      <c r="BE109" s="129"/>
      <c r="BF109" s="129"/>
      <c r="BG109" s="129"/>
      <c r="BH109" s="129"/>
      <c r="BI109" s="129"/>
      <c r="BJ109" s="129"/>
      <c r="BK109" s="129"/>
      <c r="BL109" s="129"/>
      <c r="BM109" s="197"/>
    </row>
    <row r="110" spans="1:65" x14ac:dyDescent="0.25">
      <c r="A110" s="121" t="s">
        <v>74</v>
      </c>
      <c r="B110" s="121" t="s">
        <v>23</v>
      </c>
      <c r="C110" s="172" t="s">
        <v>209</v>
      </c>
      <c r="D110" s="161">
        <v>10</v>
      </c>
      <c r="E110" s="29" t="str">
        <f>INDEX(ra_ScName,MATCH(D110,ra_ScNumber,0))</f>
        <v>Disclosed nominal return (incl actual asset revaluations)</v>
      </c>
      <c r="F110" s="122">
        <v>11857.071</v>
      </c>
      <c r="G110" s="122">
        <v>18143</v>
      </c>
      <c r="H110" s="122">
        <v>3185</v>
      </c>
      <c r="I110" s="122">
        <v>5688</v>
      </c>
      <c r="J110" s="122">
        <v>6099</v>
      </c>
      <c r="K110" s="122">
        <v>4587</v>
      </c>
      <c r="L110" s="122">
        <v>6627.1423100000002</v>
      </c>
      <c r="M110" s="122">
        <v>1751</v>
      </c>
      <c r="N110" s="122">
        <v>7811.6345099999999</v>
      </c>
      <c r="O110" s="122">
        <v>4982</v>
      </c>
      <c r="P110" s="122">
        <v>55135.0455</v>
      </c>
      <c r="Q110" s="122">
        <v>7147.3181000000004</v>
      </c>
      <c r="R110" s="122">
        <v>12342</v>
      </c>
      <c r="S110" s="122">
        <v>28826.173269999999</v>
      </c>
      <c r="T110" s="122">
        <v>85349</v>
      </c>
      <c r="U110" s="122">
        <v>29502.7912</v>
      </c>
      <c r="V110" s="122">
        <v>49841</v>
      </c>
      <c r="W110" s="122">
        <v>2825.41293</v>
      </c>
      <c r="X110" s="122">
        <v>9843</v>
      </c>
      <c r="Y110" s="122">
        <v>7658</v>
      </c>
      <c r="Z110" s="122">
        <v>10109</v>
      </c>
      <c r="AA110" s="122">
        <v>16519.400000000001</v>
      </c>
      <c r="AB110" s="122">
        <v>2864</v>
      </c>
      <c r="AC110" s="122">
        <v>14585.732</v>
      </c>
      <c r="AD110" s="122">
        <v>1925</v>
      </c>
      <c r="AE110" s="122">
        <v>11030</v>
      </c>
      <c r="AF110" s="122">
        <v>5295.8975099999998</v>
      </c>
      <c r="AG110" s="122">
        <v>17284.210999999999</v>
      </c>
      <c r="AH110" s="122">
        <v>7451</v>
      </c>
      <c r="AI110" s="117">
        <f t="shared" si="2"/>
        <v>446264.82933000004</v>
      </c>
      <c r="AJ110" s="117">
        <f>SUM(F110:U110)</f>
        <v>289033.17589000001</v>
      </c>
      <c r="AK110" s="117">
        <f t="shared" si="3"/>
        <v>107390.65343999999</v>
      </c>
      <c r="AL110" s="23"/>
      <c r="AM110" s="127" t="b">
        <f>IF(INDEX($AO110:$BM110,0,$F$14)=1,TRUE,FALSE)</f>
        <v>1</v>
      </c>
      <c r="AN110" s="127" t="str">
        <f>IF(AM110,A110&amp;", "&amp;B110,"")</f>
        <v>Operational expenditure, 2010/11</v>
      </c>
      <c r="AO110" s="129"/>
      <c r="AP110" s="129"/>
      <c r="AQ110" s="129"/>
      <c r="AR110" s="129"/>
      <c r="AS110" s="129"/>
      <c r="AT110" s="129"/>
      <c r="AU110" s="129"/>
      <c r="AV110" s="129"/>
      <c r="AW110" s="129">
        <v>1</v>
      </c>
      <c r="AX110" s="197">
        <v>1</v>
      </c>
      <c r="AY110" s="197">
        <v>1</v>
      </c>
      <c r="AZ110" s="197">
        <v>1</v>
      </c>
      <c r="BA110" s="197"/>
      <c r="BB110" s="129"/>
      <c r="BC110" s="129"/>
      <c r="BD110" s="129"/>
      <c r="BE110" s="129"/>
      <c r="BF110" s="129"/>
      <c r="BG110" s="129"/>
      <c r="BH110" s="129"/>
      <c r="BI110" s="129"/>
      <c r="BJ110" s="129"/>
      <c r="BK110" s="129"/>
      <c r="BL110" s="129"/>
      <c r="BM110" s="197">
        <v>1</v>
      </c>
    </row>
    <row r="111" spans="1:65" x14ac:dyDescent="0.25">
      <c r="A111" s="121" t="s">
        <v>74</v>
      </c>
      <c r="B111" s="121" t="s">
        <v>24</v>
      </c>
      <c r="C111" s="172" t="s">
        <v>210</v>
      </c>
      <c r="D111" s="161">
        <v>10</v>
      </c>
      <c r="E111" s="29" t="str">
        <f>INDEX(ra_ScName,MATCH(D111,ra_ScNumber,0))</f>
        <v>Disclosed nominal return (incl actual asset revaluations)</v>
      </c>
      <c r="F111" s="122">
        <v>11911.42044</v>
      </c>
      <c r="G111" s="122">
        <v>19035</v>
      </c>
      <c r="H111" s="122">
        <v>3395</v>
      </c>
      <c r="I111" s="122">
        <v>5794</v>
      </c>
      <c r="J111" s="122">
        <v>6900</v>
      </c>
      <c r="K111" s="122">
        <v>4704</v>
      </c>
      <c r="L111" s="122">
        <v>6708.7409800000023</v>
      </c>
      <c r="M111" s="122">
        <v>1990</v>
      </c>
      <c r="N111" s="122">
        <v>8355</v>
      </c>
      <c r="O111" s="122">
        <v>5855</v>
      </c>
      <c r="P111" s="122">
        <v>64131.082416153542</v>
      </c>
      <c r="Q111" s="122">
        <v>9830.2675625000084</v>
      </c>
      <c r="R111" s="122">
        <v>14332.63518538521</v>
      </c>
      <c r="S111" s="122">
        <v>29304.16</v>
      </c>
      <c r="T111" s="122">
        <v>94386</v>
      </c>
      <c r="U111" s="122">
        <v>28559.235430000001</v>
      </c>
      <c r="V111" s="122">
        <v>54319</v>
      </c>
      <c r="W111" s="122">
        <v>4661.4279107172524</v>
      </c>
      <c r="X111" s="122">
        <v>9061.1830000000009</v>
      </c>
      <c r="Y111" s="122">
        <v>9451</v>
      </c>
      <c r="Z111" s="122">
        <v>9742</v>
      </c>
      <c r="AA111" s="122">
        <v>12741</v>
      </c>
      <c r="AB111" s="122">
        <v>2841</v>
      </c>
      <c r="AC111" s="122">
        <v>14615</v>
      </c>
      <c r="AD111" s="122">
        <v>2009</v>
      </c>
      <c r="AE111" s="122">
        <v>11647</v>
      </c>
      <c r="AF111" s="122">
        <v>4540</v>
      </c>
      <c r="AG111" s="122">
        <v>16479.371510000001</v>
      </c>
      <c r="AH111" s="122">
        <v>7899</v>
      </c>
      <c r="AI111" s="117">
        <f t="shared" si="2"/>
        <v>475197.52443475608</v>
      </c>
      <c r="AJ111" s="117">
        <f>SUM(F111:U111)</f>
        <v>315191.54201403877</v>
      </c>
      <c r="AK111" s="117">
        <f t="shared" si="3"/>
        <v>105686.98242071725</v>
      </c>
      <c r="AL111" s="23"/>
      <c r="AM111" s="127" t="b">
        <f>IF(INDEX($AO111:$BM111,0,$F$14)=1,TRUE,FALSE)</f>
        <v>1</v>
      </c>
      <c r="AN111" s="127" t="str">
        <f>IF(AM111,A111&amp;", "&amp;B111,"")</f>
        <v>Operational expenditure, 2011/12</v>
      </c>
      <c r="AO111" s="129"/>
      <c r="AP111" s="129"/>
      <c r="AQ111" s="129"/>
      <c r="AR111" s="129"/>
      <c r="AS111" s="129"/>
      <c r="AT111" s="129"/>
      <c r="AU111" s="129"/>
      <c r="AV111" s="129"/>
      <c r="AW111" s="129">
        <v>1</v>
      </c>
      <c r="AX111" s="197">
        <v>1</v>
      </c>
      <c r="AY111" s="197">
        <v>1</v>
      </c>
      <c r="AZ111" s="197">
        <v>1</v>
      </c>
      <c r="BA111" s="197"/>
      <c r="BB111" s="129"/>
      <c r="BC111" s="129"/>
      <c r="BD111" s="129"/>
      <c r="BE111" s="129"/>
      <c r="BF111" s="129"/>
      <c r="BG111" s="129"/>
      <c r="BH111" s="129"/>
      <c r="BI111" s="129"/>
      <c r="BJ111" s="129"/>
      <c r="BK111" s="129"/>
      <c r="BL111" s="129"/>
      <c r="BM111" s="197">
        <v>1</v>
      </c>
    </row>
    <row r="112" spans="1:65" x14ac:dyDescent="0.25">
      <c r="A112" s="121" t="s">
        <v>74</v>
      </c>
      <c r="B112" s="121" t="s">
        <v>25</v>
      </c>
      <c r="C112" s="172" t="s">
        <v>210</v>
      </c>
      <c r="D112" s="161">
        <v>10</v>
      </c>
      <c r="E112" s="29" t="str">
        <f>INDEX(ra_ScName,MATCH(D112,ra_ScNumber,0))</f>
        <v>Disclosed nominal return (incl actual asset revaluations)</v>
      </c>
      <c r="F112" s="122">
        <v>12301.3112</v>
      </c>
      <c r="G112" s="122">
        <v>18641</v>
      </c>
      <c r="H112" s="122">
        <v>4107</v>
      </c>
      <c r="I112" s="122">
        <v>7445.1994499999992</v>
      </c>
      <c r="J112" s="122">
        <v>7665</v>
      </c>
      <c r="K112" s="122">
        <v>5375.3869999999997</v>
      </c>
      <c r="L112" s="122">
        <v>6992.3367739845071</v>
      </c>
      <c r="M112" s="122">
        <v>2324.0830000000001</v>
      </c>
      <c r="N112" s="122">
        <v>8429</v>
      </c>
      <c r="O112" s="122">
        <v>6257.2179999999998</v>
      </c>
      <c r="P112" s="122">
        <v>65355.319773354822</v>
      </c>
      <c r="Q112" s="122">
        <v>9736.5836439999948</v>
      </c>
      <c r="R112" s="122">
        <v>12763.15617465926</v>
      </c>
      <c r="S112" s="122">
        <v>32224.174999999999</v>
      </c>
      <c r="T112" s="122">
        <v>95112</v>
      </c>
      <c r="U112" s="122">
        <v>28298.361239999998</v>
      </c>
      <c r="V112" s="122">
        <v>47970</v>
      </c>
      <c r="W112" s="122">
        <v>4291.8507702757597</v>
      </c>
      <c r="X112" s="122">
        <v>9414.26361</v>
      </c>
      <c r="Y112" s="122">
        <v>8513</v>
      </c>
      <c r="Z112" s="122">
        <v>10684.857</v>
      </c>
      <c r="AA112" s="122">
        <v>11574</v>
      </c>
      <c r="AB112" s="122">
        <v>3538.4829764999999</v>
      </c>
      <c r="AC112" s="122">
        <v>15276.37235760043</v>
      </c>
      <c r="AD112" s="122">
        <v>2317</v>
      </c>
      <c r="AE112" s="122">
        <v>13464.701999999999</v>
      </c>
      <c r="AF112" s="122">
        <v>4753</v>
      </c>
      <c r="AG112" s="122">
        <v>18419.232619999999</v>
      </c>
      <c r="AH112" s="122">
        <v>7798</v>
      </c>
      <c r="AI112" s="117">
        <f t="shared" si="2"/>
        <v>481041.8925903748</v>
      </c>
      <c r="AJ112" s="117">
        <f>SUM(F112:U112)</f>
        <v>323027.13125599857</v>
      </c>
      <c r="AK112" s="117">
        <f t="shared" si="3"/>
        <v>110044.76133437619</v>
      </c>
      <c r="AL112" s="23"/>
      <c r="AM112" s="127" t="b">
        <f>IF(INDEX($AO112:$BM112,0,$F$14)=1,TRUE,FALSE)</f>
        <v>1</v>
      </c>
      <c r="AN112" s="127" t="str">
        <f>IF(AM112,A112&amp;", "&amp;B112,"")</f>
        <v>Operational expenditure, 2012/13</v>
      </c>
      <c r="AO112" s="129"/>
      <c r="AP112" s="129"/>
      <c r="AQ112" s="129"/>
      <c r="AR112" s="129"/>
      <c r="AS112" s="129"/>
      <c r="AT112" s="129"/>
      <c r="AU112" s="129"/>
      <c r="AV112" s="129"/>
      <c r="AW112" s="129">
        <v>1</v>
      </c>
      <c r="AX112" s="197">
        <v>1</v>
      </c>
      <c r="AY112" s="197">
        <v>1</v>
      </c>
      <c r="AZ112" s="197">
        <v>1</v>
      </c>
      <c r="BA112" s="197"/>
      <c r="BB112" s="129"/>
      <c r="BC112" s="129"/>
      <c r="BD112" s="129"/>
      <c r="BE112" s="129"/>
      <c r="BF112" s="129"/>
      <c r="BG112" s="129"/>
      <c r="BH112" s="129"/>
      <c r="BI112" s="129"/>
      <c r="BJ112" s="129"/>
      <c r="BK112" s="129"/>
      <c r="BL112" s="129"/>
      <c r="BM112" s="197">
        <v>1</v>
      </c>
    </row>
    <row r="113" spans="1:65" x14ac:dyDescent="0.25">
      <c r="A113" s="121" t="s">
        <v>74</v>
      </c>
      <c r="B113" s="121" t="s">
        <v>26</v>
      </c>
      <c r="C113" s="172" t="s">
        <v>210</v>
      </c>
      <c r="D113" s="161">
        <v>10</v>
      </c>
      <c r="E113" s="29" t="str">
        <f>INDEX(ra_ScName,MATCH(D113,ra_ScNumber,0))</f>
        <v>Disclosed nominal return (incl actual asset revaluations)</v>
      </c>
      <c r="F113" s="122">
        <v>15271.56043</v>
      </c>
      <c r="G113" s="122">
        <v>22317</v>
      </c>
      <c r="H113" s="122">
        <v>4333</v>
      </c>
      <c r="I113" s="122">
        <v>7809.8741499999996</v>
      </c>
      <c r="J113" s="122">
        <v>8214</v>
      </c>
      <c r="K113" s="122">
        <v>4814.067</v>
      </c>
      <c r="L113" s="122">
        <v>7731</v>
      </c>
      <c r="M113" s="122">
        <v>2232</v>
      </c>
      <c r="N113" s="122">
        <v>8543</v>
      </c>
      <c r="O113" s="122">
        <v>7679.5959999999995</v>
      </c>
      <c r="P113" s="122">
        <v>67817.648873944156</v>
      </c>
      <c r="Q113" s="122">
        <v>10693</v>
      </c>
      <c r="R113" s="122">
        <v>12617.3259424278</v>
      </c>
      <c r="S113" s="122">
        <v>34853.785604490076</v>
      </c>
      <c r="T113" s="122">
        <v>106706</v>
      </c>
      <c r="U113" s="122">
        <v>29611.046129999999</v>
      </c>
      <c r="V113" s="122">
        <v>50934</v>
      </c>
      <c r="W113" s="122">
        <v>3341</v>
      </c>
      <c r="X113" s="122">
        <v>10633</v>
      </c>
      <c r="Y113" s="122">
        <v>10191</v>
      </c>
      <c r="Z113" s="122">
        <v>11931</v>
      </c>
      <c r="AA113" s="122">
        <v>12428</v>
      </c>
      <c r="AB113" s="122">
        <v>3746.5889099999999</v>
      </c>
      <c r="AC113" s="122">
        <v>16149.14321814339</v>
      </c>
      <c r="AD113" s="122">
        <v>2585.5912618801608</v>
      </c>
      <c r="AE113" s="122">
        <v>13497.526</v>
      </c>
      <c r="AF113" s="122">
        <v>4548</v>
      </c>
      <c r="AG113" s="122">
        <v>18919.191740000009</v>
      </c>
      <c r="AH113" s="122">
        <v>8169</v>
      </c>
      <c r="AI113" s="117">
        <f t="shared" si="2"/>
        <v>518316.94526088564</v>
      </c>
      <c r="AJ113" s="117">
        <f>SUM(F113:U113)</f>
        <v>351243.90413086204</v>
      </c>
      <c r="AK113" s="117">
        <f t="shared" si="3"/>
        <v>116139.04113002356</v>
      </c>
      <c r="AL113" s="23"/>
      <c r="AM113" s="127" t="b">
        <f>IF(INDEX($AO113:$BM113,0,$F$14)=1,TRUE,FALSE)</f>
        <v>1</v>
      </c>
      <c r="AN113" s="127" t="str">
        <f>IF(AM113,A113&amp;", "&amp;B113,"")</f>
        <v>Operational expenditure, 2013/14</v>
      </c>
      <c r="AO113" s="129"/>
      <c r="AP113" s="129"/>
      <c r="AQ113" s="129"/>
      <c r="AR113" s="129"/>
      <c r="AS113" s="129"/>
      <c r="AT113" s="129"/>
      <c r="AU113" s="129"/>
      <c r="AV113" s="129"/>
      <c r="AW113" s="129">
        <v>1</v>
      </c>
      <c r="AX113" s="197">
        <v>1</v>
      </c>
      <c r="AY113" s="197">
        <v>1</v>
      </c>
      <c r="AZ113" s="197">
        <v>1</v>
      </c>
      <c r="BA113" s="197"/>
      <c r="BB113" s="129"/>
      <c r="BC113" s="129"/>
      <c r="BD113" s="129"/>
      <c r="BE113" s="129"/>
      <c r="BF113" s="129"/>
      <c r="BG113" s="129"/>
      <c r="BH113" s="129"/>
      <c r="BI113" s="129"/>
      <c r="BJ113" s="129"/>
      <c r="BK113" s="129"/>
      <c r="BL113" s="129"/>
      <c r="BM113" s="197">
        <v>1</v>
      </c>
    </row>
    <row r="114" spans="1:65" x14ac:dyDescent="0.25">
      <c r="A114" s="121" t="s">
        <v>74</v>
      </c>
      <c r="B114" s="121" t="s">
        <v>27</v>
      </c>
      <c r="C114" s="172" t="s">
        <v>210</v>
      </c>
      <c r="D114" s="161">
        <v>10</v>
      </c>
      <c r="E114" s="29" t="str">
        <f>INDEX(ra_ScName,MATCH(D114,ra_ScNumber,0))</f>
        <v>Disclosed nominal return (incl actual asset revaluations)</v>
      </c>
      <c r="F114" s="122">
        <v>13822</v>
      </c>
      <c r="G114" s="122">
        <v>23608</v>
      </c>
      <c r="H114" s="122">
        <v>3545</v>
      </c>
      <c r="I114" s="122">
        <v>7854.0554200000006</v>
      </c>
      <c r="J114" s="122">
        <v>9121</v>
      </c>
      <c r="K114" s="122">
        <v>4161.3500000000004</v>
      </c>
      <c r="L114" s="122">
        <v>7979.563466687965</v>
      </c>
      <c r="M114" s="122">
        <v>1905.33314</v>
      </c>
      <c r="N114" s="122">
        <v>9818</v>
      </c>
      <c r="O114" s="122">
        <v>8009.0670000000009</v>
      </c>
      <c r="P114" s="122">
        <v>65510.486778504099</v>
      </c>
      <c r="Q114" s="122">
        <v>10062</v>
      </c>
      <c r="R114" s="122">
        <v>13032.385186707921</v>
      </c>
      <c r="S114" s="122">
        <v>35142.829238561593</v>
      </c>
      <c r="T114" s="122">
        <v>112188</v>
      </c>
      <c r="U114" s="122">
        <v>25555.800360000001</v>
      </c>
      <c r="V114" s="122">
        <v>50828.255000000005</v>
      </c>
      <c r="W114" s="122">
        <v>3097.9666549208123</v>
      </c>
      <c r="X114" s="122">
        <v>11382</v>
      </c>
      <c r="Y114" s="122">
        <v>10629</v>
      </c>
      <c r="Z114" s="122">
        <v>12160.25</v>
      </c>
      <c r="AA114" s="122">
        <v>12486</v>
      </c>
      <c r="AB114" s="122">
        <v>4545</v>
      </c>
      <c r="AC114" s="122">
        <v>15727.686125800357</v>
      </c>
      <c r="AD114" s="122">
        <v>1598.714141331058</v>
      </c>
      <c r="AE114" s="122">
        <v>14413.540999999999</v>
      </c>
      <c r="AF114" s="122">
        <v>5242</v>
      </c>
      <c r="AG114" s="122">
        <v>17857.747450000006</v>
      </c>
      <c r="AH114" s="122">
        <v>9567</v>
      </c>
      <c r="AI114" s="117">
        <f t="shared" si="2"/>
        <v>520850.03096251388</v>
      </c>
      <c r="AJ114" s="117">
        <f>SUM(F114:U114)</f>
        <v>351314.87059046159</v>
      </c>
      <c r="AK114" s="117">
        <f t="shared" si="3"/>
        <v>118706.90537205224</v>
      </c>
      <c r="AL114" s="23"/>
      <c r="AM114" s="127" t="b">
        <f>IF(INDEX($AO114:$BM114,0,$F$14)=1,TRUE,FALSE)</f>
        <v>1</v>
      </c>
      <c r="AN114" s="127" t="str">
        <f>IF(AM114,A114&amp;", "&amp;B114,"")</f>
        <v>Operational expenditure, 2014/15</v>
      </c>
      <c r="AO114" s="129"/>
      <c r="AP114" s="129"/>
      <c r="AQ114" s="129"/>
      <c r="AR114" s="129"/>
      <c r="AS114" s="129"/>
      <c r="AT114" s="129"/>
      <c r="AU114" s="129"/>
      <c r="AV114" s="129"/>
      <c r="AW114" s="129">
        <v>1</v>
      </c>
      <c r="AX114" s="197">
        <v>1</v>
      </c>
      <c r="AY114" s="197">
        <v>1</v>
      </c>
      <c r="AZ114" s="197">
        <v>1</v>
      </c>
      <c r="BA114" s="197"/>
      <c r="BB114" s="129"/>
      <c r="BC114" s="129"/>
      <c r="BD114" s="129"/>
      <c r="BE114" s="129"/>
      <c r="BF114" s="129"/>
      <c r="BG114" s="129"/>
      <c r="BH114" s="129"/>
      <c r="BI114" s="129"/>
      <c r="BJ114" s="129"/>
      <c r="BK114" s="129"/>
      <c r="BL114" s="129"/>
      <c r="BM114" s="197">
        <v>1</v>
      </c>
    </row>
    <row r="115" spans="1:65" x14ac:dyDescent="0.25">
      <c r="A115" s="121"/>
      <c r="B115" s="121"/>
      <c r="C115" s="172"/>
      <c r="D115" s="49"/>
      <c r="E115" s="49"/>
      <c r="F115" s="54"/>
      <c r="G115" s="54"/>
      <c r="H115" s="54"/>
      <c r="I115" s="54"/>
      <c r="J115" s="54"/>
      <c r="K115" s="54"/>
      <c r="L115" s="54"/>
      <c r="M115" s="54"/>
      <c r="N115" s="54"/>
      <c r="O115" s="54"/>
      <c r="P115" s="54"/>
      <c r="Q115" s="54"/>
      <c r="R115" s="54"/>
      <c r="S115" s="54"/>
      <c r="T115" s="54"/>
      <c r="U115" s="54"/>
      <c r="V115" s="54"/>
      <c r="W115" s="55"/>
      <c r="X115" s="55"/>
      <c r="Y115" s="55"/>
      <c r="Z115" s="55"/>
      <c r="AA115" s="55"/>
      <c r="AB115" s="55"/>
      <c r="AC115" s="55"/>
      <c r="AD115" s="55"/>
      <c r="AE115" s="55"/>
      <c r="AF115" s="55"/>
      <c r="AG115" s="55"/>
      <c r="AH115" s="55"/>
      <c r="AI115" s="54"/>
      <c r="AJ115" s="54"/>
      <c r="AK115" s="54"/>
      <c r="AL115" s="23"/>
      <c r="AM115" s="127"/>
      <c r="AN115" s="127"/>
      <c r="AO115" s="129"/>
      <c r="AP115" s="129"/>
      <c r="AQ115" s="129"/>
      <c r="AR115" s="129"/>
      <c r="AS115" s="129"/>
      <c r="AT115" s="129"/>
      <c r="AU115" s="129"/>
      <c r="AV115" s="129"/>
      <c r="AW115" s="129"/>
      <c r="AX115" s="197"/>
      <c r="AY115" s="197"/>
      <c r="AZ115" s="197"/>
      <c r="BA115" s="197"/>
      <c r="BB115" s="129"/>
      <c r="BC115" s="129"/>
      <c r="BD115" s="129"/>
      <c r="BE115" s="129"/>
      <c r="BF115" s="129"/>
      <c r="BG115" s="129"/>
      <c r="BH115" s="129"/>
      <c r="BI115" s="129"/>
      <c r="BJ115" s="129"/>
      <c r="BK115" s="129"/>
      <c r="BL115" s="129"/>
      <c r="BM115" s="197"/>
    </row>
    <row r="116" spans="1:65" x14ac:dyDescent="0.25">
      <c r="A116" s="121"/>
      <c r="B116" s="121"/>
      <c r="C116" s="172"/>
      <c r="D116" s="46"/>
      <c r="E116" s="46"/>
      <c r="F116" s="54"/>
      <c r="G116" s="54"/>
      <c r="H116" s="54"/>
      <c r="I116" s="54"/>
      <c r="J116" s="54"/>
      <c r="K116" s="54"/>
      <c r="L116" s="54"/>
      <c r="M116" s="54"/>
      <c r="N116" s="54"/>
      <c r="O116" s="54"/>
      <c r="P116" s="54"/>
      <c r="Q116" s="54"/>
      <c r="R116" s="54"/>
      <c r="S116" s="54"/>
      <c r="T116" s="54"/>
      <c r="U116" s="54"/>
      <c r="V116" s="54"/>
      <c r="W116" s="55"/>
      <c r="X116" s="55"/>
      <c r="Y116" s="55"/>
      <c r="Z116" s="55"/>
      <c r="AA116" s="55"/>
      <c r="AB116" s="55"/>
      <c r="AC116" s="55"/>
      <c r="AD116" s="55"/>
      <c r="AE116" s="55"/>
      <c r="AF116" s="55"/>
      <c r="AG116" s="55"/>
      <c r="AH116" s="55"/>
      <c r="AI116" s="54"/>
      <c r="AJ116" s="54"/>
      <c r="AK116" s="54"/>
      <c r="AL116" s="23"/>
      <c r="AM116" s="127"/>
      <c r="AN116" s="127"/>
      <c r="AO116" s="129"/>
      <c r="AP116" s="129"/>
      <c r="AQ116" s="129"/>
      <c r="AR116" s="129"/>
      <c r="AS116" s="129"/>
      <c r="AT116" s="129"/>
      <c r="AU116" s="129"/>
      <c r="AV116" s="129"/>
      <c r="AW116" s="129"/>
      <c r="AX116" s="197"/>
      <c r="AY116" s="197"/>
      <c r="AZ116" s="197"/>
      <c r="BA116" s="197"/>
      <c r="BB116" s="129"/>
      <c r="BC116" s="129"/>
      <c r="BD116" s="129"/>
      <c r="BE116" s="129"/>
      <c r="BF116" s="129"/>
      <c r="BG116" s="129"/>
      <c r="BH116" s="129"/>
      <c r="BI116" s="129"/>
      <c r="BJ116" s="129"/>
      <c r="BK116" s="129"/>
      <c r="BL116" s="129"/>
      <c r="BM116" s="197"/>
    </row>
    <row r="117" spans="1:65" x14ac:dyDescent="0.25">
      <c r="A117" s="121" t="s">
        <v>141</v>
      </c>
      <c r="B117" s="121" t="s">
        <v>23</v>
      </c>
      <c r="C117" s="172" t="s">
        <v>222</v>
      </c>
      <c r="D117" s="161">
        <v>1</v>
      </c>
      <c r="E117" s="29" t="str">
        <f>INDEX(ra_ScName,MATCH(D117,ra_ScNumber,0))</f>
        <v>Expected nominal return (incl forecast asset revaluations)</v>
      </c>
      <c r="F117" s="122">
        <v>0</v>
      </c>
      <c r="G117" s="122">
        <v>0</v>
      </c>
      <c r="H117" s="122">
        <v>0</v>
      </c>
      <c r="I117" s="122">
        <v>0</v>
      </c>
      <c r="J117" s="122">
        <v>0</v>
      </c>
      <c r="K117" s="122">
        <v>0</v>
      </c>
      <c r="L117" s="122">
        <v>0</v>
      </c>
      <c r="M117" s="122">
        <v>0</v>
      </c>
      <c r="N117" s="122">
        <v>0</v>
      </c>
      <c r="O117" s="122">
        <v>0</v>
      </c>
      <c r="P117" s="122">
        <v>0</v>
      </c>
      <c r="Q117" s="122">
        <v>0</v>
      </c>
      <c r="R117" s="122">
        <v>0</v>
      </c>
      <c r="S117" s="122">
        <v>0</v>
      </c>
      <c r="T117" s="122">
        <v>0</v>
      </c>
      <c r="U117" s="122">
        <v>0</v>
      </c>
      <c r="V117" s="122">
        <v>0</v>
      </c>
      <c r="W117" s="122">
        <v>0</v>
      </c>
      <c r="X117" s="122">
        <v>0</v>
      </c>
      <c r="Y117" s="122">
        <v>0</v>
      </c>
      <c r="Z117" s="122">
        <v>0</v>
      </c>
      <c r="AA117" s="122">
        <v>0</v>
      </c>
      <c r="AB117" s="122">
        <v>0</v>
      </c>
      <c r="AC117" s="122">
        <v>0</v>
      </c>
      <c r="AD117" s="122">
        <v>0</v>
      </c>
      <c r="AE117" s="122">
        <v>0</v>
      </c>
      <c r="AF117" s="122">
        <v>0</v>
      </c>
      <c r="AG117" s="122">
        <v>0</v>
      </c>
      <c r="AH117" s="122">
        <v>0</v>
      </c>
      <c r="AI117" s="117">
        <f t="shared" si="2"/>
        <v>0</v>
      </c>
      <c r="AJ117" s="117">
        <f>SUM(F117:U117)</f>
        <v>0</v>
      </c>
      <c r="AK117" s="117">
        <f t="shared" si="3"/>
        <v>0</v>
      </c>
      <c r="AL117" s="23"/>
      <c r="AM117" s="127" t="b">
        <f>IF(INDEX($AO117:$BM117,0,$F$14)=1,TRUE,FALSE)</f>
        <v>0</v>
      </c>
      <c r="AN117" s="127" t="str">
        <f>IF(AM117,A117&amp;", "&amp;B117,"")</f>
        <v/>
      </c>
      <c r="AO117" s="129">
        <v>1</v>
      </c>
      <c r="AP117" s="129">
        <v>1</v>
      </c>
      <c r="AQ117" s="129"/>
      <c r="AR117" s="129"/>
      <c r="AS117" s="129"/>
      <c r="AT117" s="129"/>
      <c r="AU117" s="129"/>
      <c r="AV117" s="129"/>
      <c r="AW117" s="129"/>
      <c r="AX117" s="197"/>
      <c r="AY117" s="197"/>
      <c r="AZ117" s="197"/>
      <c r="BA117" s="197"/>
      <c r="BB117" s="129"/>
      <c r="BC117" s="129"/>
      <c r="BD117" s="129"/>
      <c r="BE117" s="129"/>
      <c r="BF117" s="129"/>
      <c r="BG117" s="129"/>
      <c r="BH117" s="129"/>
      <c r="BI117" s="129"/>
      <c r="BJ117" s="129"/>
      <c r="BK117" s="129"/>
      <c r="BL117" s="129"/>
      <c r="BM117" s="197"/>
    </row>
    <row r="118" spans="1:65" x14ac:dyDescent="0.25">
      <c r="A118" s="121" t="s">
        <v>141</v>
      </c>
      <c r="B118" s="121" t="s">
        <v>24</v>
      </c>
      <c r="C118" s="172" t="s">
        <v>222</v>
      </c>
      <c r="D118" s="161">
        <v>1</v>
      </c>
      <c r="E118" s="29" t="str">
        <f>INDEX(ra_ScName,MATCH(D118,ra_ScNumber,0))</f>
        <v>Expected nominal return (incl forecast asset revaluations)</v>
      </c>
      <c r="F118" s="122">
        <v>0</v>
      </c>
      <c r="G118" s="122">
        <v>0</v>
      </c>
      <c r="H118" s="122">
        <v>0</v>
      </c>
      <c r="I118" s="122">
        <v>0</v>
      </c>
      <c r="J118" s="122">
        <v>0</v>
      </c>
      <c r="K118" s="122">
        <v>0</v>
      </c>
      <c r="L118" s="122">
        <v>0</v>
      </c>
      <c r="M118" s="122">
        <v>0</v>
      </c>
      <c r="N118" s="122">
        <v>0</v>
      </c>
      <c r="O118" s="122">
        <v>0</v>
      </c>
      <c r="P118" s="122">
        <v>0</v>
      </c>
      <c r="Q118" s="122">
        <v>0</v>
      </c>
      <c r="R118" s="122">
        <v>0</v>
      </c>
      <c r="S118" s="122">
        <v>0</v>
      </c>
      <c r="T118" s="122">
        <v>0</v>
      </c>
      <c r="U118" s="122">
        <v>0</v>
      </c>
      <c r="V118" s="122">
        <v>0</v>
      </c>
      <c r="W118" s="122">
        <v>0</v>
      </c>
      <c r="X118" s="122">
        <v>0</v>
      </c>
      <c r="Y118" s="122">
        <v>0</v>
      </c>
      <c r="Z118" s="122">
        <v>0</v>
      </c>
      <c r="AA118" s="122">
        <v>0</v>
      </c>
      <c r="AB118" s="122">
        <v>0</v>
      </c>
      <c r="AC118" s="122">
        <v>0</v>
      </c>
      <c r="AD118" s="122">
        <v>0</v>
      </c>
      <c r="AE118" s="122">
        <v>0</v>
      </c>
      <c r="AF118" s="122">
        <v>0</v>
      </c>
      <c r="AG118" s="122">
        <v>0</v>
      </c>
      <c r="AH118" s="122">
        <v>0</v>
      </c>
      <c r="AI118" s="117">
        <f t="shared" si="2"/>
        <v>0</v>
      </c>
      <c r="AJ118" s="117">
        <f>SUM(F118:U118)</f>
        <v>0</v>
      </c>
      <c r="AK118" s="117">
        <f t="shared" si="3"/>
        <v>0</v>
      </c>
      <c r="AL118" s="23"/>
      <c r="AM118" s="127" t="b">
        <f>IF(INDEX($AO118:$BM118,0,$F$14)=1,TRUE,FALSE)</f>
        <v>0</v>
      </c>
      <c r="AN118" s="127" t="str">
        <f>IF(AM118,A118&amp;", "&amp;B118,"")</f>
        <v/>
      </c>
      <c r="AO118" s="129">
        <v>1</v>
      </c>
      <c r="AP118" s="129">
        <v>1</v>
      </c>
      <c r="AQ118" s="129"/>
      <c r="AR118" s="129"/>
      <c r="AS118" s="129"/>
      <c r="AT118" s="129"/>
      <c r="AU118" s="129"/>
      <c r="AV118" s="129"/>
      <c r="AW118" s="129"/>
      <c r="AX118" s="197"/>
      <c r="AY118" s="197"/>
      <c r="AZ118" s="197"/>
      <c r="BA118" s="197"/>
      <c r="BB118" s="129"/>
      <c r="BC118" s="129"/>
      <c r="BD118" s="129"/>
      <c r="BE118" s="129"/>
      <c r="BF118" s="129"/>
      <c r="BG118" s="129"/>
      <c r="BH118" s="129"/>
      <c r="BI118" s="129"/>
      <c r="BJ118" s="129"/>
      <c r="BK118" s="129"/>
      <c r="BL118" s="129"/>
      <c r="BM118" s="197"/>
    </row>
    <row r="119" spans="1:65" x14ac:dyDescent="0.25">
      <c r="A119" s="121" t="s">
        <v>141</v>
      </c>
      <c r="B119" s="121" t="s">
        <v>25</v>
      </c>
      <c r="C119" s="172" t="s">
        <v>222</v>
      </c>
      <c r="D119" s="161">
        <v>1</v>
      </c>
      <c r="E119" s="29" t="str">
        <f>INDEX(ra_ScName,MATCH(D119,ra_ScNumber,0))</f>
        <v>Expected nominal return (incl forecast asset revaluations)</v>
      </c>
      <c r="F119" s="122">
        <v>0</v>
      </c>
      <c r="G119" s="122">
        <v>0</v>
      </c>
      <c r="H119" s="122">
        <v>0</v>
      </c>
      <c r="I119" s="122">
        <v>0</v>
      </c>
      <c r="J119" s="122">
        <v>0</v>
      </c>
      <c r="K119" s="122">
        <v>0</v>
      </c>
      <c r="L119" s="122">
        <v>0</v>
      </c>
      <c r="M119" s="122">
        <v>0</v>
      </c>
      <c r="N119" s="122">
        <v>0</v>
      </c>
      <c r="O119" s="122">
        <v>0</v>
      </c>
      <c r="P119" s="122">
        <v>0</v>
      </c>
      <c r="Q119" s="122">
        <v>0</v>
      </c>
      <c r="R119" s="122">
        <v>0</v>
      </c>
      <c r="S119" s="122">
        <v>0</v>
      </c>
      <c r="T119" s="122">
        <v>0</v>
      </c>
      <c r="U119" s="122">
        <v>0</v>
      </c>
      <c r="V119" s="122">
        <v>0</v>
      </c>
      <c r="W119" s="122">
        <v>0</v>
      </c>
      <c r="X119" s="122">
        <v>0</v>
      </c>
      <c r="Y119" s="122">
        <v>0</v>
      </c>
      <c r="Z119" s="122">
        <v>0</v>
      </c>
      <c r="AA119" s="122">
        <v>0</v>
      </c>
      <c r="AB119" s="122">
        <v>0</v>
      </c>
      <c r="AC119" s="122">
        <v>0</v>
      </c>
      <c r="AD119" s="122">
        <v>0</v>
      </c>
      <c r="AE119" s="122">
        <v>0</v>
      </c>
      <c r="AF119" s="122">
        <v>0</v>
      </c>
      <c r="AG119" s="122">
        <v>0</v>
      </c>
      <c r="AH119" s="122">
        <v>0</v>
      </c>
      <c r="AI119" s="117">
        <f t="shared" si="2"/>
        <v>0</v>
      </c>
      <c r="AJ119" s="117">
        <f>SUM(F119:U119)</f>
        <v>0</v>
      </c>
      <c r="AK119" s="117">
        <f t="shared" si="3"/>
        <v>0</v>
      </c>
      <c r="AL119" s="23"/>
      <c r="AM119" s="127" t="b">
        <f>IF(INDEX($AO119:$BM119,0,$F$14)=1,TRUE,FALSE)</f>
        <v>0</v>
      </c>
      <c r="AN119" s="127" t="str">
        <f>IF(AM119,A119&amp;", "&amp;B119,"")</f>
        <v/>
      </c>
      <c r="AO119" s="129">
        <v>1</v>
      </c>
      <c r="AP119" s="129">
        <v>1</v>
      </c>
      <c r="AQ119" s="129"/>
      <c r="AR119" s="129"/>
      <c r="AS119" s="129"/>
      <c r="AT119" s="129"/>
      <c r="AU119" s="129"/>
      <c r="AV119" s="129"/>
      <c r="AW119" s="129"/>
      <c r="AX119" s="197"/>
      <c r="AY119" s="197"/>
      <c r="AZ119" s="197"/>
      <c r="BA119" s="197"/>
      <c r="BB119" s="129"/>
      <c r="BC119" s="129"/>
      <c r="BD119" s="129"/>
      <c r="BE119" s="129"/>
      <c r="BF119" s="129"/>
      <c r="BG119" s="129"/>
      <c r="BH119" s="129"/>
      <c r="BI119" s="129"/>
      <c r="BJ119" s="129"/>
      <c r="BK119" s="129"/>
      <c r="BL119" s="129"/>
      <c r="BM119" s="197"/>
    </row>
    <row r="120" spans="1:65" x14ac:dyDescent="0.25">
      <c r="A120" s="121" t="s">
        <v>141</v>
      </c>
      <c r="B120" s="121" t="s">
        <v>26</v>
      </c>
      <c r="C120" s="172" t="s">
        <v>222</v>
      </c>
      <c r="D120" s="161">
        <v>1</v>
      </c>
      <c r="E120" s="29" t="str">
        <f>INDEX(ra_ScName,MATCH(D120,ra_ScNumber,0))</f>
        <v>Expected nominal return (incl forecast asset revaluations)</v>
      </c>
      <c r="F120" s="122">
        <v>0</v>
      </c>
      <c r="G120" s="122">
        <v>0</v>
      </c>
      <c r="H120" s="122">
        <v>0</v>
      </c>
      <c r="I120" s="122">
        <v>0</v>
      </c>
      <c r="J120" s="122">
        <v>0</v>
      </c>
      <c r="K120" s="122">
        <v>0</v>
      </c>
      <c r="L120" s="122">
        <v>0</v>
      </c>
      <c r="M120" s="122">
        <v>0</v>
      </c>
      <c r="N120" s="122">
        <v>0</v>
      </c>
      <c r="O120" s="122">
        <v>0</v>
      </c>
      <c r="P120" s="122">
        <v>0</v>
      </c>
      <c r="Q120" s="122">
        <v>0</v>
      </c>
      <c r="R120" s="122">
        <v>0</v>
      </c>
      <c r="S120" s="122">
        <v>0</v>
      </c>
      <c r="T120" s="122">
        <v>0</v>
      </c>
      <c r="U120" s="122">
        <v>0</v>
      </c>
      <c r="V120" s="122">
        <v>0</v>
      </c>
      <c r="W120" s="122">
        <v>0</v>
      </c>
      <c r="X120" s="122">
        <v>0</v>
      </c>
      <c r="Y120" s="122">
        <v>0</v>
      </c>
      <c r="Z120" s="122">
        <v>0</v>
      </c>
      <c r="AA120" s="122">
        <v>0</v>
      </c>
      <c r="AB120" s="122">
        <v>0</v>
      </c>
      <c r="AC120" s="122">
        <v>0</v>
      </c>
      <c r="AD120" s="122">
        <v>0</v>
      </c>
      <c r="AE120" s="122">
        <v>0</v>
      </c>
      <c r="AF120" s="122">
        <v>0</v>
      </c>
      <c r="AG120" s="122">
        <v>0</v>
      </c>
      <c r="AH120" s="122">
        <v>0</v>
      </c>
      <c r="AI120" s="117">
        <f t="shared" si="2"/>
        <v>0</v>
      </c>
      <c r="AJ120" s="117">
        <f>SUM(F120:U120)</f>
        <v>0</v>
      </c>
      <c r="AK120" s="117">
        <f t="shared" si="3"/>
        <v>0</v>
      </c>
      <c r="AL120" s="23"/>
      <c r="AM120" s="127" t="b">
        <f>IF(INDEX($AO120:$BM120,0,$F$14)=1,TRUE,FALSE)</f>
        <v>0</v>
      </c>
      <c r="AN120" s="127" t="str">
        <f>IF(AM120,A120&amp;", "&amp;B120,"")</f>
        <v/>
      </c>
      <c r="AO120" s="129">
        <v>1</v>
      </c>
      <c r="AP120" s="129">
        <v>1</v>
      </c>
      <c r="AQ120" s="129"/>
      <c r="AR120" s="129"/>
      <c r="AS120" s="129"/>
      <c r="AT120" s="129"/>
      <c r="AU120" s="129"/>
      <c r="AV120" s="129"/>
      <c r="AW120" s="129"/>
      <c r="AX120" s="197"/>
      <c r="AY120" s="197"/>
      <c r="AZ120" s="197"/>
      <c r="BA120" s="197"/>
      <c r="BB120" s="129"/>
      <c r="BC120" s="129"/>
      <c r="BD120" s="129"/>
      <c r="BE120" s="129"/>
      <c r="BF120" s="129"/>
      <c r="BG120" s="129"/>
      <c r="BH120" s="129"/>
      <c r="BI120" s="129"/>
      <c r="BJ120" s="129"/>
      <c r="BK120" s="129"/>
      <c r="BL120" s="129"/>
      <c r="BM120" s="197"/>
    </row>
    <row r="121" spans="1:65" x14ac:dyDescent="0.25">
      <c r="A121" s="121" t="s">
        <v>141</v>
      </c>
      <c r="B121" s="121" t="s">
        <v>27</v>
      </c>
      <c r="C121" s="172" t="s">
        <v>222</v>
      </c>
      <c r="D121" s="161">
        <v>1</v>
      </c>
      <c r="E121" s="29" t="str">
        <f>INDEX(ra_ScName,MATCH(D121,ra_ScNumber,0))</f>
        <v>Expected nominal return (incl forecast asset revaluations)</v>
      </c>
      <c r="F121" s="122">
        <v>0</v>
      </c>
      <c r="G121" s="122">
        <v>0</v>
      </c>
      <c r="H121" s="122">
        <v>0</v>
      </c>
      <c r="I121" s="122">
        <v>0</v>
      </c>
      <c r="J121" s="122">
        <v>0</v>
      </c>
      <c r="K121" s="122">
        <v>0</v>
      </c>
      <c r="L121" s="122">
        <v>0</v>
      </c>
      <c r="M121" s="122">
        <v>0</v>
      </c>
      <c r="N121" s="122">
        <v>0</v>
      </c>
      <c r="O121" s="122">
        <v>0</v>
      </c>
      <c r="P121" s="122">
        <v>0</v>
      </c>
      <c r="Q121" s="122">
        <v>0</v>
      </c>
      <c r="R121" s="122">
        <v>0</v>
      </c>
      <c r="S121" s="122">
        <v>0</v>
      </c>
      <c r="T121" s="122">
        <v>0</v>
      </c>
      <c r="U121" s="122">
        <v>0</v>
      </c>
      <c r="V121" s="122">
        <v>0</v>
      </c>
      <c r="W121" s="122">
        <v>0</v>
      </c>
      <c r="X121" s="122">
        <v>0</v>
      </c>
      <c r="Y121" s="122">
        <v>0</v>
      </c>
      <c r="Z121" s="122">
        <v>0</v>
      </c>
      <c r="AA121" s="122">
        <v>0</v>
      </c>
      <c r="AB121" s="122">
        <v>0</v>
      </c>
      <c r="AC121" s="122">
        <v>0</v>
      </c>
      <c r="AD121" s="122">
        <v>0</v>
      </c>
      <c r="AE121" s="122">
        <v>0</v>
      </c>
      <c r="AF121" s="122">
        <v>0</v>
      </c>
      <c r="AG121" s="122">
        <v>0</v>
      </c>
      <c r="AH121" s="122">
        <v>0</v>
      </c>
      <c r="AI121" s="117">
        <f t="shared" si="2"/>
        <v>0</v>
      </c>
      <c r="AJ121" s="117">
        <f>SUM(F121:U121)</f>
        <v>0</v>
      </c>
      <c r="AK121" s="117">
        <f t="shared" si="3"/>
        <v>0</v>
      </c>
      <c r="AL121" s="23"/>
      <c r="AM121" s="127" t="b">
        <f>IF(INDEX($AO121:$BM121,0,$F$14)=1,TRUE,FALSE)</f>
        <v>0</v>
      </c>
      <c r="AN121" s="127" t="str">
        <f>IF(AM121,A121&amp;", "&amp;B121,"")</f>
        <v/>
      </c>
      <c r="AO121" s="129">
        <v>1</v>
      </c>
      <c r="AP121" s="129">
        <v>1</v>
      </c>
      <c r="AQ121" s="129"/>
      <c r="AR121" s="129"/>
      <c r="AS121" s="129"/>
      <c r="AT121" s="129"/>
      <c r="AU121" s="129"/>
      <c r="AV121" s="129"/>
      <c r="AW121" s="129"/>
      <c r="AX121" s="197"/>
      <c r="AY121" s="197"/>
      <c r="AZ121" s="197"/>
      <c r="BA121" s="197"/>
      <c r="BB121" s="129"/>
      <c r="BC121" s="129"/>
      <c r="BD121" s="129"/>
      <c r="BE121" s="129"/>
      <c r="BF121" s="129"/>
      <c r="BG121" s="129"/>
      <c r="BH121" s="129"/>
      <c r="BI121" s="129"/>
      <c r="BJ121" s="129"/>
      <c r="BK121" s="129"/>
      <c r="BL121" s="129"/>
      <c r="BM121" s="197"/>
    </row>
    <row r="122" spans="1:65" x14ac:dyDescent="0.25">
      <c r="A122" s="121"/>
      <c r="B122" s="121"/>
      <c r="C122" s="172"/>
      <c r="D122" s="49"/>
      <c r="E122" s="49"/>
      <c r="F122" s="54"/>
      <c r="G122" s="54"/>
      <c r="H122" s="54"/>
      <c r="I122" s="54"/>
      <c r="J122" s="54"/>
      <c r="K122" s="54"/>
      <c r="L122" s="54"/>
      <c r="M122" s="54"/>
      <c r="N122" s="54"/>
      <c r="O122" s="54"/>
      <c r="P122" s="54"/>
      <c r="Q122" s="54"/>
      <c r="R122" s="54"/>
      <c r="S122" s="54"/>
      <c r="T122" s="54"/>
      <c r="U122" s="54"/>
      <c r="V122" s="54"/>
      <c r="W122" s="55"/>
      <c r="X122" s="55"/>
      <c r="Y122" s="55"/>
      <c r="Z122" s="55"/>
      <c r="AA122" s="55"/>
      <c r="AB122" s="55"/>
      <c r="AC122" s="55"/>
      <c r="AD122" s="55"/>
      <c r="AE122" s="55"/>
      <c r="AF122" s="55"/>
      <c r="AG122" s="55"/>
      <c r="AH122" s="55"/>
      <c r="AI122" s="54"/>
      <c r="AJ122" s="54"/>
      <c r="AK122" s="54"/>
      <c r="AL122" s="23"/>
      <c r="AM122" s="127"/>
      <c r="AN122" s="127"/>
      <c r="AO122" s="129"/>
      <c r="AP122" s="129"/>
      <c r="AQ122" s="129"/>
      <c r="AR122" s="129"/>
      <c r="AS122" s="129"/>
      <c r="AT122" s="129"/>
      <c r="AU122" s="129"/>
      <c r="AV122" s="129"/>
      <c r="AW122" s="129"/>
      <c r="AX122" s="197"/>
      <c r="AY122" s="197"/>
      <c r="AZ122" s="197"/>
      <c r="BA122" s="197"/>
      <c r="BB122" s="129"/>
      <c r="BC122" s="129"/>
      <c r="BD122" s="129"/>
      <c r="BE122" s="129"/>
      <c r="BF122" s="129"/>
      <c r="BG122" s="129"/>
      <c r="BH122" s="129"/>
      <c r="BI122" s="129"/>
      <c r="BJ122" s="129"/>
      <c r="BK122" s="129"/>
      <c r="BL122" s="129"/>
      <c r="BM122" s="197"/>
    </row>
    <row r="123" spans="1:65" x14ac:dyDescent="0.25">
      <c r="A123" s="121"/>
      <c r="B123" s="121"/>
      <c r="C123" s="172"/>
      <c r="D123" s="46"/>
      <c r="E123" s="46"/>
      <c r="F123" s="54"/>
      <c r="G123" s="54"/>
      <c r="H123" s="54"/>
      <c r="I123" s="54"/>
      <c r="J123" s="54"/>
      <c r="K123" s="54"/>
      <c r="L123" s="54"/>
      <c r="M123" s="54"/>
      <c r="N123" s="54"/>
      <c r="O123" s="54"/>
      <c r="P123" s="54"/>
      <c r="Q123" s="54"/>
      <c r="R123" s="54"/>
      <c r="S123" s="54"/>
      <c r="T123" s="54"/>
      <c r="U123" s="54"/>
      <c r="V123" s="54"/>
      <c r="W123" s="55"/>
      <c r="X123" s="55"/>
      <c r="Y123" s="55"/>
      <c r="Z123" s="55"/>
      <c r="AA123" s="55"/>
      <c r="AB123" s="55"/>
      <c r="AC123" s="55"/>
      <c r="AD123" s="55"/>
      <c r="AE123" s="55"/>
      <c r="AF123" s="55"/>
      <c r="AG123" s="55"/>
      <c r="AH123" s="55"/>
      <c r="AI123" s="54"/>
      <c r="AJ123" s="54"/>
      <c r="AK123" s="54"/>
      <c r="AL123" s="23"/>
      <c r="AM123" s="127"/>
      <c r="AN123" s="127"/>
      <c r="AO123" s="129"/>
      <c r="AP123" s="129"/>
      <c r="AQ123" s="129"/>
      <c r="AR123" s="129"/>
      <c r="AS123" s="129"/>
      <c r="AT123" s="129"/>
      <c r="AU123" s="129"/>
      <c r="AV123" s="129"/>
      <c r="AW123" s="129"/>
      <c r="AX123" s="197"/>
      <c r="AY123" s="197"/>
      <c r="AZ123" s="197"/>
      <c r="BA123" s="197"/>
      <c r="BB123" s="129"/>
      <c r="BC123" s="129"/>
      <c r="BD123" s="129"/>
      <c r="BE123" s="129"/>
      <c r="BF123" s="129"/>
      <c r="BG123" s="129"/>
      <c r="BH123" s="129"/>
      <c r="BI123" s="129"/>
      <c r="BJ123" s="129"/>
      <c r="BK123" s="129"/>
      <c r="BL123" s="129"/>
      <c r="BM123" s="197"/>
    </row>
    <row r="124" spans="1:65" x14ac:dyDescent="0.25">
      <c r="A124" s="121" t="s">
        <v>141</v>
      </c>
      <c r="B124" s="121" t="s">
        <v>23</v>
      </c>
      <c r="C124" s="172" t="s">
        <v>222</v>
      </c>
      <c r="D124" s="161">
        <v>10</v>
      </c>
      <c r="E124" s="29" t="str">
        <f>INDEX(ra_ScName,MATCH(D124,ra_ScNumber,0))</f>
        <v>Disclosed nominal return (incl actual asset revaluations)</v>
      </c>
      <c r="F124" s="122">
        <v>0</v>
      </c>
      <c r="G124" s="122">
        <v>0</v>
      </c>
      <c r="H124" s="122">
        <v>0</v>
      </c>
      <c r="I124" s="122">
        <v>0</v>
      </c>
      <c r="J124" s="122">
        <v>0</v>
      </c>
      <c r="K124" s="122">
        <v>0</v>
      </c>
      <c r="L124" s="122">
        <v>0</v>
      </c>
      <c r="M124" s="122">
        <v>0</v>
      </c>
      <c r="N124" s="122">
        <v>0</v>
      </c>
      <c r="O124" s="122">
        <v>0</v>
      </c>
      <c r="P124" s="122">
        <v>0</v>
      </c>
      <c r="Q124" s="122">
        <v>0</v>
      </c>
      <c r="R124" s="122">
        <v>0</v>
      </c>
      <c r="S124" s="122">
        <v>0</v>
      </c>
      <c r="T124" s="122">
        <v>0</v>
      </c>
      <c r="U124" s="122">
        <v>0</v>
      </c>
      <c r="V124" s="122">
        <v>0</v>
      </c>
      <c r="W124" s="122">
        <v>0</v>
      </c>
      <c r="X124" s="122">
        <v>0</v>
      </c>
      <c r="Y124" s="122">
        <v>0</v>
      </c>
      <c r="Z124" s="122">
        <v>0</v>
      </c>
      <c r="AA124" s="122">
        <v>0</v>
      </c>
      <c r="AB124" s="122">
        <v>0</v>
      </c>
      <c r="AC124" s="122">
        <v>0</v>
      </c>
      <c r="AD124" s="122">
        <v>0</v>
      </c>
      <c r="AE124" s="122">
        <v>0</v>
      </c>
      <c r="AF124" s="122">
        <v>0</v>
      </c>
      <c r="AG124" s="122">
        <v>0</v>
      </c>
      <c r="AH124" s="122">
        <v>0</v>
      </c>
      <c r="AI124" s="117">
        <f t="shared" si="2"/>
        <v>0</v>
      </c>
      <c r="AJ124" s="117">
        <f>SUM(F124:U124)</f>
        <v>0</v>
      </c>
      <c r="AK124" s="117">
        <f t="shared" si="3"/>
        <v>0</v>
      </c>
      <c r="AL124" s="23"/>
      <c r="AM124" s="127" t="b">
        <f>IF(INDEX($AO124:$BM124,0,$F$14)=1,TRUE,FALSE)</f>
        <v>1</v>
      </c>
      <c r="AN124" s="127" t="str">
        <f>IF(AM124,A124&amp;", "&amp;B124,"")</f>
        <v>Rates, 2010/11</v>
      </c>
      <c r="AO124" s="129"/>
      <c r="AP124" s="129"/>
      <c r="AQ124" s="129">
        <v>1</v>
      </c>
      <c r="AR124" s="129">
        <v>1</v>
      </c>
      <c r="AS124" s="129">
        <v>1</v>
      </c>
      <c r="AT124" s="129">
        <v>1</v>
      </c>
      <c r="AU124" s="129">
        <v>1</v>
      </c>
      <c r="AV124" s="129">
        <v>1</v>
      </c>
      <c r="AW124" s="129">
        <v>1</v>
      </c>
      <c r="AX124" s="197">
        <v>1</v>
      </c>
      <c r="AY124" s="197">
        <v>1</v>
      </c>
      <c r="AZ124" s="197">
        <v>1</v>
      </c>
      <c r="BA124" s="197">
        <v>1</v>
      </c>
      <c r="BB124" s="129">
        <v>1</v>
      </c>
      <c r="BC124" s="129">
        <v>1</v>
      </c>
      <c r="BD124" s="129">
        <v>1</v>
      </c>
      <c r="BE124" s="129">
        <v>1</v>
      </c>
      <c r="BF124" s="129">
        <v>1</v>
      </c>
      <c r="BG124" s="129">
        <v>1</v>
      </c>
      <c r="BH124" s="129">
        <v>1</v>
      </c>
      <c r="BI124" s="129">
        <v>1</v>
      </c>
      <c r="BJ124" s="129">
        <v>1</v>
      </c>
      <c r="BK124" s="129">
        <v>1</v>
      </c>
      <c r="BL124" s="129">
        <v>1</v>
      </c>
      <c r="BM124" s="197">
        <v>1</v>
      </c>
    </row>
    <row r="125" spans="1:65" x14ac:dyDescent="0.25">
      <c r="A125" s="121" t="s">
        <v>141</v>
      </c>
      <c r="B125" s="121" t="s">
        <v>24</v>
      </c>
      <c r="C125" s="172" t="s">
        <v>222</v>
      </c>
      <c r="D125" s="161">
        <v>10</v>
      </c>
      <c r="E125" s="29" t="str">
        <f>INDEX(ra_ScName,MATCH(D125,ra_ScNumber,0))</f>
        <v>Disclosed nominal return (incl actual asset revaluations)</v>
      </c>
      <c r="F125" s="122">
        <v>0</v>
      </c>
      <c r="G125" s="122">
        <v>0</v>
      </c>
      <c r="H125" s="122">
        <v>0</v>
      </c>
      <c r="I125" s="122">
        <v>0</v>
      </c>
      <c r="J125" s="122">
        <v>0</v>
      </c>
      <c r="K125" s="122">
        <v>0</v>
      </c>
      <c r="L125" s="122">
        <v>0</v>
      </c>
      <c r="M125" s="122">
        <v>0</v>
      </c>
      <c r="N125" s="122">
        <v>0</v>
      </c>
      <c r="O125" s="122">
        <v>0</v>
      </c>
      <c r="P125" s="122">
        <v>0</v>
      </c>
      <c r="Q125" s="122">
        <v>0</v>
      </c>
      <c r="R125" s="122">
        <v>0</v>
      </c>
      <c r="S125" s="122">
        <v>0</v>
      </c>
      <c r="T125" s="122">
        <v>0</v>
      </c>
      <c r="U125" s="122">
        <v>0</v>
      </c>
      <c r="V125" s="122">
        <v>0</v>
      </c>
      <c r="W125" s="122">
        <v>0</v>
      </c>
      <c r="X125" s="122">
        <v>0</v>
      </c>
      <c r="Y125" s="122">
        <v>0</v>
      </c>
      <c r="Z125" s="122">
        <v>0</v>
      </c>
      <c r="AA125" s="122">
        <v>0</v>
      </c>
      <c r="AB125" s="122">
        <v>0</v>
      </c>
      <c r="AC125" s="122">
        <v>0</v>
      </c>
      <c r="AD125" s="122">
        <v>0</v>
      </c>
      <c r="AE125" s="122">
        <v>0</v>
      </c>
      <c r="AF125" s="122">
        <v>0</v>
      </c>
      <c r="AG125" s="122">
        <v>0</v>
      </c>
      <c r="AH125" s="122">
        <v>0</v>
      </c>
      <c r="AI125" s="117">
        <f t="shared" si="2"/>
        <v>0</v>
      </c>
      <c r="AJ125" s="117">
        <f>SUM(F125:U125)</f>
        <v>0</v>
      </c>
      <c r="AK125" s="117">
        <f t="shared" si="3"/>
        <v>0</v>
      </c>
      <c r="AL125" s="23"/>
      <c r="AM125" s="127" t="b">
        <f>IF(INDEX($AO125:$BM125,0,$F$14)=1,TRUE,FALSE)</f>
        <v>1</v>
      </c>
      <c r="AN125" s="127" t="str">
        <f>IF(AM125,A125&amp;", "&amp;B125,"")</f>
        <v>Rates, 2011/12</v>
      </c>
      <c r="AO125" s="129"/>
      <c r="AP125" s="129"/>
      <c r="AQ125" s="129">
        <v>1</v>
      </c>
      <c r="AR125" s="129">
        <v>1</v>
      </c>
      <c r="AS125" s="129">
        <v>1</v>
      </c>
      <c r="AT125" s="129">
        <v>1</v>
      </c>
      <c r="AU125" s="129">
        <v>1</v>
      </c>
      <c r="AV125" s="129">
        <v>1</v>
      </c>
      <c r="AW125" s="129">
        <v>1</v>
      </c>
      <c r="AX125" s="197">
        <v>1</v>
      </c>
      <c r="AY125" s="197">
        <v>1</v>
      </c>
      <c r="AZ125" s="197">
        <v>1</v>
      </c>
      <c r="BA125" s="197">
        <v>1</v>
      </c>
      <c r="BB125" s="129">
        <v>1</v>
      </c>
      <c r="BC125" s="129">
        <v>1</v>
      </c>
      <c r="BD125" s="129">
        <v>1</v>
      </c>
      <c r="BE125" s="129">
        <v>1</v>
      </c>
      <c r="BF125" s="129">
        <v>1</v>
      </c>
      <c r="BG125" s="129">
        <v>1</v>
      </c>
      <c r="BH125" s="129">
        <v>1</v>
      </c>
      <c r="BI125" s="129">
        <v>1</v>
      </c>
      <c r="BJ125" s="129">
        <v>1</v>
      </c>
      <c r="BK125" s="129">
        <v>1</v>
      </c>
      <c r="BL125" s="129">
        <v>1</v>
      </c>
      <c r="BM125" s="197">
        <v>1</v>
      </c>
    </row>
    <row r="126" spans="1:65" x14ac:dyDescent="0.25">
      <c r="A126" s="121" t="s">
        <v>141</v>
      </c>
      <c r="B126" s="121" t="s">
        <v>25</v>
      </c>
      <c r="C126" s="172" t="s">
        <v>209</v>
      </c>
      <c r="D126" s="161">
        <v>10</v>
      </c>
      <c r="E126" s="29" t="str">
        <f>INDEX(ra_ScName,MATCH(D126,ra_ScNumber,0))</f>
        <v>Disclosed nominal return (incl actual asset revaluations)</v>
      </c>
      <c r="F126" s="122">
        <v>0</v>
      </c>
      <c r="G126" s="122">
        <v>0</v>
      </c>
      <c r="H126" s="122">
        <v>20</v>
      </c>
      <c r="I126" s="122">
        <v>0</v>
      </c>
      <c r="J126" s="122">
        <v>0</v>
      </c>
      <c r="K126" s="122">
        <v>0</v>
      </c>
      <c r="L126" s="122">
        <v>0</v>
      </c>
      <c r="M126" s="122">
        <v>0</v>
      </c>
      <c r="N126" s="122">
        <v>0</v>
      </c>
      <c r="O126" s="122">
        <v>0</v>
      </c>
      <c r="P126" s="122">
        <v>0</v>
      </c>
      <c r="Q126" s="122">
        <v>0</v>
      </c>
      <c r="R126" s="122">
        <v>0</v>
      </c>
      <c r="S126" s="122">
        <v>0</v>
      </c>
      <c r="T126" s="122">
        <v>0</v>
      </c>
      <c r="U126" s="122">
        <v>0</v>
      </c>
      <c r="V126" s="122">
        <v>0</v>
      </c>
      <c r="W126" s="122">
        <v>0</v>
      </c>
      <c r="X126" s="122">
        <v>0</v>
      </c>
      <c r="Y126" s="122">
        <v>0</v>
      </c>
      <c r="Z126" s="122">
        <v>196</v>
      </c>
      <c r="AA126" s="122">
        <v>0</v>
      </c>
      <c r="AB126" s="122">
        <v>0</v>
      </c>
      <c r="AC126" s="122">
        <v>0</v>
      </c>
      <c r="AD126" s="122">
        <v>0</v>
      </c>
      <c r="AE126" s="122">
        <v>126</v>
      </c>
      <c r="AF126" s="122">
        <v>0</v>
      </c>
      <c r="AG126" s="122">
        <v>0</v>
      </c>
      <c r="AH126" s="122">
        <v>0</v>
      </c>
      <c r="AI126" s="117">
        <f t="shared" si="2"/>
        <v>342</v>
      </c>
      <c r="AJ126" s="117">
        <f>SUM(F126:U126)</f>
        <v>20</v>
      </c>
      <c r="AK126" s="117">
        <f t="shared" si="3"/>
        <v>322</v>
      </c>
      <c r="AL126" s="23"/>
      <c r="AM126" s="127" t="b">
        <f>IF(INDEX($AO126:$BM126,0,$F$14)=1,TRUE,FALSE)</f>
        <v>1</v>
      </c>
      <c r="AN126" s="127" t="str">
        <f>IF(AM126,A126&amp;", "&amp;B126,"")</f>
        <v>Rates, 2012/13</v>
      </c>
      <c r="AO126" s="129"/>
      <c r="AP126" s="129"/>
      <c r="AQ126" s="129">
        <v>1</v>
      </c>
      <c r="AR126" s="129">
        <v>1</v>
      </c>
      <c r="AS126" s="129">
        <v>1</v>
      </c>
      <c r="AT126" s="129">
        <v>1</v>
      </c>
      <c r="AU126" s="129">
        <v>1</v>
      </c>
      <c r="AV126" s="129">
        <v>1</v>
      </c>
      <c r="AW126" s="129">
        <v>1</v>
      </c>
      <c r="AX126" s="197">
        <v>1</v>
      </c>
      <c r="AY126" s="197">
        <v>1</v>
      </c>
      <c r="AZ126" s="197">
        <v>1</v>
      </c>
      <c r="BA126" s="197">
        <v>1</v>
      </c>
      <c r="BB126" s="129">
        <v>1</v>
      </c>
      <c r="BC126" s="129">
        <v>1</v>
      </c>
      <c r="BD126" s="129">
        <v>1</v>
      </c>
      <c r="BE126" s="129">
        <v>1</v>
      </c>
      <c r="BF126" s="129">
        <v>1</v>
      </c>
      <c r="BG126" s="129">
        <v>1</v>
      </c>
      <c r="BH126" s="129">
        <v>1</v>
      </c>
      <c r="BI126" s="129">
        <v>1</v>
      </c>
      <c r="BJ126" s="129">
        <v>1</v>
      </c>
      <c r="BK126" s="129">
        <v>1</v>
      </c>
      <c r="BL126" s="129">
        <v>1</v>
      </c>
      <c r="BM126" s="197">
        <v>1</v>
      </c>
    </row>
    <row r="127" spans="1:65" x14ac:dyDescent="0.25">
      <c r="A127" s="121" t="s">
        <v>141</v>
      </c>
      <c r="B127" s="121" t="s">
        <v>26</v>
      </c>
      <c r="C127" s="172" t="s">
        <v>209</v>
      </c>
      <c r="D127" s="161">
        <v>10</v>
      </c>
      <c r="E127" s="29" t="str">
        <f>INDEX(ra_ScName,MATCH(D127,ra_ScNumber,0))</f>
        <v>Disclosed nominal return (incl actual asset revaluations)</v>
      </c>
      <c r="F127" s="122">
        <v>0</v>
      </c>
      <c r="G127" s="122">
        <v>0</v>
      </c>
      <c r="H127" s="122">
        <v>40</v>
      </c>
      <c r="I127" s="122">
        <v>0</v>
      </c>
      <c r="J127" s="122">
        <v>0</v>
      </c>
      <c r="K127" s="122">
        <v>0</v>
      </c>
      <c r="L127" s="122">
        <v>0</v>
      </c>
      <c r="M127" s="122">
        <v>0</v>
      </c>
      <c r="N127" s="122">
        <v>0</v>
      </c>
      <c r="O127" s="122">
        <v>0</v>
      </c>
      <c r="P127" s="122">
        <v>0</v>
      </c>
      <c r="Q127" s="122">
        <v>0</v>
      </c>
      <c r="R127" s="122">
        <v>0</v>
      </c>
      <c r="S127" s="122">
        <v>0</v>
      </c>
      <c r="T127" s="122">
        <v>0</v>
      </c>
      <c r="U127" s="122">
        <v>0</v>
      </c>
      <c r="V127" s="122">
        <v>0</v>
      </c>
      <c r="W127" s="122">
        <v>0</v>
      </c>
      <c r="X127" s="122">
        <v>0</v>
      </c>
      <c r="Y127" s="122">
        <v>0</v>
      </c>
      <c r="Z127" s="122">
        <v>220</v>
      </c>
      <c r="AA127" s="122">
        <v>0</v>
      </c>
      <c r="AB127" s="122">
        <v>0</v>
      </c>
      <c r="AC127" s="122">
        <v>0</v>
      </c>
      <c r="AD127" s="122">
        <v>0</v>
      </c>
      <c r="AE127" s="122">
        <v>153</v>
      </c>
      <c r="AF127" s="122">
        <v>0</v>
      </c>
      <c r="AG127" s="122">
        <v>0</v>
      </c>
      <c r="AH127" s="122">
        <v>0</v>
      </c>
      <c r="AI127" s="117">
        <f t="shared" si="2"/>
        <v>413</v>
      </c>
      <c r="AJ127" s="117">
        <f>SUM(F127:U127)</f>
        <v>40</v>
      </c>
      <c r="AK127" s="117">
        <f t="shared" si="3"/>
        <v>373</v>
      </c>
      <c r="AL127" s="23"/>
      <c r="AM127" s="127" t="b">
        <f>IF(INDEX($AO127:$BM127,0,$F$14)=1,TRUE,FALSE)</f>
        <v>1</v>
      </c>
      <c r="AN127" s="127" t="str">
        <f>IF(AM127,A127&amp;", "&amp;B127,"")</f>
        <v>Rates, 2013/14</v>
      </c>
      <c r="AO127" s="129"/>
      <c r="AP127" s="129"/>
      <c r="AQ127" s="129">
        <v>1</v>
      </c>
      <c r="AR127" s="129">
        <v>1</v>
      </c>
      <c r="AS127" s="129">
        <v>1</v>
      </c>
      <c r="AT127" s="129">
        <v>1</v>
      </c>
      <c r="AU127" s="129">
        <v>1</v>
      </c>
      <c r="AV127" s="129">
        <v>1</v>
      </c>
      <c r="AW127" s="129">
        <v>1</v>
      </c>
      <c r="AX127" s="197">
        <v>1</v>
      </c>
      <c r="AY127" s="197">
        <v>1</v>
      </c>
      <c r="AZ127" s="197">
        <v>1</v>
      </c>
      <c r="BA127" s="197">
        <v>1</v>
      </c>
      <c r="BB127" s="129">
        <v>1</v>
      </c>
      <c r="BC127" s="129">
        <v>1</v>
      </c>
      <c r="BD127" s="129">
        <v>1</v>
      </c>
      <c r="BE127" s="129">
        <v>1</v>
      </c>
      <c r="BF127" s="129">
        <v>1</v>
      </c>
      <c r="BG127" s="129">
        <v>1</v>
      </c>
      <c r="BH127" s="129">
        <v>1</v>
      </c>
      <c r="BI127" s="129">
        <v>1</v>
      </c>
      <c r="BJ127" s="129">
        <v>1</v>
      </c>
      <c r="BK127" s="129">
        <v>1</v>
      </c>
      <c r="BL127" s="129">
        <v>1</v>
      </c>
      <c r="BM127" s="197">
        <v>1</v>
      </c>
    </row>
    <row r="128" spans="1:65" x14ac:dyDescent="0.25">
      <c r="A128" s="121" t="s">
        <v>141</v>
      </c>
      <c r="B128" s="121" t="s">
        <v>27</v>
      </c>
      <c r="C128" s="172" t="s">
        <v>209</v>
      </c>
      <c r="D128" s="161">
        <v>10</v>
      </c>
      <c r="E128" s="29" t="str">
        <f>INDEX(ra_ScName,MATCH(D128,ra_ScNumber,0))</f>
        <v>Disclosed nominal return (incl actual asset revaluations)</v>
      </c>
      <c r="F128" s="122">
        <v>60</v>
      </c>
      <c r="G128" s="122">
        <v>979</v>
      </c>
      <c r="H128" s="122">
        <v>45</v>
      </c>
      <c r="I128" s="122">
        <v>203.66152</v>
      </c>
      <c r="J128" s="122">
        <v>183</v>
      </c>
      <c r="K128" s="122">
        <v>101.471</v>
      </c>
      <c r="L128" s="122">
        <v>183.94833043478266</v>
      </c>
      <c r="M128" s="122">
        <v>27</v>
      </c>
      <c r="N128" s="122">
        <v>39</v>
      </c>
      <c r="O128" s="122">
        <v>104.02600000000001</v>
      </c>
      <c r="P128" s="122">
        <v>1253.7008199999989</v>
      </c>
      <c r="Q128" s="122">
        <v>190</v>
      </c>
      <c r="R128" s="122">
        <v>28.365163043478262</v>
      </c>
      <c r="S128" s="122">
        <v>771.43389000000002</v>
      </c>
      <c r="T128" s="122">
        <v>8353</v>
      </c>
      <c r="U128" s="122">
        <v>2442.93795</v>
      </c>
      <c r="V128" s="122">
        <v>2967.1</v>
      </c>
      <c r="W128" s="122">
        <v>21.835519999999999</v>
      </c>
      <c r="X128" s="122">
        <v>330</v>
      </c>
      <c r="Y128" s="122">
        <v>64.856440000000006</v>
      </c>
      <c r="Z128" s="122">
        <v>243</v>
      </c>
      <c r="AA128" s="122">
        <v>63</v>
      </c>
      <c r="AB128" s="122">
        <v>102</v>
      </c>
      <c r="AC128" s="122">
        <v>61</v>
      </c>
      <c r="AD128" s="122">
        <v>10.974540000000001</v>
      </c>
      <c r="AE128" s="122">
        <v>165</v>
      </c>
      <c r="AF128" s="122">
        <v>90.007999999999996</v>
      </c>
      <c r="AG128" s="122">
        <v>370.46440999999999</v>
      </c>
      <c r="AH128" s="122">
        <v>48</v>
      </c>
      <c r="AI128" s="117">
        <f t="shared" si="2"/>
        <v>19502.78358347826</v>
      </c>
      <c r="AJ128" s="117">
        <f>SUM(F128:U128)</f>
        <v>14965.54467347826</v>
      </c>
      <c r="AK128" s="117">
        <f t="shared" si="3"/>
        <v>1570.1389100000001</v>
      </c>
      <c r="AL128" s="23"/>
      <c r="AM128" s="127" t="b">
        <f>IF(INDEX($AO128:$BM128,0,$F$14)=1,TRUE,FALSE)</f>
        <v>1</v>
      </c>
      <c r="AN128" s="127" t="str">
        <f>IF(AM128,A128&amp;", "&amp;B128,"")</f>
        <v>Rates, 2014/15</v>
      </c>
      <c r="AO128" s="129"/>
      <c r="AP128" s="129"/>
      <c r="AQ128" s="129">
        <v>1</v>
      </c>
      <c r="AR128" s="129">
        <v>1</v>
      </c>
      <c r="AS128" s="129">
        <v>1</v>
      </c>
      <c r="AT128" s="129">
        <v>1</v>
      </c>
      <c r="AU128" s="129">
        <v>1</v>
      </c>
      <c r="AV128" s="129">
        <v>1</v>
      </c>
      <c r="AW128" s="129">
        <v>1</v>
      </c>
      <c r="AX128" s="197">
        <v>1</v>
      </c>
      <c r="AY128" s="197">
        <v>1</v>
      </c>
      <c r="AZ128" s="197">
        <v>1</v>
      </c>
      <c r="BA128" s="197">
        <v>1</v>
      </c>
      <c r="BB128" s="129">
        <v>1</v>
      </c>
      <c r="BC128" s="129">
        <v>1</v>
      </c>
      <c r="BD128" s="129">
        <v>1</v>
      </c>
      <c r="BE128" s="129">
        <v>1</v>
      </c>
      <c r="BF128" s="129">
        <v>1</v>
      </c>
      <c r="BG128" s="129">
        <v>1</v>
      </c>
      <c r="BH128" s="129">
        <v>1</v>
      </c>
      <c r="BI128" s="129">
        <v>1</v>
      </c>
      <c r="BJ128" s="129">
        <v>1</v>
      </c>
      <c r="BK128" s="129">
        <v>1</v>
      </c>
      <c r="BL128" s="129">
        <v>1</v>
      </c>
      <c r="BM128" s="197">
        <v>1</v>
      </c>
    </row>
    <row r="129" spans="1:65" x14ac:dyDescent="0.25">
      <c r="A129" s="121"/>
      <c r="B129" s="121"/>
      <c r="C129" s="172"/>
      <c r="D129" s="49"/>
      <c r="E129" s="49"/>
      <c r="F129" s="54"/>
      <c r="G129" s="54"/>
      <c r="H129" s="54"/>
      <c r="I129" s="54"/>
      <c r="J129" s="54"/>
      <c r="K129" s="54"/>
      <c r="L129" s="54"/>
      <c r="M129" s="54"/>
      <c r="N129" s="54"/>
      <c r="O129" s="54"/>
      <c r="P129" s="54"/>
      <c r="Q129" s="54"/>
      <c r="R129" s="54"/>
      <c r="S129" s="54"/>
      <c r="T129" s="54"/>
      <c r="U129" s="54"/>
      <c r="V129" s="54"/>
      <c r="W129" s="55"/>
      <c r="X129" s="55"/>
      <c r="Y129" s="55"/>
      <c r="Z129" s="55"/>
      <c r="AA129" s="55"/>
      <c r="AB129" s="55"/>
      <c r="AC129" s="55"/>
      <c r="AD129" s="55"/>
      <c r="AE129" s="55"/>
      <c r="AF129" s="55"/>
      <c r="AG129" s="55"/>
      <c r="AH129" s="55"/>
      <c r="AI129" s="54"/>
      <c r="AJ129" s="54"/>
      <c r="AK129" s="54"/>
      <c r="AL129" s="23"/>
      <c r="AM129" s="127"/>
      <c r="AN129" s="127"/>
      <c r="AO129" s="129"/>
      <c r="AP129" s="129"/>
      <c r="AQ129" s="129"/>
      <c r="AR129" s="129"/>
      <c r="AS129" s="129"/>
      <c r="AT129" s="129"/>
      <c r="AU129" s="129"/>
      <c r="AV129" s="129"/>
      <c r="AW129" s="129"/>
      <c r="AX129" s="197"/>
      <c r="AY129" s="197"/>
      <c r="AZ129" s="197"/>
      <c r="BA129" s="197"/>
      <c r="BB129" s="129"/>
      <c r="BC129" s="129"/>
      <c r="BD129" s="129"/>
      <c r="BE129" s="129"/>
      <c r="BF129" s="129"/>
      <c r="BG129" s="129"/>
      <c r="BH129" s="129"/>
      <c r="BI129" s="129"/>
      <c r="BJ129" s="129"/>
      <c r="BK129" s="129"/>
      <c r="BL129" s="129"/>
      <c r="BM129" s="197"/>
    </row>
    <row r="130" spans="1:65" x14ac:dyDescent="0.25">
      <c r="A130" s="121"/>
      <c r="B130" s="121"/>
      <c r="C130" s="172"/>
      <c r="D130" s="46"/>
      <c r="E130" s="46"/>
      <c r="F130" s="54"/>
      <c r="G130" s="54"/>
      <c r="H130" s="54"/>
      <c r="I130" s="54"/>
      <c r="J130" s="54"/>
      <c r="K130" s="54"/>
      <c r="L130" s="54"/>
      <c r="M130" s="54"/>
      <c r="N130" s="54"/>
      <c r="O130" s="54"/>
      <c r="P130" s="54"/>
      <c r="Q130" s="54"/>
      <c r="R130" s="54"/>
      <c r="S130" s="54"/>
      <c r="T130" s="54"/>
      <c r="U130" s="54"/>
      <c r="V130" s="54"/>
      <c r="W130" s="55"/>
      <c r="X130" s="55"/>
      <c r="Y130" s="55"/>
      <c r="Z130" s="55"/>
      <c r="AA130" s="55"/>
      <c r="AB130" s="55"/>
      <c r="AC130" s="55"/>
      <c r="AD130" s="55"/>
      <c r="AE130" s="55"/>
      <c r="AF130" s="55"/>
      <c r="AG130" s="55"/>
      <c r="AH130" s="55"/>
      <c r="AI130" s="54"/>
      <c r="AJ130" s="54"/>
      <c r="AK130" s="54"/>
      <c r="AL130" s="23"/>
      <c r="AM130" s="127"/>
      <c r="AN130" s="127"/>
      <c r="AO130" s="129"/>
      <c r="AP130" s="129"/>
      <c r="AQ130" s="129"/>
      <c r="AR130" s="129"/>
      <c r="AS130" s="129"/>
      <c r="AT130" s="129"/>
      <c r="AU130" s="129"/>
      <c r="AV130" s="129"/>
      <c r="AW130" s="129"/>
      <c r="AX130" s="197"/>
      <c r="AY130" s="197"/>
      <c r="AZ130" s="197"/>
      <c r="BA130" s="197"/>
      <c r="BB130" s="129"/>
      <c r="BC130" s="129"/>
      <c r="BD130" s="129"/>
      <c r="BE130" s="129"/>
      <c r="BF130" s="129"/>
      <c r="BG130" s="129"/>
      <c r="BH130" s="129"/>
      <c r="BI130" s="129"/>
      <c r="BJ130" s="129"/>
      <c r="BK130" s="129"/>
      <c r="BL130" s="129"/>
      <c r="BM130" s="197"/>
    </row>
    <row r="131" spans="1:65" x14ac:dyDescent="0.25">
      <c r="A131" s="121" t="s">
        <v>142</v>
      </c>
      <c r="B131" s="121" t="s">
        <v>23</v>
      </c>
      <c r="C131" s="172" t="s">
        <v>222</v>
      </c>
      <c r="D131" s="161">
        <v>1</v>
      </c>
      <c r="E131" s="29" t="str">
        <f>INDEX(ra_ScName,MATCH(D131,ra_ScNumber,0))</f>
        <v>Expected nominal return (incl forecast asset revaluations)</v>
      </c>
      <c r="F131" s="54"/>
      <c r="G131" s="54"/>
      <c r="H131" s="54"/>
      <c r="I131" s="54"/>
      <c r="J131" s="54"/>
      <c r="K131" s="54"/>
      <c r="L131" s="54"/>
      <c r="M131" s="54"/>
      <c r="N131" s="54"/>
      <c r="O131" s="54"/>
      <c r="P131" s="54"/>
      <c r="Q131" s="54"/>
      <c r="R131" s="54"/>
      <c r="S131" s="54"/>
      <c r="T131" s="54"/>
      <c r="U131" s="54"/>
      <c r="V131" s="54"/>
      <c r="W131" s="55"/>
      <c r="X131" s="55"/>
      <c r="Y131" s="55"/>
      <c r="Z131" s="55"/>
      <c r="AA131" s="55"/>
      <c r="AB131" s="55"/>
      <c r="AC131" s="55"/>
      <c r="AD131" s="55"/>
      <c r="AE131" s="55"/>
      <c r="AF131" s="55"/>
      <c r="AG131" s="55"/>
      <c r="AH131" s="55"/>
      <c r="AI131" s="117">
        <f t="shared" si="2"/>
        <v>0</v>
      </c>
      <c r="AJ131" s="117">
        <f>SUM(F131:U131)</f>
        <v>0</v>
      </c>
      <c r="AK131" s="117">
        <f t="shared" si="3"/>
        <v>0</v>
      </c>
      <c r="AL131" s="23"/>
      <c r="AM131" s="127" t="b">
        <f>IF(INDEX($AO131:$BM131,0,$F$14)=1,TRUE,FALSE)</f>
        <v>0</v>
      </c>
      <c r="AN131" s="127" t="str">
        <f>IF(AM131,A131&amp;", "&amp;B131,"")</f>
        <v/>
      </c>
      <c r="AO131" s="129">
        <v>1</v>
      </c>
      <c r="AP131" s="129">
        <v>1</v>
      </c>
      <c r="AQ131" s="129"/>
      <c r="AR131" s="129"/>
      <c r="AS131" s="129"/>
      <c r="AT131" s="129"/>
      <c r="AU131" s="129"/>
      <c r="AV131" s="129"/>
      <c r="AW131" s="129"/>
      <c r="AX131" s="197"/>
      <c r="AY131" s="197"/>
      <c r="AZ131" s="197"/>
      <c r="BA131" s="197"/>
      <c r="BB131" s="129"/>
      <c r="BC131" s="129"/>
      <c r="BD131" s="129"/>
      <c r="BE131" s="129"/>
      <c r="BF131" s="129"/>
      <c r="BG131" s="129"/>
      <c r="BH131" s="129"/>
      <c r="BI131" s="129"/>
      <c r="BJ131" s="129"/>
      <c r="BK131" s="129"/>
      <c r="BL131" s="129"/>
      <c r="BM131" s="197"/>
    </row>
    <row r="132" spans="1:65" x14ac:dyDescent="0.25">
      <c r="A132" s="121" t="s">
        <v>142</v>
      </c>
      <c r="B132" s="121" t="s">
        <v>24</v>
      </c>
      <c r="C132" s="172" t="s">
        <v>222</v>
      </c>
      <c r="D132" s="161">
        <v>1</v>
      </c>
      <c r="E132" s="29" t="str">
        <f>INDEX(ra_ScName,MATCH(D132,ra_ScNumber,0))</f>
        <v>Expected nominal return (incl forecast asset revaluations)</v>
      </c>
      <c r="F132" s="54"/>
      <c r="G132" s="54"/>
      <c r="H132" s="54"/>
      <c r="I132" s="54"/>
      <c r="J132" s="54"/>
      <c r="K132" s="54"/>
      <c r="L132" s="54"/>
      <c r="M132" s="54"/>
      <c r="N132" s="54"/>
      <c r="O132" s="54"/>
      <c r="P132" s="54"/>
      <c r="Q132" s="54"/>
      <c r="R132" s="54"/>
      <c r="S132" s="54"/>
      <c r="T132" s="54"/>
      <c r="U132" s="54"/>
      <c r="V132" s="54"/>
      <c r="W132" s="55"/>
      <c r="X132" s="55"/>
      <c r="Y132" s="55"/>
      <c r="Z132" s="55"/>
      <c r="AA132" s="55"/>
      <c r="AB132" s="55"/>
      <c r="AC132" s="55"/>
      <c r="AD132" s="55"/>
      <c r="AE132" s="55"/>
      <c r="AF132" s="55"/>
      <c r="AG132" s="55"/>
      <c r="AH132" s="55"/>
      <c r="AI132" s="117">
        <f t="shared" si="2"/>
        <v>0</v>
      </c>
      <c r="AJ132" s="117">
        <f>SUM(F132:U132)</f>
        <v>0</v>
      </c>
      <c r="AK132" s="117">
        <f t="shared" si="3"/>
        <v>0</v>
      </c>
      <c r="AL132" s="23"/>
      <c r="AM132" s="127" t="b">
        <f>IF(INDEX($AO132:$BM132,0,$F$14)=1,TRUE,FALSE)</f>
        <v>0</v>
      </c>
      <c r="AN132" s="127" t="str">
        <f>IF(AM132,A132&amp;", "&amp;B132,"")</f>
        <v/>
      </c>
      <c r="AO132" s="129">
        <v>1</v>
      </c>
      <c r="AP132" s="129">
        <v>1</v>
      </c>
      <c r="AQ132" s="129"/>
      <c r="AR132" s="129"/>
      <c r="AS132" s="129"/>
      <c r="AT132" s="129"/>
      <c r="AU132" s="129"/>
      <c r="AV132" s="129"/>
      <c r="AW132" s="129"/>
      <c r="AX132" s="197"/>
      <c r="AY132" s="197"/>
      <c r="AZ132" s="197"/>
      <c r="BA132" s="197"/>
      <c r="BB132" s="129"/>
      <c r="BC132" s="129"/>
      <c r="BD132" s="129"/>
      <c r="BE132" s="129"/>
      <c r="BF132" s="129"/>
      <c r="BG132" s="129"/>
      <c r="BH132" s="129"/>
      <c r="BI132" s="129"/>
      <c r="BJ132" s="129"/>
      <c r="BK132" s="129"/>
      <c r="BL132" s="129"/>
      <c r="BM132" s="197"/>
    </row>
    <row r="133" spans="1:65" x14ac:dyDescent="0.25">
      <c r="A133" s="121" t="s">
        <v>142</v>
      </c>
      <c r="B133" s="121" t="s">
        <v>25</v>
      </c>
      <c r="C133" s="172" t="s">
        <v>222</v>
      </c>
      <c r="D133" s="161">
        <v>1</v>
      </c>
      <c r="E133" s="29" t="str">
        <f>INDEX(ra_ScName,MATCH(D133,ra_ScNumber,0))</f>
        <v>Expected nominal return (incl forecast asset revaluations)</v>
      </c>
      <c r="F133" s="54"/>
      <c r="G133" s="54"/>
      <c r="H133" s="54"/>
      <c r="I133" s="54"/>
      <c r="J133" s="54"/>
      <c r="K133" s="54"/>
      <c r="L133" s="54"/>
      <c r="M133" s="54"/>
      <c r="N133" s="54"/>
      <c r="O133" s="54"/>
      <c r="P133" s="54"/>
      <c r="Q133" s="54"/>
      <c r="R133" s="54"/>
      <c r="S133" s="54"/>
      <c r="T133" s="54"/>
      <c r="U133" s="54"/>
      <c r="V133" s="54"/>
      <c r="W133" s="55"/>
      <c r="X133" s="55"/>
      <c r="Y133" s="55"/>
      <c r="Z133" s="55"/>
      <c r="AA133" s="55"/>
      <c r="AB133" s="55"/>
      <c r="AC133" s="55"/>
      <c r="AD133" s="55"/>
      <c r="AE133" s="55"/>
      <c r="AF133" s="55"/>
      <c r="AG133" s="55"/>
      <c r="AH133" s="55"/>
      <c r="AI133" s="117">
        <f t="shared" si="2"/>
        <v>0</v>
      </c>
      <c r="AJ133" s="117">
        <f>SUM(F133:U133)</f>
        <v>0</v>
      </c>
      <c r="AK133" s="117">
        <f t="shared" si="3"/>
        <v>0</v>
      </c>
      <c r="AL133" s="23"/>
      <c r="AM133" s="127" t="b">
        <f>IF(INDEX($AO133:$BM133,0,$F$14)=1,TRUE,FALSE)</f>
        <v>0</v>
      </c>
      <c r="AN133" s="127" t="str">
        <f>IF(AM133,A133&amp;", "&amp;B133,"")</f>
        <v/>
      </c>
      <c r="AO133" s="129">
        <v>1</v>
      </c>
      <c r="AP133" s="129">
        <v>1</v>
      </c>
      <c r="AQ133" s="129"/>
      <c r="AR133" s="129"/>
      <c r="AS133" s="129"/>
      <c r="AT133" s="129"/>
      <c r="AU133" s="129"/>
      <c r="AV133" s="129"/>
      <c r="AW133" s="129"/>
      <c r="AX133" s="197"/>
      <c r="AY133" s="197"/>
      <c r="AZ133" s="197"/>
      <c r="BA133" s="197"/>
      <c r="BB133" s="129"/>
      <c r="BC133" s="129"/>
      <c r="BD133" s="129"/>
      <c r="BE133" s="129"/>
      <c r="BF133" s="129"/>
      <c r="BG133" s="129"/>
      <c r="BH133" s="129"/>
      <c r="BI133" s="129"/>
      <c r="BJ133" s="129"/>
      <c r="BK133" s="129"/>
      <c r="BL133" s="129"/>
      <c r="BM133" s="197"/>
    </row>
    <row r="134" spans="1:65" x14ac:dyDescent="0.25">
      <c r="A134" s="121" t="s">
        <v>142</v>
      </c>
      <c r="B134" s="121" t="s">
        <v>26</v>
      </c>
      <c r="C134" s="172" t="s">
        <v>222</v>
      </c>
      <c r="D134" s="161">
        <v>1</v>
      </c>
      <c r="E134" s="29" t="str">
        <f>INDEX(ra_ScName,MATCH(D134,ra_ScNumber,0))</f>
        <v>Expected nominal return (incl forecast asset revaluations)</v>
      </c>
      <c r="F134" s="54"/>
      <c r="G134" s="54"/>
      <c r="H134" s="54"/>
      <c r="I134" s="54"/>
      <c r="J134" s="54"/>
      <c r="K134" s="54"/>
      <c r="L134" s="54"/>
      <c r="M134" s="54"/>
      <c r="N134" s="54"/>
      <c r="O134" s="54"/>
      <c r="P134" s="54"/>
      <c r="Q134" s="54"/>
      <c r="R134" s="54"/>
      <c r="S134" s="54"/>
      <c r="T134" s="54"/>
      <c r="U134" s="54"/>
      <c r="V134" s="54"/>
      <c r="W134" s="55"/>
      <c r="X134" s="55"/>
      <c r="Y134" s="55"/>
      <c r="Z134" s="55"/>
      <c r="AA134" s="55"/>
      <c r="AB134" s="55"/>
      <c r="AC134" s="55"/>
      <c r="AD134" s="55"/>
      <c r="AE134" s="55"/>
      <c r="AF134" s="55"/>
      <c r="AG134" s="55"/>
      <c r="AH134" s="55"/>
      <c r="AI134" s="117">
        <f t="shared" si="2"/>
        <v>0</v>
      </c>
      <c r="AJ134" s="117">
        <f>SUM(F134:U134)</f>
        <v>0</v>
      </c>
      <c r="AK134" s="117">
        <f t="shared" si="3"/>
        <v>0</v>
      </c>
      <c r="AL134" s="23"/>
      <c r="AM134" s="127" t="b">
        <f>IF(INDEX($AO134:$BM134,0,$F$14)=1,TRUE,FALSE)</f>
        <v>0</v>
      </c>
      <c r="AN134" s="127" t="str">
        <f>IF(AM134,A134&amp;", "&amp;B134,"")</f>
        <v/>
      </c>
      <c r="AO134" s="129">
        <v>1</v>
      </c>
      <c r="AP134" s="129">
        <v>1</v>
      </c>
      <c r="AQ134" s="129"/>
      <c r="AR134" s="129"/>
      <c r="AS134" s="129"/>
      <c r="AT134" s="129"/>
      <c r="AU134" s="129"/>
      <c r="AV134" s="129"/>
      <c r="AW134" s="129"/>
      <c r="AX134" s="197"/>
      <c r="AY134" s="197"/>
      <c r="AZ134" s="197"/>
      <c r="BA134" s="197"/>
      <c r="BB134" s="129"/>
      <c r="BC134" s="129"/>
      <c r="BD134" s="129"/>
      <c r="BE134" s="129"/>
      <c r="BF134" s="129"/>
      <c r="BG134" s="129"/>
      <c r="BH134" s="129"/>
      <c r="BI134" s="129"/>
      <c r="BJ134" s="129"/>
      <c r="BK134" s="129"/>
      <c r="BL134" s="129"/>
      <c r="BM134" s="197"/>
    </row>
    <row r="135" spans="1:65" x14ac:dyDescent="0.25">
      <c r="A135" s="121" t="s">
        <v>142</v>
      </c>
      <c r="B135" s="121" t="s">
        <v>27</v>
      </c>
      <c r="C135" s="172" t="s">
        <v>222</v>
      </c>
      <c r="D135" s="161">
        <v>1</v>
      </c>
      <c r="E135" s="29" t="str">
        <f>INDEX(ra_ScName,MATCH(D135,ra_ScNumber,0))</f>
        <v>Expected nominal return (incl forecast asset revaluations)</v>
      </c>
      <c r="F135" s="54"/>
      <c r="G135" s="54"/>
      <c r="H135" s="54"/>
      <c r="I135" s="54"/>
      <c r="J135" s="54"/>
      <c r="K135" s="54"/>
      <c r="L135" s="54"/>
      <c r="M135" s="54"/>
      <c r="N135" s="54"/>
      <c r="O135" s="54"/>
      <c r="P135" s="54"/>
      <c r="Q135" s="54"/>
      <c r="R135" s="54"/>
      <c r="S135" s="54"/>
      <c r="T135" s="54"/>
      <c r="U135" s="54"/>
      <c r="V135" s="54"/>
      <c r="W135" s="55"/>
      <c r="X135" s="55"/>
      <c r="Y135" s="55"/>
      <c r="Z135" s="55"/>
      <c r="AA135" s="55"/>
      <c r="AB135" s="55"/>
      <c r="AC135" s="55"/>
      <c r="AD135" s="55"/>
      <c r="AE135" s="55"/>
      <c r="AF135" s="55"/>
      <c r="AG135" s="55"/>
      <c r="AH135" s="55"/>
      <c r="AI135" s="117">
        <f t="shared" si="2"/>
        <v>0</v>
      </c>
      <c r="AJ135" s="117">
        <f>SUM(F135:U135)</f>
        <v>0</v>
      </c>
      <c r="AK135" s="117">
        <f t="shared" si="3"/>
        <v>0</v>
      </c>
      <c r="AL135" s="23"/>
      <c r="AM135" s="127" t="b">
        <f>IF(INDEX($AO135:$BM135,0,$F$14)=1,TRUE,FALSE)</f>
        <v>0</v>
      </c>
      <c r="AN135" s="127" t="str">
        <f>IF(AM135,A135&amp;", "&amp;B135,"")</f>
        <v/>
      </c>
      <c r="AO135" s="129">
        <v>1</v>
      </c>
      <c r="AP135" s="129">
        <v>1</v>
      </c>
      <c r="AQ135" s="129"/>
      <c r="AR135" s="129"/>
      <c r="AS135" s="129"/>
      <c r="AT135" s="129"/>
      <c r="AU135" s="129"/>
      <c r="AV135" s="129"/>
      <c r="AW135" s="129"/>
      <c r="AX135" s="197"/>
      <c r="AY135" s="197"/>
      <c r="AZ135" s="197"/>
      <c r="BA135" s="197"/>
      <c r="BB135" s="129"/>
      <c r="BC135" s="129"/>
      <c r="BD135" s="129"/>
      <c r="BE135" s="129"/>
      <c r="BF135" s="129"/>
      <c r="BG135" s="129"/>
      <c r="BH135" s="129"/>
      <c r="BI135" s="129"/>
      <c r="BJ135" s="129"/>
      <c r="BK135" s="129"/>
      <c r="BL135" s="129"/>
      <c r="BM135" s="197"/>
    </row>
    <row r="136" spans="1:65" x14ac:dyDescent="0.25">
      <c r="A136" s="121"/>
      <c r="B136" s="121"/>
      <c r="C136" s="172"/>
      <c r="D136" s="49"/>
      <c r="E136" s="49"/>
      <c r="F136" s="54"/>
      <c r="G136" s="54"/>
      <c r="H136" s="54"/>
      <c r="I136" s="54"/>
      <c r="J136" s="54"/>
      <c r="K136" s="54"/>
      <c r="L136" s="54"/>
      <c r="M136" s="54"/>
      <c r="N136" s="54"/>
      <c r="O136" s="54"/>
      <c r="P136" s="54"/>
      <c r="Q136" s="54"/>
      <c r="R136" s="54"/>
      <c r="S136" s="54"/>
      <c r="T136" s="54"/>
      <c r="U136" s="54"/>
      <c r="V136" s="54"/>
      <c r="W136" s="55"/>
      <c r="X136" s="55"/>
      <c r="Y136" s="55"/>
      <c r="Z136" s="55"/>
      <c r="AA136" s="55"/>
      <c r="AB136" s="55"/>
      <c r="AC136" s="55"/>
      <c r="AD136" s="55"/>
      <c r="AE136" s="55"/>
      <c r="AF136" s="55"/>
      <c r="AG136" s="55"/>
      <c r="AH136" s="55"/>
      <c r="AI136" s="54"/>
      <c r="AJ136" s="54"/>
      <c r="AK136" s="54"/>
      <c r="AL136" s="23"/>
      <c r="AM136" s="127"/>
      <c r="AN136" s="127"/>
      <c r="AO136" s="129"/>
      <c r="AP136" s="129"/>
      <c r="AQ136" s="129"/>
      <c r="AR136" s="129"/>
      <c r="AS136" s="129"/>
      <c r="AT136" s="129"/>
      <c r="AU136" s="129"/>
      <c r="AV136" s="129"/>
      <c r="AW136" s="129"/>
      <c r="AX136" s="197"/>
      <c r="AY136" s="197"/>
      <c r="AZ136" s="197"/>
      <c r="BA136" s="197"/>
      <c r="BB136" s="129"/>
      <c r="BC136" s="129"/>
      <c r="BD136" s="129"/>
      <c r="BE136" s="129"/>
      <c r="BF136" s="129"/>
      <c r="BG136" s="129"/>
      <c r="BH136" s="129"/>
      <c r="BI136" s="129"/>
      <c r="BJ136" s="129"/>
      <c r="BK136" s="129"/>
      <c r="BL136" s="129"/>
      <c r="BM136" s="197"/>
    </row>
    <row r="137" spans="1:65" x14ac:dyDescent="0.25">
      <c r="A137" s="121"/>
      <c r="B137" s="121"/>
      <c r="C137" s="172"/>
      <c r="D137" s="46"/>
      <c r="E137" s="46"/>
      <c r="F137" s="54"/>
      <c r="G137" s="54"/>
      <c r="H137" s="54"/>
      <c r="I137" s="54"/>
      <c r="J137" s="54"/>
      <c r="K137" s="54"/>
      <c r="L137" s="54"/>
      <c r="M137" s="54"/>
      <c r="N137" s="54"/>
      <c r="O137" s="54"/>
      <c r="P137" s="54"/>
      <c r="Q137" s="54"/>
      <c r="R137" s="54"/>
      <c r="S137" s="54"/>
      <c r="T137" s="54"/>
      <c r="U137" s="54"/>
      <c r="V137" s="54"/>
      <c r="W137" s="55"/>
      <c r="X137" s="55"/>
      <c r="Y137" s="55"/>
      <c r="Z137" s="55"/>
      <c r="AA137" s="55"/>
      <c r="AB137" s="55"/>
      <c r="AC137" s="55"/>
      <c r="AD137" s="55"/>
      <c r="AE137" s="55"/>
      <c r="AF137" s="55"/>
      <c r="AG137" s="55"/>
      <c r="AH137" s="55"/>
      <c r="AI137" s="54"/>
      <c r="AJ137" s="54"/>
      <c r="AK137" s="54"/>
      <c r="AL137" s="23"/>
      <c r="AM137" s="127"/>
      <c r="AN137" s="127"/>
      <c r="AO137" s="129"/>
      <c r="AP137" s="129"/>
      <c r="AQ137" s="129"/>
      <c r="AR137" s="129"/>
      <c r="AS137" s="129"/>
      <c r="AT137" s="129"/>
      <c r="AU137" s="129"/>
      <c r="AV137" s="129"/>
      <c r="AW137" s="129"/>
      <c r="AX137" s="197"/>
      <c r="AY137" s="197"/>
      <c r="AZ137" s="197"/>
      <c r="BA137" s="197"/>
      <c r="BB137" s="129"/>
      <c r="BC137" s="129"/>
      <c r="BD137" s="129"/>
      <c r="BE137" s="129"/>
      <c r="BF137" s="129"/>
      <c r="BG137" s="129"/>
      <c r="BH137" s="129"/>
      <c r="BI137" s="129"/>
      <c r="BJ137" s="129"/>
      <c r="BK137" s="129"/>
      <c r="BL137" s="129"/>
      <c r="BM137" s="197"/>
    </row>
    <row r="138" spans="1:65" x14ac:dyDescent="0.25">
      <c r="A138" s="121" t="s">
        <v>142</v>
      </c>
      <c r="B138" s="121" t="s">
        <v>23</v>
      </c>
      <c r="C138" s="172" t="s">
        <v>222</v>
      </c>
      <c r="D138" s="161">
        <v>10</v>
      </c>
      <c r="E138" s="29" t="str">
        <f>INDEX(ra_ScName,MATCH(D138,ra_ScNumber,0))</f>
        <v>Disclosed nominal return (incl actual asset revaluations)</v>
      </c>
      <c r="F138" s="122">
        <v>0</v>
      </c>
      <c r="G138" s="122">
        <v>0</v>
      </c>
      <c r="H138" s="122">
        <v>0</v>
      </c>
      <c r="I138" s="122">
        <v>0</v>
      </c>
      <c r="J138" s="122">
        <v>0</v>
      </c>
      <c r="K138" s="122">
        <v>0</v>
      </c>
      <c r="L138" s="122">
        <v>0</v>
      </c>
      <c r="M138" s="122">
        <v>0</v>
      </c>
      <c r="N138" s="122">
        <v>0</v>
      </c>
      <c r="O138" s="122">
        <v>0</v>
      </c>
      <c r="P138" s="122">
        <v>0</v>
      </c>
      <c r="Q138" s="122">
        <v>0</v>
      </c>
      <c r="R138" s="122">
        <v>0</v>
      </c>
      <c r="S138" s="122">
        <v>0</v>
      </c>
      <c r="T138" s="122">
        <v>0</v>
      </c>
      <c r="U138" s="122">
        <v>0</v>
      </c>
      <c r="V138" s="122">
        <v>0</v>
      </c>
      <c r="W138" s="122">
        <v>0</v>
      </c>
      <c r="X138" s="122">
        <v>0</v>
      </c>
      <c r="Y138" s="122">
        <v>0</v>
      </c>
      <c r="Z138" s="122">
        <v>0</v>
      </c>
      <c r="AA138" s="122">
        <v>0</v>
      </c>
      <c r="AB138" s="122">
        <v>0</v>
      </c>
      <c r="AC138" s="122">
        <v>0</v>
      </c>
      <c r="AD138" s="122">
        <v>0</v>
      </c>
      <c r="AE138" s="122">
        <v>0</v>
      </c>
      <c r="AF138" s="122">
        <v>0</v>
      </c>
      <c r="AG138" s="122">
        <v>0</v>
      </c>
      <c r="AH138" s="122">
        <v>0</v>
      </c>
      <c r="AI138" s="117">
        <f t="shared" si="2"/>
        <v>0</v>
      </c>
      <c r="AJ138" s="117">
        <f>SUM(F138:U138)</f>
        <v>0</v>
      </c>
      <c r="AK138" s="117">
        <f t="shared" si="3"/>
        <v>0</v>
      </c>
      <c r="AL138" s="23"/>
      <c r="AM138" s="127" t="b">
        <f>IF(INDEX($AO138:$BM138,0,$F$14)=1,TRUE,FALSE)</f>
        <v>1</v>
      </c>
      <c r="AN138" s="127" t="str">
        <f>IF(AM138,A138&amp;", "&amp;B138,"")</f>
        <v>Commerce Act levies, 2010/11</v>
      </c>
      <c r="AO138" s="129"/>
      <c r="AP138" s="129"/>
      <c r="AQ138" s="129">
        <v>1</v>
      </c>
      <c r="AR138" s="129">
        <v>1</v>
      </c>
      <c r="AS138" s="129">
        <v>1</v>
      </c>
      <c r="AT138" s="129">
        <v>1</v>
      </c>
      <c r="AU138" s="129">
        <v>1</v>
      </c>
      <c r="AV138" s="129">
        <v>1</v>
      </c>
      <c r="AW138" s="129">
        <v>1</v>
      </c>
      <c r="AX138" s="197">
        <v>1</v>
      </c>
      <c r="AY138" s="197">
        <v>1</v>
      </c>
      <c r="AZ138" s="197">
        <v>1</v>
      </c>
      <c r="BA138" s="197">
        <v>1</v>
      </c>
      <c r="BB138" s="129">
        <v>1</v>
      </c>
      <c r="BC138" s="129">
        <v>1</v>
      </c>
      <c r="BD138" s="129">
        <v>1</v>
      </c>
      <c r="BE138" s="129">
        <v>1</v>
      </c>
      <c r="BF138" s="129">
        <v>1</v>
      </c>
      <c r="BG138" s="129">
        <v>1</v>
      </c>
      <c r="BH138" s="129">
        <v>1</v>
      </c>
      <c r="BI138" s="129">
        <v>1</v>
      </c>
      <c r="BJ138" s="129">
        <v>1</v>
      </c>
      <c r="BK138" s="129">
        <v>1</v>
      </c>
      <c r="BL138" s="129">
        <v>1</v>
      </c>
      <c r="BM138" s="197">
        <v>1</v>
      </c>
    </row>
    <row r="139" spans="1:65" x14ac:dyDescent="0.25">
      <c r="A139" s="121" t="s">
        <v>142</v>
      </c>
      <c r="B139" s="121" t="s">
        <v>24</v>
      </c>
      <c r="C139" s="172" t="s">
        <v>222</v>
      </c>
      <c r="D139" s="161">
        <v>10</v>
      </c>
      <c r="E139" s="29" t="str">
        <f>INDEX(ra_ScName,MATCH(D139,ra_ScNumber,0))</f>
        <v>Disclosed nominal return (incl actual asset revaluations)</v>
      </c>
      <c r="F139" s="122">
        <v>0</v>
      </c>
      <c r="G139" s="122">
        <v>0</v>
      </c>
      <c r="H139" s="122">
        <v>0</v>
      </c>
      <c r="I139" s="122">
        <v>0</v>
      </c>
      <c r="J139" s="122">
        <v>0</v>
      </c>
      <c r="K139" s="122">
        <v>0</v>
      </c>
      <c r="L139" s="122">
        <v>0</v>
      </c>
      <c r="M139" s="122">
        <v>0</v>
      </c>
      <c r="N139" s="122">
        <v>0</v>
      </c>
      <c r="O139" s="122">
        <v>0</v>
      </c>
      <c r="P139" s="122">
        <v>0</v>
      </c>
      <c r="Q139" s="122">
        <v>0</v>
      </c>
      <c r="R139" s="122">
        <v>0</v>
      </c>
      <c r="S139" s="122">
        <v>0</v>
      </c>
      <c r="T139" s="122">
        <v>0</v>
      </c>
      <c r="U139" s="122">
        <v>0</v>
      </c>
      <c r="V139" s="122">
        <v>0</v>
      </c>
      <c r="W139" s="122">
        <v>0</v>
      </c>
      <c r="X139" s="122">
        <v>0</v>
      </c>
      <c r="Y139" s="122">
        <v>0</v>
      </c>
      <c r="Z139" s="122">
        <v>0</v>
      </c>
      <c r="AA139" s="122">
        <v>0</v>
      </c>
      <c r="AB139" s="122">
        <v>0</v>
      </c>
      <c r="AC139" s="122">
        <v>0</v>
      </c>
      <c r="AD139" s="122">
        <v>0</v>
      </c>
      <c r="AE139" s="122">
        <v>0</v>
      </c>
      <c r="AF139" s="122">
        <v>0</v>
      </c>
      <c r="AG139" s="122">
        <v>0</v>
      </c>
      <c r="AH139" s="122">
        <v>0</v>
      </c>
      <c r="AI139" s="117">
        <f t="shared" si="2"/>
        <v>0</v>
      </c>
      <c r="AJ139" s="117">
        <f>SUM(F139:U139)</f>
        <v>0</v>
      </c>
      <c r="AK139" s="117">
        <f t="shared" si="3"/>
        <v>0</v>
      </c>
      <c r="AL139" s="23"/>
      <c r="AM139" s="127" t="b">
        <f>IF(INDEX($AO139:$BM139,0,$F$14)=1,TRUE,FALSE)</f>
        <v>1</v>
      </c>
      <c r="AN139" s="127" t="str">
        <f>IF(AM139,A139&amp;", "&amp;B139,"")</f>
        <v>Commerce Act levies, 2011/12</v>
      </c>
      <c r="AO139" s="129"/>
      <c r="AP139" s="129"/>
      <c r="AQ139" s="129">
        <v>1</v>
      </c>
      <c r="AR139" s="129">
        <v>1</v>
      </c>
      <c r="AS139" s="129">
        <v>1</v>
      </c>
      <c r="AT139" s="129">
        <v>1</v>
      </c>
      <c r="AU139" s="129">
        <v>1</v>
      </c>
      <c r="AV139" s="129">
        <v>1</v>
      </c>
      <c r="AW139" s="129">
        <v>1</v>
      </c>
      <c r="AX139" s="197">
        <v>1</v>
      </c>
      <c r="AY139" s="197">
        <v>1</v>
      </c>
      <c r="AZ139" s="197">
        <v>1</v>
      </c>
      <c r="BA139" s="197">
        <v>1</v>
      </c>
      <c r="BB139" s="129">
        <v>1</v>
      </c>
      <c r="BC139" s="129">
        <v>1</v>
      </c>
      <c r="BD139" s="129">
        <v>1</v>
      </c>
      <c r="BE139" s="129">
        <v>1</v>
      </c>
      <c r="BF139" s="129">
        <v>1</v>
      </c>
      <c r="BG139" s="129">
        <v>1</v>
      </c>
      <c r="BH139" s="129">
        <v>1</v>
      </c>
      <c r="BI139" s="129">
        <v>1</v>
      </c>
      <c r="BJ139" s="129">
        <v>1</v>
      </c>
      <c r="BK139" s="129">
        <v>1</v>
      </c>
      <c r="BL139" s="129">
        <v>1</v>
      </c>
      <c r="BM139" s="197">
        <v>1</v>
      </c>
    </row>
    <row r="140" spans="1:65" x14ac:dyDescent="0.25">
      <c r="A140" s="121" t="s">
        <v>142</v>
      </c>
      <c r="B140" s="121" t="s">
        <v>25</v>
      </c>
      <c r="C140" s="172" t="s">
        <v>209</v>
      </c>
      <c r="D140" s="161">
        <v>10</v>
      </c>
      <c r="E140" s="29" t="str">
        <f>INDEX(ra_ScName,MATCH(D140,ra_ScNumber,0))</f>
        <v>Disclosed nominal return (incl actual asset revaluations)</v>
      </c>
      <c r="F140" s="122">
        <v>0</v>
      </c>
      <c r="G140" s="122">
        <v>0</v>
      </c>
      <c r="H140" s="122">
        <v>11</v>
      </c>
      <c r="I140" s="122">
        <v>0</v>
      </c>
      <c r="J140" s="122">
        <v>0</v>
      </c>
      <c r="K140" s="122">
        <v>0</v>
      </c>
      <c r="L140" s="122">
        <v>0</v>
      </c>
      <c r="M140" s="122">
        <v>0</v>
      </c>
      <c r="N140" s="122">
        <v>0</v>
      </c>
      <c r="O140" s="122">
        <v>0</v>
      </c>
      <c r="P140" s="122">
        <v>0</v>
      </c>
      <c r="Q140" s="122">
        <v>0</v>
      </c>
      <c r="R140" s="122">
        <v>0</v>
      </c>
      <c r="S140" s="122">
        <v>0</v>
      </c>
      <c r="T140" s="122">
        <v>0</v>
      </c>
      <c r="U140" s="122">
        <v>0</v>
      </c>
      <c r="V140" s="122">
        <v>0</v>
      </c>
      <c r="W140" s="122">
        <v>0</v>
      </c>
      <c r="X140" s="122">
        <v>0</v>
      </c>
      <c r="Y140" s="122">
        <v>0</v>
      </c>
      <c r="Z140" s="122">
        <v>48</v>
      </c>
      <c r="AA140" s="122">
        <v>0</v>
      </c>
      <c r="AB140" s="122">
        <v>0</v>
      </c>
      <c r="AC140" s="122">
        <v>0</v>
      </c>
      <c r="AD140" s="122">
        <v>0</v>
      </c>
      <c r="AE140" s="122">
        <v>83</v>
      </c>
      <c r="AF140" s="122">
        <v>0</v>
      </c>
      <c r="AG140" s="122">
        <v>0</v>
      </c>
      <c r="AH140" s="122">
        <v>0</v>
      </c>
      <c r="AI140" s="117">
        <f t="shared" si="2"/>
        <v>142</v>
      </c>
      <c r="AJ140" s="117">
        <f>SUM(F140:U140)</f>
        <v>11</v>
      </c>
      <c r="AK140" s="117">
        <f t="shared" si="3"/>
        <v>131</v>
      </c>
      <c r="AL140" s="23"/>
      <c r="AM140" s="127" t="b">
        <f>IF(INDEX($AO140:$BM140,0,$F$14)=1,TRUE,FALSE)</f>
        <v>1</v>
      </c>
      <c r="AN140" s="127" t="str">
        <f>IF(AM140,A140&amp;", "&amp;B140,"")</f>
        <v>Commerce Act levies, 2012/13</v>
      </c>
      <c r="AO140" s="129"/>
      <c r="AP140" s="129"/>
      <c r="AQ140" s="129">
        <v>1</v>
      </c>
      <c r="AR140" s="129">
        <v>1</v>
      </c>
      <c r="AS140" s="129">
        <v>1</v>
      </c>
      <c r="AT140" s="129">
        <v>1</v>
      </c>
      <c r="AU140" s="129">
        <v>1</v>
      </c>
      <c r="AV140" s="129">
        <v>1</v>
      </c>
      <c r="AW140" s="129">
        <v>1</v>
      </c>
      <c r="AX140" s="197">
        <v>1</v>
      </c>
      <c r="AY140" s="197">
        <v>1</v>
      </c>
      <c r="AZ140" s="197">
        <v>1</v>
      </c>
      <c r="BA140" s="197">
        <v>1</v>
      </c>
      <c r="BB140" s="129">
        <v>1</v>
      </c>
      <c r="BC140" s="129">
        <v>1</v>
      </c>
      <c r="BD140" s="129">
        <v>1</v>
      </c>
      <c r="BE140" s="129">
        <v>1</v>
      </c>
      <c r="BF140" s="129">
        <v>1</v>
      </c>
      <c r="BG140" s="129">
        <v>1</v>
      </c>
      <c r="BH140" s="129">
        <v>1</v>
      </c>
      <c r="BI140" s="129">
        <v>1</v>
      </c>
      <c r="BJ140" s="129">
        <v>1</v>
      </c>
      <c r="BK140" s="129">
        <v>1</v>
      </c>
      <c r="BL140" s="129">
        <v>1</v>
      </c>
      <c r="BM140" s="197">
        <v>1</v>
      </c>
    </row>
    <row r="141" spans="1:65" x14ac:dyDescent="0.25">
      <c r="A141" s="121" t="s">
        <v>142</v>
      </c>
      <c r="B141" s="121" t="s">
        <v>26</v>
      </c>
      <c r="C141" s="172" t="s">
        <v>209</v>
      </c>
      <c r="D141" s="161">
        <v>10</v>
      </c>
      <c r="E141" s="29" t="str">
        <f>INDEX(ra_ScName,MATCH(D141,ra_ScNumber,0))</f>
        <v>Disclosed nominal return (incl actual asset revaluations)</v>
      </c>
      <c r="F141" s="122">
        <v>0</v>
      </c>
      <c r="G141" s="122">
        <v>0</v>
      </c>
      <c r="H141" s="122">
        <v>25</v>
      </c>
      <c r="I141" s="122">
        <v>0</v>
      </c>
      <c r="J141" s="122">
        <v>0</v>
      </c>
      <c r="K141" s="122">
        <v>0</v>
      </c>
      <c r="L141" s="122">
        <v>0</v>
      </c>
      <c r="M141" s="122">
        <v>0</v>
      </c>
      <c r="N141" s="122">
        <v>0</v>
      </c>
      <c r="O141" s="122">
        <v>0</v>
      </c>
      <c r="P141" s="122">
        <v>0</v>
      </c>
      <c r="Q141" s="122">
        <v>0</v>
      </c>
      <c r="R141" s="122">
        <v>0</v>
      </c>
      <c r="S141" s="122">
        <v>0</v>
      </c>
      <c r="T141" s="122">
        <v>0</v>
      </c>
      <c r="U141" s="122">
        <v>0</v>
      </c>
      <c r="V141" s="122">
        <v>0</v>
      </c>
      <c r="W141" s="122">
        <v>0</v>
      </c>
      <c r="X141" s="122">
        <v>0</v>
      </c>
      <c r="Y141" s="122">
        <v>0</v>
      </c>
      <c r="Z141" s="122">
        <v>13</v>
      </c>
      <c r="AA141" s="122">
        <v>0</v>
      </c>
      <c r="AB141" s="122">
        <v>0</v>
      </c>
      <c r="AC141" s="122">
        <v>0</v>
      </c>
      <c r="AD141" s="122">
        <v>0</v>
      </c>
      <c r="AE141" s="122">
        <v>19</v>
      </c>
      <c r="AF141" s="122">
        <v>0</v>
      </c>
      <c r="AG141" s="122">
        <v>0</v>
      </c>
      <c r="AH141" s="122">
        <v>0</v>
      </c>
      <c r="AI141" s="117">
        <f t="shared" si="2"/>
        <v>57</v>
      </c>
      <c r="AJ141" s="117">
        <f>SUM(F141:U141)</f>
        <v>25</v>
      </c>
      <c r="AK141" s="117">
        <f t="shared" si="3"/>
        <v>32</v>
      </c>
      <c r="AL141" s="23"/>
      <c r="AM141" s="127" t="b">
        <f>IF(INDEX($AO141:$BM141,0,$F$14)=1,TRUE,FALSE)</f>
        <v>1</v>
      </c>
      <c r="AN141" s="127" t="str">
        <f>IF(AM141,A141&amp;", "&amp;B141,"")</f>
        <v>Commerce Act levies, 2013/14</v>
      </c>
      <c r="AO141" s="129"/>
      <c r="AP141" s="129"/>
      <c r="AQ141" s="129">
        <v>1</v>
      </c>
      <c r="AR141" s="129">
        <v>1</v>
      </c>
      <c r="AS141" s="129">
        <v>1</v>
      </c>
      <c r="AT141" s="129">
        <v>1</v>
      </c>
      <c r="AU141" s="129">
        <v>1</v>
      </c>
      <c r="AV141" s="129">
        <v>1</v>
      </c>
      <c r="AW141" s="129">
        <v>1</v>
      </c>
      <c r="AX141" s="197">
        <v>1</v>
      </c>
      <c r="AY141" s="197">
        <v>1</v>
      </c>
      <c r="AZ141" s="197">
        <v>1</v>
      </c>
      <c r="BA141" s="197">
        <v>1</v>
      </c>
      <c r="BB141" s="129">
        <v>1</v>
      </c>
      <c r="BC141" s="129">
        <v>1</v>
      </c>
      <c r="BD141" s="129">
        <v>1</v>
      </c>
      <c r="BE141" s="129">
        <v>1</v>
      </c>
      <c r="BF141" s="129">
        <v>1</v>
      </c>
      <c r="BG141" s="129">
        <v>1</v>
      </c>
      <c r="BH141" s="129">
        <v>1</v>
      </c>
      <c r="BI141" s="129">
        <v>1</v>
      </c>
      <c r="BJ141" s="129">
        <v>1</v>
      </c>
      <c r="BK141" s="129">
        <v>1</v>
      </c>
      <c r="BL141" s="129">
        <v>1</v>
      </c>
      <c r="BM141" s="197">
        <v>1</v>
      </c>
    </row>
    <row r="142" spans="1:65" x14ac:dyDescent="0.25">
      <c r="A142" s="121" t="s">
        <v>142</v>
      </c>
      <c r="B142" s="121" t="s">
        <v>27</v>
      </c>
      <c r="C142" s="172" t="s">
        <v>209</v>
      </c>
      <c r="D142" s="161">
        <v>10</v>
      </c>
      <c r="E142" s="29" t="str">
        <f>INDEX(ra_ScName,MATCH(D142,ra_ScNumber,0))</f>
        <v>Disclosed nominal return (incl actual asset revaluations)</v>
      </c>
      <c r="F142" s="122">
        <v>102</v>
      </c>
      <c r="G142" s="122">
        <v>166</v>
      </c>
      <c r="H142" s="122">
        <v>27</v>
      </c>
      <c r="I142" s="122">
        <v>46.339649999999999</v>
      </c>
      <c r="J142" s="122">
        <v>124</v>
      </c>
      <c r="K142" s="122">
        <v>55.529000000000003</v>
      </c>
      <c r="L142" s="122">
        <v>52.389559999999996</v>
      </c>
      <c r="M142" s="122">
        <v>16</v>
      </c>
      <c r="N142" s="122">
        <v>90</v>
      </c>
      <c r="O142" s="122">
        <v>70.19</v>
      </c>
      <c r="P142" s="122">
        <v>864.28613000000018</v>
      </c>
      <c r="Q142" s="122">
        <v>120</v>
      </c>
      <c r="R142" s="122">
        <v>120.740008</v>
      </c>
      <c r="S142" s="122">
        <v>226.85186999999999</v>
      </c>
      <c r="T142" s="122">
        <v>1271</v>
      </c>
      <c r="U142" s="122">
        <v>278.95006999999993</v>
      </c>
      <c r="V142" s="122">
        <v>435.25</v>
      </c>
      <c r="W142" s="122">
        <v>2.6062699999999999</v>
      </c>
      <c r="X142" s="122">
        <v>21</v>
      </c>
      <c r="Y142" s="122">
        <v>0</v>
      </c>
      <c r="Z142" s="122">
        <v>29</v>
      </c>
      <c r="AA142" s="122">
        <v>25</v>
      </c>
      <c r="AB142" s="122">
        <v>9</v>
      </c>
      <c r="AC142" s="122">
        <v>19</v>
      </c>
      <c r="AD142" s="122">
        <v>24.27664</v>
      </c>
      <c r="AE142" s="122">
        <v>40</v>
      </c>
      <c r="AF142" s="122">
        <v>10.715</v>
      </c>
      <c r="AG142" s="122">
        <v>20.884150000000002</v>
      </c>
      <c r="AH142" s="122">
        <v>14</v>
      </c>
      <c r="AI142" s="117">
        <f t="shared" si="2"/>
        <v>4282.0083480000003</v>
      </c>
      <c r="AJ142" s="117">
        <f>SUM(F142:U142)</f>
        <v>3631.276288</v>
      </c>
      <c r="AK142" s="117">
        <f t="shared" si="3"/>
        <v>215.48205999999999</v>
      </c>
      <c r="AL142" s="23"/>
      <c r="AM142" s="127" t="b">
        <f>IF(INDEX($AO142:$BM142,0,$F$14)=1,TRUE,FALSE)</f>
        <v>1</v>
      </c>
      <c r="AN142" s="127" t="str">
        <f>IF(AM142,A142&amp;", "&amp;B142,"")</f>
        <v>Commerce Act levies, 2014/15</v>
      </c>
      <c r="AO142" s="129"/>
      <c r="AP142" s="129"/>
      <c r="AQ142" s="129">
        <v>1</v>
      </c>
      <c r="AR142" s="129">
        <v>1</v>
      </c>
      <c r="AS142" s="129">
        <v>1</v>
      </c>
      <c r="AT142" s="129">
        <v>1</v>
      </c>
      <c r="AU142" s="129">
        <v>1</v>
      </c>
      <c r="AV142" s="129">
        <v>1</v>
      </c>
      <c r="AW142" s="129">
        <v>1</v>
      </c>
      <c r="AX142" s="197">
        <v>1</v>
      </c>
      <c r="AY142" s="197">
        <v>1</v>
      </c>
      <c r="AZ142" s="197">
        <v>1</v>
      </c>
      <c r="BA142" s="197">
        <v>1</v>
      </c>
      <c r="BB142" s="129">
        <v>1</v>
      </c>
      <c r="BC142" s="129">
        <v>1</v>
      </c>
      <c r="BD142" s="129">
        <v>1</v>
      </c>
      <c r="BE142" s="129">
        <v>1</v>
      </c>
      <c r="BF142" s="129">
        <v>1</v>
      </c>
      <c r="BG142" s="129">
        <v>1</v>
      </c>
      <c r="BH142" s="129">
        <v>1</v>
      </c>
      <c r="BI142" s="129">
        <v>1</v>
      </c>
      <c r="BJ142" s="129">
        <v>1</v>
      </c>
      <c r="BK142" s="129">
        <v>1</v>
      </c>
      <c r="BL142" s="129">
        <v>1</v>
      </c>
      <c r="BM142" s="197">
        <v>1</v>
      </c>
    </row>
    <row r="143" spans="1:65" x14ac:dyDescent="0.25">
      <c r="A143" s="121"/>
      <c r="B143" s="121"/>
      <c r="C143" s="172"/>
      <c r="D143" s="49"/>
      <c r="E143" s="49"/>
      <c r="F143" s="54"/>
      <c r="G143" s="54"/>
      <c r="H143" s="54"/>
      <c r="I143" s="54"/>
      <c r="J143" s="54"/>
      <c r="K143" s="54"/>
      <c r="L143" s="54"/>
      <c r="M143" s="54"/>
      <c r="N143" s="54"/>
      <c r="O143" s="54"/>
      <c r="P143" s="54"/>
      <c r="Q143" s="54"/>
      <c r="R143" s="54"/>
      <c r="S143" s="54"/>
      <c r="T143" s="54"/>
      <c r="U143" s="54"/>
      <c r="V143" s="54"/>
      <c r="W143" s="55"/>
      <c r="X143" s="55"/>
      <c r="Y143" s="55"/>
      <c r="Z143" s="55"/>
      <c r="AA143" s="55"/>
      <c r="AB143" s="55"/>
      <c r="AC143" s="55"/>
      <c r="AD143" s="55"/>
      <c r="AE143" s="55"/>
      <c r="AF143" s="55"/>
      <c r="AG143" s="55"/>
      <c r="AH143" s="55"/>
      <c r="AI143" s="54"/>
      <c r="AJ143" s="54"/>
      <c r="AK143" s="54"/>
      <c r="AL143" s="23"/>
      <c r="AM143" s="127"/>
      <c r="AN143" s="127"/>
      <c r="AO143" s="129"/>
      <c r="AP143" s="129"/>
      <c r="AQ143" s="129"/>
      <c r="AR143" s="129"/>
      <c r="AS143" s="129"/>
      <c r="AT143" s="129"/>
      <c r="AU143" s="129"/>
      <c r="AV143" s="129"/>
      <c r="AW143" s="129"/>
      <c r="AX143" s="197"/>
      <c r="AY143" s="197"/>
      <c r="AZ143" s="197"/>
      <c r="BA143" s="197"/>
      <c r="BB143" s="129"/>
      <c r="BC143" s="129"/>
      <c r="BD143" s="129"/>
      <c r="BE143" s="129"/>
      <c r="BF143" s="129"/>
      <c r="BG143" s="129"/>
      <c r="BH143" s="129"/>
      <c r="BI143" s="129"/>
      <c r="BJ143" s="129"/>
      <c r="BK143" s="129"/>
      <c r="BL143" s="129"/>
      <c r="BM143" s="197"/>
    </row>
    <row r="144" spans="1:65" x14ac:dyDescent="0.25">
      <c r="A144" s="121"/>
      <c r="B144" s="121"/>
      <c r="C144" s="172"/>
      <c r="D144" s="46"/>
      <c r="E144" s="46"/>
      <c r="F144" s="54"/>
      <c r="G144" s="54"/>
      <c r="H144" s="54"/>
      <c r="I144" s="54"/>
      <c r="J144" s="54"/>
      <c r="K144" s="54"/>
      <c r="L144" s="54"/>
      <c r="M144" s="54"/>
      <c r="N144" s="54"/>
      <c r="O144" s="54"/>
      <c r="P144" s="54"/>
      <c r="Q144" s="54"/>
      <c r="R144" s="54"/>
      <c r="S144" s="54"/>
      <c r="T144" s="54"/>
      <c r="U144" s="54"/>
      <c r="V144" s="54"/>
      <c r="W144" s="55"/>
      <c r="X144" s="55"/>
      <c r="Y144" s="55"/>
      <c r="Z144" s="55"/>
      <c r="AA144" s="55"/>
      <c r="AB144" s="55"/>
      <c r="AC144" s="55"/>
      <c r="AD144" s="55"/>
      <c r="AE144" s="55"/>
      <c r="AF144" s="55"/>
      <c r="AG144" s="55"/>
      <c r="AH144" s="55"/>
      <c r="AI144" s="54"/>
      <c r="AJ144" s="54"/>
      <c r="AK144" s="54"/>
      <c r="AL144" s="23"/>
      <c r="AM144" s="127"/>
      <c r="AN144" s="127"/>
      <c r="AO144" s="129"/>
      <c r="AP144" s="129"/>
      <c r="AQ144" s="129"/>
      <c r="AR144" s="129"/>
      <c r="AS144" s="129"/>
      <c r="AT144" s="129"/>
      <c r="AU144" s="129"/>
      <c r="AV144" s="129"/>
      <c r="AW144" s="129"/>
      <c r="AX144" s="197"/>
      <c r="AY144" s="197"/>
      <c r="AZ144" s="197"/>
      <c r="BA144" s="197"/>
      <c r="BB144" s="129"/>
      <c r="BC144" s="129"/>
      <c r="BD144" s="129"/>
      <c r="BE144" s="129"/>
      <c r="BF144" s="129"/>
      <c r="BG144" s="129"/>
      <c r="BH144" s="129"/>
      <c r="BI144" s="129"/>
      <c r="BJ144" s="129"/>
      <c r="BK144" s="129"/>
      <c r="BL144" s="129"/>
      <c r="BM144" s="197"/>
    </row>
    <row r="145" spans="1:65" x14ac:dyDescent="0.25">
      <c r="A145" s="121" t="s">
        <v>143</v>
      </c>
      <c r="B145" s="121" t="s">
        <v>23</v>
      </c>
      <c r="C145" s="172" t="s">
        <v>222</v>
      </c>
      <c r="D145" s="161">
        <v>1</v>
      </c>
      <c r="E145" s="29" t="str">
        <f>INDEX(ra_ScName,MATCH(D145,ra_ScNumber,0))</f>
        <v>Expected nominal return (incl forecast asset revaluations)</v>
      </c>
      <c r="F145" s="54"/>
      <c r="G145" s="54"/>
      <c r="H145" s="54"/>
      <c r="I145" s="54"/>
      <c r="J145" s="54"/>
      <c r="K145" s="54"/>
      <c r="L145" s="54"/>
      <c r="M145" s="54"/>
      <c r="N145" s="54"/>
      <c r="O145" s="54"/>
      <c r="P145" s="54"/>
      <c r="Q145" s="54"/>
      <c r="R145" s="54"/>
      <c r="S145" s="54"/>
      <c r="T145" s="54"/>
      <c r="U145" s="54"/>
      <c r="V145" s="54"/>
      <c r="W145" s="55"/>
      <c r="X145" s="55"/>
      <c r="Y145" s="55"/>
      <c r="Z145" s="55"/>
      <c r="AA145" s="55"/>
      <c r="AB145" s="55"/>
      <c r="AC145" s="55"/>
      <c r="AD145" s="55"/>
      <c r="AE145" s="55"/>
      <c r="AF145" s="55"/>
      <c r="AG145" s="55"/>
      <c r="AH145" s="55"/>
      <c r="AI145" s="117">
        <f t="shared" si="2"/>
        <v>0</v>
      </c>
      <c r="AJ145" s="117">
        <f>SUM(F145:U145)</f>
        <v>0</v>
      </c>
      <c r="AK145" s="117">
        <f t="shared" si="3"/>
        <v>0</v>
      </c>
      <c r="AL145" s="23"/>
      <c r="AM145" s="127" t="b">
        <f>IF(INDEX($AO145:$BM145,0,$F$14)=1,TRUE,FALSE)</f>
        <v>0</v>
      </c>
      <c r="AN145" s="127" t="str">
        <f>IF(AM145,A145&amp;", "&amp;B145,"")</f>
        <v/>
      </c>
      <c r="AO145" s="129">
        <v>1</v>
      </c>
      <c r="AP145" s="129">
        <v>1</v>
      </c>
      <c r="AQ145" s="129"/>
      <c r="AR145" s="129"/>
      <c r="AS145" s="129"/>
      <c r="AT145" s="129"/>
      <c r="AU145" s="129"/>
      <c r="AV145" s="129"/>
      <c r="AW145" s="129"/>
      <c r="AX145" s="197"/>
      <c r="AY145" s="197"/>
      <c r="AZ145" s="197"/>
      <c r="BA145" s="197"/>
      <c r="BB145" s="129"/>
      <c r="BC145" s="129"/>
      <c r="BD145" s="129"/>
      <c r="BE145" s="129"/>
      <c r="BF145" s="129"/>
      <c r="BG145" s="129"/>
      <c r="BH145" s="129"/>
      <c r="BI145" s="129"/>
      <c r="BJ145" s="129"/>
      <c r="BK145" s="129"/>
      <c r="BL145" s="129"/>
      <c r="BM145" s="197"/>
    </row>
    <row r="146" spans="1:65" x14ac:dyDescent="0.25">
      <c r="A146" s="121" t="s">
        <v>143</v>
      </c>
      <c r="B146" s="121" t="s">
        <v>24</v>
      </c>
      <c r="C146" s="172" t="s">
        <v>222</v>
      </c>
      <c r="D146" s="161">
        <v>1</v>
      </c>
      <c r="E146" s="29" t="str">
        <f>INDEX(ra_ScName,MATCH(D146,ra_ScNumber,0))</f>
        <v>Expected nominal return (incl forecast asset revaluations)</v>
      </c>
      <c r="F146" s="54"/>
      <c r="G146" s="54"/>
      <c r="H146" s="54"/>
      <c r="I146" s="54"/>
      <c r="J146" s="54"/>
      <c r="K146" s="54"/>
      <c r="L146" s="54"/>
      <c r="M146" s="54"/>
      <c r="N146" s="54"/>
      <c r="O146" s="54"/>
      <c r="P146" s="54"/>
      <c r="Q146" s="54"/>
      <c r="R146" s="54"/>
      <c r="S146" s="54"/>
      <c r="T146" s="54"/>
      <c r="U146" s="54"/>
      <c r="V146" s="54"/>
      <c r="W146" s="55"/>
      <c r="X146" s="55"/>
      <c r="Y146" s="55"/>
      <c r="Z146" s="55"/>
      <c r="AA146" s="55"/>
      <c r="AB146" s="55"/>
      <c r="AC146" s="55"/>
      <c r="AD146" s="55"/>
      <c r="AE146" s="55"/>
      <c r="AF146" s="55"/>
      <c r="AG146" s="55"/>
      <c r="AH146" s="55"/>
      <c r="AI146" s="117">
        <f t="shared" si="2"/>
        <v>0</v>
      </c>
      <c r="AJ146" s="117">
        <f>SUM(F146:U146)</f>
        <v>0</v>
      </c>
      <c r="AK146" s="117">
        <f t="shared" si="3"/>
        <v>0</v>
      </c>
      <c r="AL146" s="23"/>
      <c r="AM146" s="127" t="b">
        <f>IF(INDEX($AO146:$BM146,0,$F$14)=1,TRUE,FALSE)</f>
        <v>0</v>
      </c>
      <c r="AN146" s="127" t="str">
        <f>IF(AM146,A146&amp;", "&amp;B146,"")</f>
        <v/>
      </c>
      <c r="AO146" s="129">
        <v>1</v>
      </c>
      <c r="AP146" s="129">
        <v>1</v>
      </c>
      <c r="AQ146" s="129"/>
      <c r="AR146" s="129"/>
      <c r="AS146" s="129"/>
      <c r="AT146" s="129"/>
      <c r="AU146" s="129"/>
      <c r="AV146" s="129"/>
      <c r="AW146" s="129"/>
      <c r="AX146" s="197"/>
      <c r="AY146" s="197"/>
      <c r="AZ146" s="197"/>
      <c r="BA146" s="197"/>
      <c r="BB146" s="129"/>
      <c r="BC146" s="129"/>
      <c r="BD146" s="129"/>
      <c r="BE146" s="129"/>
      <c r="BF146" s="129"/>
      <c r="BG146" s="129"/>
      <c r="BH146" s="129"/>
      <c r="BI146" s="129"/>
      <c r="BJ146" s="129"/>
      <c r="BK146" s="129"/>
      <c r="BL146" s="129"/>
      <c r="BM146" s="197"/>
    </row>
    <row r="147" spans="1:65" x14ac:dyDescent="0.25">
      <c r="A147" s="121" t="s">
        <v>143</v>
      </c>
      <c r="B147" s="121" t="s">
        <v>25</v>
      </c>
      <c r="C147" s="172" t="s">
        <v>222</v>
      </c>
      <c r="D147" s="161">
        <v>1</v>
      </c>
      <c r="E147" s="29" t="str">
        <f>INDEX(ra_ScName,MATCH(D147,ra_ScNumber,0))</f>
        <v>Expected nominal return (incl forecast asset revaluations)</v>
      </c>
      <c r="F147" s="54"/>
      <c r="G147" s="54"/>
      <c r="H147" s="54"/>
      <c r="I147" s="54"/>
      <c r="J147" s="54"/>
      <c r="K147" s="54"/>
      <c r="L147" s="54"/>
      <c r="M147" s="54"/>
      <c r="N147" s="54"/>
      <c r="O147" s="54"/>
      <c r="P147" s="54"/>
      <c r="Q147" s="54"/>
      <c r="R147" s="54"/>
      <c r="S147" s="54"/>
      <c r="T147" s="54"/>
      <c r="U147" s="54"/>
      <c r="V147" s="54"/>
      <c r="W147" s="55"/>
      <c r="X147" s="55"/>
      <c r="Y147" s="55"/>
      <c r="Z147" s="55"/>
      <c r="AA147" s="55"/>
      <c r="AB147" s="55"/>
      <c r="AC147" s="55"/>
      <c r="AD147" s="55"/>
      <c r="AE147" s="55"/>
      <c r="AF147" s="55"/>
      <c r="AG147" s="55"/>
      <c r="AH147" s="55"/>
      <c r="AI147" s="117">
        <f t="shared" si="2"/>
        <v>0</v>
      </c>
      <c r="AJ147" s="117">
        <f>SUM(F147:U147)</f>
        <v>0</v>
      </c>
      <c r="AK147" s="117">
        <f t="shared" si="3"/>
        <v>0</v>
      </c>
      <c r="AL147" s="23"/>
      <c r="AM147" s="127" t="b">
        <f>IF(INDEX($AO147:$BM147,0,$F$14)=1,TRUE,FALSE)</f>
        <v>0</v>
      </c>
      <c r="AN147" s="127" t="str">
        <f>IF(AM147,A147&amp;", "&amp;B147,"")</f>
        <v/>
      </c>
      <c r="AO147" s="129">
        <v>1</v>
      </c>
      <c r="AP147" s="129">
        <v>1</v>
      </c>
      <c r="AQ147" s="129"/>
      <c r="AR147" s="129"/>
      <c r="AS147" s="129"/>
      <c r="AT147" s="129"/>
      <c r="AU147" s="129"/>
      <c r="AV147" s="129"/>
      <c r="AW147" s="129"/>
      <c r="AX147" s="197"/>
      <c r="AY147" s="197"/>
      <c r="AZ147" s="197"/>
      <c r="BA147" s="197"/>
      <c r="BB147" s="129"/>
      <c r="BC147" s="129"/>
      <c r="BD147" s="129"/>
      <c r="BE147" s="129"/>
      <c r="BF147" s="129"/>
      <c r="BG147" s="129"/>
      <c r="BH147" s="129"/>
      <c r="BI147" s="129"/>
      <c r="BJ147" s="129"/>
      <c r="BK147" s="129"/>
      <c r="BL147" s="129"/>
      <c r="BM147" s="197"/>
    </row>
    <row r="148" spans="1:65" x14ac:dyDescent="0.25">
      <c r="A148" s="121" t="s">
        <v>143</v>
      </c>
      <c r="B148" s="121" t="s">
        <v>26</v>
      </c>
      <c r="C148" s="172" t="s">
        <v>222</v>
      </c>
      <c r="D148" s="161">
        <v>1</v>
      </c>
      <c r="E148" s="29" t="str">
        <f>INDEX(ra_ScName,MATCH(D148,ra_ScNumber,0))</f>
        <v>Expected nominal return (incl forecast asset revaluations)</v>
      </c>
      <c r="F148" s="54"/>
      <c r="G148" s="54"/>
      <c r="H148" s="54"/>
      <c r="I148" s="54"/>
      <c r="J148" s="54"/>
      <c r="K148" s="54"/>
      <c r="L148" s="54"/>
      <c r="M148" s="54"/>
      <c r="N148" s="54"/>
      <c r="O148" s="54"/>
      <c r="P148" s="54"/>
      <c r="Q148" s="54"/>
      <c r="R148" s="54"/>
      <c r="S148" s="54"/>
      <c r="T148" s="54"/>
      <c r="U148" s="54"/>
      <c r="V148" s="54"/>
      <c r="W148" s="55"/>
      <c r="X148" s="55"/>
      <c r="Y148" s="55"/>
      <c r="Z148" s="55"/>
      <c r="AA148" s="55"/>
      <c r="AB148" s="55"/>
      <c r="AC148" s="55"/>
      <c r="AD148" s="55"/>
      <c r="AE148" s="55"/>
      <c r="AF148" s="55"/>
      <c r="AG148" s="55"/>
      <c r="AH148" s="55"/>
      <c r="AI148" s="117">
        <f t="shared" si="2"/>
        <v>0</v>
      </c>
      <c r="AJ148" s="117">
        <f>SUM(F148:U148)</f>
        <v>0</v>
      </c>
      <c r="AK148" s="117">
        <f t="shared" si="3"/>
        <v>0</v>
      </c>
      <c r="AL148" s="23"/>
      <c r="AM148" s="127" t="b">
        <f>IF(INDEX($AO148:$BM148,0,$F$14)=1,TRUE,FALSE)</f>
        <v>0</v>
      </c>
      <c r="AN148" s="127" t="str">
        <f>IF(AM148,A148&amp;", "&amp;B148,"")</f>
        <v/>
      </c>
      <c r="AO148" s="129">
        <v>1</v>
      </c>
      <c r="AP148" s="129">
        <v>1</v>
      </c>
      <c r="AQ148" s="129"/>
      <c r="AR148" s="129"/>
      <c r="AS148" s="129"/>
      <c r="AT148" s="129"/>
      <c r="AU148" s="129"/>
      <c r="AV148" s="129"/>
      <c r="AW148" s="129"/>
      <c r="AX148" s="197"/>
      <c r="AY148" s="197"/>
      <c r="AZ148" s="197"/>
      <c r="BA148" s="197"/>
      <c r="BB148" s="129"/>
      <c r="BC148" s="129"/>
      <c r="BD148" s="129"/>
      <c r="BE148" s="129"/>
      <c r="BF148" s="129"/>
      <c r="BG148" s="129"/>
      <c r="BH148" s="129"/>
      <c r="BI148" s="129"/>
      <c r="BJ148" s="129"/>
      <c r="BK148" s="129"/>
      <c r="BL148" s="129"/>
      <c r="BM148" s="197"/>
    </row>
    <row r="149" spans="1:65" x14ac:dyDescent="0.25">
      <c r="A149" s="121" t="s">
        <v>143</v>
      </c>
      <c r="B149" s="121" t="s">
        <v>27</v>
      </c>
      <c r="C149" s="172" t="s">
        <v>222</v>
      </c>
      <c r="D149" s="161">
        <v>1</v>
      </c>
      <c r="E149" s="29" t="str">
        <f>INDEX(ra_ScName,MATCH(D149,ra_ScNumber,0))</f>
        <v>Expected nominal return (incl forecast asset revaluations)</v>
      </c>
      <c r="F149" s="54"/>
      <c r="G149" s="54"/>
      <c r="H149" s="54"/>
      <c r="I149" s="54"/>
      <c r="J149" s="54"/>
      <c r="K149" s="54"/>
      <c r="L149" s="54"/>
      <c r="M149" s="54"/>
      <c r="N149" s="54"/>
      <c r="O149" s="54"/>
      <c r="P149" s="54"/>
      <c r="Q149" s="54"/>
      <c r="R149" s="54"/>
      <c r="S149" s="54"/>
      <c r="T149" s="54"/>
      <c r="U149" s="54"/>
      <c r="V149" s="54"/>
      <c r="W149" s="55"/>
      <c r="X149" s="55"/>
      <c r="Y149" s="55"/>
      <c r="Z149" s="55"/>
      <c r="AA149" s="55"/>
      <c r="AB149" s="55"/>
      <c r="AC149" s="55"/>
      <c r="AD149" s="55"/>
      <c r="AE149" s="55"/>
      <c r="AF149" s="55"/>
      <c r="AG149" s="55"/>
      <c r="AH149" s="55"/>
      <c r="AI149" s="117">
        <f t="shared" si="2"/>
        <v>0</v>
      </c>
      <c r="AJ149" s="117">
        <f>SUM(F149:U149)</f>
        <v>0</v>
      </c>
      <c r="AK149" s="117">
        <f t="shared" si="3"/>
        <v>0</v>
      </c>
      <c r="AL149" s="23"/>
      <c r="AM149" s="127" t="b">
        <f>IF(INDEX($AO149:$BM149,0,$F$14)=1,TRUE,FALSE)</f>
        <v>0</v>
      </c>
      <c r="AN149" s="127" t="str">
        <f>IF(AM149,A149&amp;", "&amp;B149,"")</f>
        <v/>
      </c>
      <c r="AO149" s="129">
        <v>1</v>
      </c>
      <c r="AP149" s="129">
        <v>1</v>
      </c>
      <c r="AQ149" s="129"/>
      <c r="AR149" s="129"/>
      <c r="AS149" s="129"/>
      <c r="AT149" s="129"/>
      <c r="AU149" s="129"/>
      <c r="AV149" s="129"/>
      <c r="AW149" s="129"/>
      <c r="AX149" s="197"/>
      <c r="AY149" s="197"/>
      <c r="AZ149" s="197"/>
      <c r="BA149" s="197"/>
      <c r="BB149" s="129"/>
      <c r="BC149" s="129"/>
      <c r="BD149" s="129"/>
      <c r="BE149" s="129"/>
      <c r="BF149" s="129"/>
      <c r="BG149" s="129"/>
      <c r="BH149" s="129"/>
      <c r="BI149" s="129"/>
      <c r="BJ149" s="129"/>
      <c r="BK149" s="129"/>
      <c r="BL149" s="129"/>
      <c r="BM149" s="197"/>
    </row>
    <row r="150" spans="1:65" x14ac:dyDescent="0.25">
      <c r="A150" s="121"/>
      <c r="B150" s="121"/>
      <c r="C150" s="172"/>
      <c r="D150" s="49"/>
      <c r="E150" s="49"/>
      <c r="F150" s="54"/>
      <c r="G150" s="54"/>
      <c r="H150" s="54"/>
      <c r="I150" s="54"/>
      <c r="J150" s="54"/>
      <c r="K150" s="54"/>
      <c r="L150" s="54"/>
      <c r="M150" s="54"/>
      <c r="N150" s="54"/>
      <c r="O150" s="54"/>
      <c r="P150" s="54"/>
      <c r="Q150" s="54"/>
      <c r="R150" s="54"/>
      <c r="S150" s="54"/>
      <c r="T150" s="54"/>
      <c r="U150" s="54"/>
      <c r="V150" s="54"/>
      <c r="W150" s="55"/>
      <c r="X150" s="55"/>
      <c r="Y150" s="55"/>
      <c r="Z150" s="55"/>
      <c r="AA150" s="55"/>
      <c r="AB150" s="55"/>
      <c r="AC150" s="55"/>
      <c r="AD150" s="55"/>
      <c r="AE150" s="55"/>
      <c r="AF150" s="55"/>
      <c r="AG150" s="55"/>
      <c r="AH150" s="55"/>
      <c r="AI150" s="54"/>
      <c r="AJ150" s="54"/>
      <c r="AK150" s="54"/>
      <c r="AL150" s="23"/>
      <c r="AM150" s="127"/>
      <c r="AN150" s="127"/>
      <c r="AO150" s="129"/>
      <c r="AP150" s="129"/>
      <c r="AQ150" s="129"/>
      <c r="AR150" s="129"/>
      <c r="AS150" s="129"/>
      <c r="AT150" s="129"/>
      <c r="AU150" s="129"/>
      <c r="AV150" s="129"/>
      <c r="AW150" s="129"/>
      <c r="AX150" s="197"/>
      <c r="AY150" s="197"/>
      <c r="AZ150" s="197"/>
      <c r="BA150" s="197"/>
      <c r="BB150" s="129"/>
      <c r="BC150" s="129"/>
      <c r="BD150" s="129"/>
      <c r="BE150" s="129"/>
      <c r="BF150" s="129"/>
      <c r="BG150" s="129"/>
      <c r="BH150" s="129"/>
      <c r="BI150" s="129"/>
      <c r="BJ150" s="129"/>
      <c r="BK150" s="129"/>
      <c r="BL150" s="129"/>
      <c r="BM150" s="197"/>
    </row>
    <row r="151" spans="1:65" x14ac:dyDescent="0.25">
      <c r="A151" s="121"/>
      <c r="B151" s="121"/>
      <c r="C151" s="172"/>
      <c r="D151" s="46"/>
      <c r="E151" s="46"/>
      <c r="F151" s="54"/>
      <c r="G151" s="54"/>
      <c r="H151" s="54"/>
      <c r="I151" s="54"/>
      <c r="J151" s="54"/>
      <c r="K151" s="54"/>
      <c r="L151" s="54"/>
      <c r="M151" s="54"/>
      <c r="N151" s="54"/>
      <c r="O151" s="54"/>
      <c r="P151" s="54"/>
      <c r="Q151" s="54"/>
      <c r="R151" s="54"/>
      <c r="S151" s="54"/>
      <c r="T151" s="54"/>
      <c r="U151" s="54"/>
      <c r="V151" s="54"/>
      <c r="W151" s="55"/>
      <c r="X151" s="55"/>
      <c r="Y151" s="55"/>
      <c r="Z151" s="55"/>
      <c r="AA151" s="55"/>
      <c r="AB151" s="55"/>
      <c r="AC151" s="55"/>
      <c r="AD151" s="55"/>
      <c r="AE151" s="55"/>
      <c r="AF151" s="55"/>
      <c r="AG151" s="55"/>
      <c r="AH151" s="55"/>
      <c r="AI151" s="54"/>
      <c r="AJ151" s="54"/>
      <c r="AK151" s="54"/>
      <c r="AL151" s="23"/>
      <c r="AM151" s="127"/>
      <c r="AN151" s="127"/>
      <c r="AO151" s="129"/>
      <c r="AP151" s="129"/>
      <c r="AQ151" s="129"/>
      <c r="AR151" s="129"/>
      <c r="AS151" s="129"/>
      <c r="AT151" s="129"/>
      <c r="AU151" s="129"/>
      <c r="AV151" s="129"/>
      <c r="AW151" s="129"/>
      <c r="AX151" s="197"/>
      <c r="AY151" s="197"/>
      <c r="AZ151" s="197"/>
      <c r="BA151" s="197"/>
      <c r="BB151" s="129"/>
      <c r="BC151" s="129"/>
      <c r="BD151" s="129"/>
      <c r="BE151" s="129"/>
      <c r="BF151" s="129"/>
      <c r="BG151" s="129"/>
      <c r="BH151" s="129"/>
      <c r="BI151" s="129"/>
      <c r="BJ151" s="129"/>
      <c r="BK151" s="129"/>
      <c r="BL151" s="129"/>
      <c r="BM151" s="197"/>
    </row>
    <row r="152" spans="1:65" x14ac:dyDescent="0.25">
      <c r="A152" s="121" t="s">
        <v>143</v>
      </c>
      <c r="B152" s="121" t="s">
        <v>23</v>
      </c>
      <c r="C152" s="172" t="s">
        <v>222</v>
      </c>
      <c r="D152" s="161">
        <v>10</v>
      </c>
      <c r="E152" s="29" t="str">
        <f>INDEX(ra_ScName,MATCH(D152,ra_ScNumber,0))</f>
        <v>Disclosed nominal return (incl actual asset revaluations)</v>
      </c>
      <c r="F152" s="122">
        <v>0</v>
      </c>
      <c r="G152" s="122">
        <v>0</v>
      </c>
      <c r="H152" s="122">
        <v>0</v>
      </c>
      <c r="I152" s="122">
        <v>0</v>
      </c>
      <c r="J152" s="122">
        <v>0</v>
      </c>
      <c r="K152" s="122">
        <v>0</v>
      </c>
      <c r="L152" s="122">
        <v>0</v>
      </c>
      <c r="M152" s="122">
        <v>0</v>
      </c>
      <c r="N152" s="122">
        <v>0</v>
      </c>
      <c r="O152" s="122">
        <v>0</v>
      </c>
      <c r="P152" s="122">
        <v>0</v>
      </c>
      <c r="Q152" s="122">
        <v>0</v>
      </c>
      <c r="R152" s="122">
        <v>0</v>
      </c>
      <c r="S152" s="122">
        <v>0</v>
      </c>
      <c r="T152" s="122">
        <v>0</v>
      </c>
      <c r="U152" s="122">
        <v>0</v>
      </c>
      <c r="V152" s="122">
        <v>0</v>
      </c>
      <c r="W152" s="122">
        <v>0</v>
      </c>
      <c r="X152" s="122">
        <v>0</v>
      </c>
      <c r="Y152" s="122">
        <v>0</v>
      </c>
      <c r="Z152" s="122">
        <v>0</v>
      </c>
      <c r="AA152" s="122">
        <v>0</v>
      </c>
      <c r="AB152" s="122">
        <v>0</v>
      </c>
      <c r="AC152" s="122">
        <v>0</v>
      </c>
      <c r="AD152" s="122">
        <v>0</v>
      </c>
      <c r="AE152" s="122">
        <v>0</v>
      </c>
      <c r="AF152" s="122">
        <v>0</v>
      </c>
      <c r="AG152" s="122">
        <v>0</v>
      </c>
      <c r="AH152" s="122">
        <v>0</v>
      </c>
      <c r="AI152" s="117">
        <f t="shared" si="2"/>
        <v>0</v>
      </c>
      <c r="AJ152" s="117">
        <f>SUM(F152:U152)</f>
        <v>0</v>
      </c>
      <c r="AK152" s="117">
        <f t="shared" si="3"/>
        <v>0</v>
      </c>
      <c r="AL152" s="23"/>
      <c r="AM152" s="127" t="b">
        <f>IF(INDEX($AO152:$BM152,0,$F$14)=1,TRUE,FALSE)</f>
        <v>1</v>
      </c>
      <c r="AN152" s="127" t="str">
        <f>IF(AM152,A152&amp;", "&amp;B152,"")</f>
        <v>Industry levies, 2010/11</v>
      </c>
      <c r="AO152" s="129"/>
      <c r="AP152" s="129"/>
      <c r="AQ152" s="129">
        <v>1</v>
      </c>
      <c r="AR152" s="129">
        <v>1</v>
      </c>
      <c r="AS152" s="129">
        <v>1</v>
      </c>
      <c r="AT152" s="129">
        <v>1</v>
      </c>
      <c r="AU152" s="129">
        <v>1</v>
      </c>
      <c r="AV152" s="129">
        <v>1</v>
      </c>
      <c r="AW152" s="129">
        <v>1</v>
      </c>
      <c r="AX152" s="197">
        <v>1</v>
      </c>
      <c r="AY152" s="197">
        <v>1</v>
      </c>
      <c r="AZ152" s="197">
        <v>1</v>
      </c>
      <c r="BA152" s="197">
        <v>1</v>
      </c>
      <c r="BB152" s="129">
        <v>1</v>
      </c>
      <c r="BC152" s="129">
        <v>1</v>
      </c>
      <c r="BD152" s="129">
        <v>1</v>
      </c>
      <c r="BE152" s="129">
        <v>1</v>
      </c>
      <c r="BF152" s="129">
        <v>1</v>
      </c>
      <c r="BG152" s="129">
        <v>1</v>
      </c>
      <c r="BH152" s="129">
        <v>1</v>
      </c>
      <c r="BI152" s="129">
        <v>1</v>
      </c>
      <c r="BJ152" s="129">
        <v>1</v>
      </c>
      <c r="BK152" s="129">
        <v>1</v>
      </c>
      <c r="BL152" s="129">
        <v>1</v>
      </c>
      <c r="BM152" s="197">
        <v>1</v>
      </c>
    </row>
    <row r="153" spans="1:65" x14ac:dyDescent="0.25">
      <c r="A153" s="121" t="s">
        <v>143</v>
      </c>
      <c r="B153" s="121" t="s">
        <v>24</v>
      </c>
      <c r="C153" s="172" t="s">
        <v>222</v>
      </c>
      <c r="D153" s="161">
        <v>10</v>
      </c>
      <c r="E153" s="29" t="str">
        <f>INDEX(ra_ScName,MATCH(D153,ra_ScNumber,0))</f>
        <v>Disclosed nominal return (incl actual asset revaluations)</v>
      </c>
      <c r="F153" s="122">
        <v>0</v>
      </c>
      <c r="G153" s="122">
        <v>0</v>
      </c>
      <c r="H153" s="122">
        <v>0</v>
      </c>
      <c r="I153" s="122">
        <v>0</v>
      </c>
      <c r="J153" s="122">
        <v>0</v>
      </c>
      <c r="K153" s="122">
        <v>0</v>
      </c>
      <c r="L153" s="122">
        <v>0</v>
      </c>
      <c r="M153" s="122">
        <v>0</v>
      </c>
      <c r="N153" s="122">
        <v>0</v>
      </c>
      <c r="O153" s="122">
        <v>0</v>
      </c>
      <c r="P153" s="122">
        <v>0</v>
      </c>
      <c r="Q153" s="122">
        <v>0</v>
      </c>
      <c r="R153" s="122">
        <v>0</v>
      </c>
      <c r="S153" s="122">
        <v>0</v>
      </c>
      <c r="T153" s="122">
        <v>0</v>
      </c>
      <c r="U153" s="122">
        <v>0</v>
      </c>
      <c r="V153" s="122">
        <v>0</v>
      </c>
      <c r="W153" s="122">
        <v>0</v>
      </c>
      <c r="X153" s="122">
        <v>0</v>
      </c>
      <c r="Y153" s="122">
        <v>0</v>
      </c>
      <c r="Z153" s="122">
        <v>0</v>
      </c>
      <c r="AA153" s="122">
        <v>0</v>
      </c>
      <c r="AB153" s="122">
        <v>0</v>
      </c>
      <c r="AC153" s="122">
        <v>0</v>
      </c>
      <c r="AD153" s="122">
        <v>0</v>
      </c>
      <c r="AE153" s="122">
        <v>0</v>
      </c>
      <c r="AF153" s="122">
        <v>0</v>
      </c>
      <c r="AG153" s="122">
        <v>0</v>
      </c>
      <c r="AH153" s="122">
        <v>0</v>
      </c>
      <c r="AI153" s="117">
        <f t="shared" si="2"/>
        <v>0</v>
      </c>
      <c r="AJ153" s="117">
        <f>SUM(F153:U153)</f>
        <v>0</v>
      </c>
      <c r="AK153" s="117">
        <f t="shared" si="3"/>
        <v>0</v>
      </c>
      <c r="AL153" s="23"/>
      <c r="AM153" s="127" t="b">
        <f>IF(INDEX($AO153:$BM153,0,$F$14)=1,TRUE,FALSE)</f>
        <v>1</v>
      </c>
      <c r="AN153" s="127" t="str">
        <f>IF(AM153,A153&amp;", "&amp;B153,"")</f>
        <v>Industry levies, 2011/12</v>
      </c>
      <c r="AO153" s="129"/>
      <c r="AP153" s="129"/>
      <c r="AQ153" s="129">
        <v>1</v>
      </c>
      <c r="AR153" s="129">
        <v>1</v>
      </c>
      <c r="AS153" s="129">
        <v>1</v>
      </c>
      <c r="AT153" s="129">
        <v>1</v>
      </c>
      <c r="AU153" s="129">
        <v>1</v>
      </c>
      <c r="AV153" s="129">
        <v>1</v>
      </c>
      <c r="AW153" s="129">
        <v>1</v>
      </c>
      <c r="AX153" s="197">
        <v>1</v>
      </c>
      <c r="AY153" s="197">
        <v>1</v>
      </c>
      <c r="AZ153" s="197">
        <v>1</v>
      </c>
      <c r="BA153" s="197">
        <v>1</v>
      </c>
      <c r="BB153" s="129">
        <v>1</v>
      </c>
      <c r="BC153" s="129">
        <v>1</v>
      </c>
      <c r="BD153" s="129">
        <v>1</v>
      </c>
      <c r="BE153" s="129">
        <v>1</v>
      </c>
      <c r="BF153" s="129">
        <v>1</v>
      </c>
      <c r="BG153" s="129">
        <v>1</v>
      </c>
      <c r="BH153" s="129">
        <v>1</v>
      </c>
      <c r="BI153" s="129">
        <v>1</v>
      </c>
      <c r="BJ153" s="129">
        <v>1</v>
      </c>
      <c r="BK153" s="129">
        <v>1</v>
      </c>
      <c r="BL153" s="129">
        <v>1</v>
      </c>
      <c r="BM153" s="197">
        <v>1</v>
      </c>
    </row>
    <row r="154" spans="1:65" x14ac:dyDescent="0.25">
      <c r="A154" s="121" t="s">
        <v>143</v>
      </c>
      <c r="B154" s="121" t="s">
        <v>25</v>
      </c>
      <c r="C154" s="172" t="s">
        <v>209</v>
      </c>
      <c r="D154" s="161">
        <v>10</v>
      </c>
      <c r="E154" s="29" t="str">
        <f>INDEX(ra_ScName,MATCH(D154,ra_ScNumber,0))</f>
        <v>Disclosed nominal return (incl actual asset revaluations)</v>
      </c>
      <c r="F154" s="122">
        <v>0</v>
      </c>
      <c r="G154" s="122">
        <v>0</v>
      </c>
      <c r="H154" s="122">
        <v>17</v>
      </c>
      <c r="I154" s="122">
        <v>0</v>
      </c>
      <c r="J154" s="122">
        <v>0</v>
      </c>
      <c r="K154" s="122">
        <v>0</v>
      </c>
      <c r="L154" s="122">
        <v>0</v>
      </c>
      <c r="M154" s="122">
        <v>0</v>
      </c>
      <c r="N154" s="122">
        <v>0</v>
      </c>
      <c r="O154" s="122">
        <v>0</v>
      </c>
      <c r="P154" s="122">
        <v>0</v>
      </c>
      <c r="Q154" s="122">
        <v>0</v>
      </c>
      <c r="R154" s="122">
        <v>0</v>
      </c>
      <c r="S154" s="122">
        <v>0</v>
      </c>
      <c r="T154" s="122">
        <v>0</v>
      </c>
      <c r="U154" s="122">
        <v>0</v>
      </c>
      <c r="V154" s="122">
        <v>0</v>
      </c>
      <c r="W154" s="122">
        <v>0</v>
      </c>
      <c r="X154" s="122">
        <v>0</v>
      </c>
      <c r="Y154" s="122">
        <v>0</v>
      </c>
      <c r="Z154" s="122">
        <v>84</v>
      </c>
      <c r="AA154" s="122">
        <v>0</v>
      </c>
      <c r="AB154" s="122">
        <v>0</v>
      </c>
      <c r="AC154" s="122">
        <v>0</v>
      </c>
      <c r="AD154" s="122">
        <v>0</v>
      </c>
      <c r="AE154" s="122">
        <v>116</v>
      </c>
      <c r="AF154" s="122">
        <v>0</v>
      </c>
      <c r="AG154" s="122">
        <v>0</v>
      </c>
      <c r="AH154" s="122">
        <v>0</v>
      </c>
      <c r="AI154" s="117">
        <f t="shared" ref="AI154:AI217" si="4">SUM(F154:AH154)</f>
        <v>217</v>
      </c>
      <c r="AJ154" s="117">
        <f>SUM(F154:U154)</f>
        <v>17</v>
      </c>
      <c r="AK154" s="117">
        <f t="shared" ref="AK154:AK217" si="5">SUM(W154:AH154)</f>
        <v>200</v>
      </c>
      <c r="AL154" s="23"/>
      <c r="AM154" s="127" t="b">
        <f>IF(INDEX($AO154:$BM154,0,$F$14)=1,TRUE,FALSE)</f>
        <v>1</v>
      </c>
      <c r="AN154" s="127" t="str">
        <f>IF(AM154,A154&amp;", "&amp;B154,"")</f>
        <v>Industry levies, 2012/13</v>
      </c>
      <c r="AO154" s="129"/>
      <c r="AP154" s="129"/>
      <c r="AQ154" s="129">
        <v>1</v>
      </c>
      <c r="AR154" s="129">
        <v>1</v>
      </c>
      <c r="AS154" s="129">
        <v>1</v>
      </c>
      <c r="AT154" s="129">
        <v>1</v>
      </c>
      <c r="AU154" s="129">
        <v>1</v>
      </c>
      <c r="AV154" s="129">
        <v>1</v>
      </c>
      <c r="AW154" s="129">
        <v>1</v>
      </c>
      <c r="AX154" s="197">
        <v>1</v>
      </c>
      <c r="AY154" s="197">
        <v>1</v>
      </c>
      <c r="AZ154" s="197">
        <v>1</v>
      </c>
      <c r="BA154" s="197">
        <v>1</v>
      </c>
      <c r="BB154" s="129">
        <v>1</v>
      </c>
      <c r="BC154" s="129">
        <v>1</v>
      </c>
      <c r="BD154" s="129">
        <v>1</v>
      </c>
      <c r="BE154" s="129">
        <v>1</v>
      </c>
      <c r="BF154" s="129">
        <v>1</v>
      </c>
      <c r="BG154" s="129">
        <v>1</v>
      </c>
      <c r="BH154" s="129">
        <v>1</v>
      </c>
      <c r="BI154" s="129">
        <v>1</v>
      </c>
      <c r="BJ154" s="129">
        <v>1</v>
      </c>
      <c r="BK154" s="129">
        <v>1</v>
      </c>
      <c r="BL154" s="129">
        <v>1</v>
      </c>
      <c r="BM154" s="197">
        <v>1</v>
      </c>
    </row>
    <row r="155" spans="1:65" x14ac:dyDescent="0.25">
      <c r="A155" s="121" t="s">
        <v>143</v>
      </c>
      <c r="B155" s="121" t="s">
        <v>26</v>
      </c>
      <c r="C155" s="172" t="s">
        <v>209</v>
      </c>
      <c r="D155" s="161">
        <v>10</v>
      </c>
      <c r="E155" s="29" t="str">
        <f>INDEX(ra_ScName,MATCH(D155,ra_ScNumber,0))</f>
        <v>Disclosed nominal return (incl actual asset revaluations)</v>
      </c>
      <c r="F155" s="122">
        <v>0</v>
      </c>
      <c r="G155" s="122">
        <v>0</v>
      </c>
      <c r="H155" s="122">
        <v>12</v>
      </c>
      <c r="I155" s="122">
        <v>0</v>
      </c>
      <c r="J155" s="122">
        <v>0</v>
      </c>
      <c r="K155" s="122">
        <v>0</v>
      </c>
      <c r="L155" s="122">
        <v>0</v>
      </c>
      <c r="M155" s="122">
        <v>0</v>
      </c>
      <c r="N155" s="122">
        <v>0</v>
      </c>
      <c r="O155" s="122">
        <v>0</v>
      </c>
      <c r="P155" s="122">
        <v>0</v>
      </c>
      <c r="Q155" s="122">
        <v>0</v>
      </c>
      <c r="R155" s="122">
        <v>0</v>
      </c>
      <c r="S155" s="122">
        <v>0</v>
      </c>
      <c r="T155" s="122">
        <v>0</v>
      </c>
      <c r="U155" s="122">
        <v>0</v>
      </c>
      <c r="V155" s="122">
        <v>0</v>
      </c>
      <c r="W155" s="122">
        <v>0</v>
      </c>
      <c r="X155" s="122">
        <v>0</v>
      </c>
      <c r="Y155" s="122">
        <v>0</v>
      </c>
      <c r="Z155" s="122">
        <v>89</v>
      </c>
      <c r="AA155" s="122">
        <v>0</v>
      </c>
      <c r="AB155" s="122">
        <v>0</v>
      </c>
      <c r="AC155" s="122">
        <v>0</v>
      </c>
      <c r="AD155" s="122">
        <v>0</v>
      </c>
      <c r="AE155" s="122">
        <v>102</v>
      </c>
      <c r="AF155" s="122">
        <v>0</v>
      </c>
      <c r="AG155" s="122">
        <v>0</v>
      </c>
      <c r="AH155" s="122">
        <v>0</v>
      </c>
      <c r="AI155" s="117">
        <f t="shared" si="4"/>
        <v>203</v>
      </c>
      <c r="AJ155" s="117">
        <f>SUM(F155:U155)</f>
        <v>12</v>
      </c>
      <c r="AK155" s="117">
        <f t="shared" si="5"/>
        <v>191</v>
      </c>
      <c r="AL155" s="23"/>
      <c r="AM155" s="127" t="b">
        <f>IF(INDEX($AO155:$BM155,0,$F$14)=1,TRUE,FALSE)</f>
        <v>1</v>
      </c>
      <c r="AN155" s="127" t="str">
        <f>IF(AM155,A155&amp;", "&amp;B155,"")</f>
        <v>Industry levies, 2013/14</v>
      </c>
      <c r="AO155" s="129"/>
      <c r="AP155" s="129"/>
      <c r="AQ155" s="129">
        <v>1</v>
      </c>
      <c r="AR155" s="129">
        <v>1</v>
      </c>
      <c r="AS155" s="129">
        <v>1</v>
      </c>
      <c r="AT155" s="129">
        <v>1</v>
      </c>
      <c r="AU155" s="129">
        <v>1</v>
      </c>
      <c r="AV155" s="129">
        <v>1</v>
      </c>
      <c r="AW155" s="129">
        <v>1</v>
      </c>
      <c r="AX155" s="197">
        <v>1</v>
      </c>
      <c r="AY155" s="197">
        <v>1</v>
      </c>
      <c r="AZ155" s="197">
        <v>1</v>
      </c>
      <c r="BA155" s="197">
        <v>1</v>
      </c>
      <c r="BB155" s="129">
        <v>1</v>
      </c>
      <c r="BC155" s="129">
        <v>1</v>
      </c>
      <c r="BD155" s="129">
        <v>1</v>
      </c>
      <c r="BE155" s="129">
        <v>1</v>
      </c>
      <c r="BF155" s="129">
        <v>1</v>
      </c>
      <c r="BG155" s="129">
        <v>1</v>
      </c>
      <c r="BH155" s="129">
        <v>1</v>
      </c>
      <c r="BI155" s="129">
        <v>1</v>
      </c>
      <c r="BJ155" s="129">
        <v>1</v>
      </c>
      <c r="BK155" s="129">
        <v>1</v>
      </c>
      <c r="BL155" s="129">
        <v>1</v>
      </c>
      <c r="BM155" s="197">
        <v>1</v>
      </c>
    </row>
    <row r="156" spans="1:65" x14ac:dyDescent="0.25">
      <c r="A156" s="121" t="s">
        <v>143</v>
      </c>
      <c r="B156" s="121" t="s">
        <v>27</v>
      </c>
      <c r="C156" s="172" t="s">
        <v>209</v>
      </c>
      <c r="D156" s="161">
        <v>10</v>
      </c>
      <c r="E156" s="29" t="str">
        <f>INDEX(ra_ScName,MATCH(D156,ra_ScNumber,0))</f>
        <v>Disclosed nominal return (incl actual asset revaluations)</v>
      </c>
      <c r="F156" s="122">
        <v>147</v>
      </c>
      <c r="G156" s="122">
        <v>324</v>
      </c>
      <c r="H156" s="122">
        <v>25</v>
      </c>
      <c r="I156" s="122">
        <v>86.031210000000002</v>
      </c>
      <c r="J156" s="122">
        <v>113</v>
      </c>
      <c r="K156" s="122">
        <v>32.594999999999999</v>
      </c>
      <c r="L156" s="122">
        <v>90.003219999999985</v>
      </c>
      <c r="M156" s="122">
        <v>38</v>
      </c>
      <c r="N156" s="122">
        <v>131</v>
      </c>
      <c r="O156" s="122">
        <v>79.284000000000006</v>
      </c>
      <c r="P156" s="122">
        <v>1117.49449</v>
      </c>
      <c r="Q156" s="122">
        <v>71</v>
      </c>
      <c r="R156" s="122">
        <v>80.983220000000003</v>
      </c>
      <c r="S156" s="122">
        <v>415.22154999999998</v>
      </c>
      <c r="T156" s="122">
        <v>1916</v>
      </c>
      <c r="U156" s="122">
        <v>563.48298999999997</v>
      </c>
      <c r="V156" s="122">
        <v>697.43</v>
      </c>
      <c r="W156" s="122">
        <v>18.44041</v>
      </c>
      <c r="X156" s="122">
        <v>116</v>
      </c>
      <c r="Y156" s="122">
        <v>115.68539999999999</v>
      </c>
      <c r="Z156" s="122">
        <v>125</v>
      </c>
      <c r="AA156" s="122">
        <v>94</v>
      </c>
      <c r="AB156" s="122">
        <v>57</v>
      </c>
      <c r="AC156" s="122">
        <v>192</v>
      </c>
      <c r="AD156" s="122">
        <v>0</v>
      </c>
      <c r="AE156" s="122">
        <v>140</v>
      </c>
      <c r="AF156" s="122">
        <v>75.903000000000006</v>
      </c>
      <c r="AG156" s="122">
        <v>247.29003999999998</v>
      </c>
      <c r="AH156" s="122">
        <v>61</v>
      </c>
      <c r="AI156" s="117">
        <f t="shared" si="4"/>
        <v>7169.8445300000012</v>
      </c>
      <c r="AJ156" s="117">
        <f>SUM(F156:U156)</f>
        <v>5230.0956800000004</v>
      </c>
      <c r="AK156" s="117">
        <f t="shared" si="5"/>
        <v>1242.3188500000001</v>
      </c>
      <c r="AL156" s="23"/>
      <c r="AM156" s="127" t="b">
        <f>IF(INDEX($AO156:$BM156,0,$F$14)=1,TRUE,FALSE)</f>
        <v>1</v>
      </c>
      <c r="AN156" s="127" t="str">
        <f>IF(AM156,A156&amp;", "&amp;B156,"")</f>
        <v>Industry levies, 2014/15</v>
      </c>
      <c r="AO156" s="129"/>
      <c r="AP156" s="129"/>
      <c r="AQ156" s="129">
        <v>1</v>
      </c>
      <c r="AR156" s="129">
        <v>1</v>
      </c>
      <c r="AS156" s="129">
        <v>1</v>
      </c>
      <c r="AT156" s="129">
        <v>1</v>
      </c>
      <c r="AU156" s="129">
        <v>1</v>
      </c>
      <c r="AV156" s="129">
        <v>1</v>
      </c>
      <c r="AW156" s="129">
        <v>1</v>
      </c>
      <c r="AX156" s="197">
        <v>1</v>
      </c>
      <c r="AY156" s="197">
        <v>1</v>
      </c>
      <c r="AZ156" s="197">
        <v>1</v>
      </c>
      <c r="BA156" s="197">
        <v>1</v>
      </c>
      <c r="BB156" s="129">
        <v>1</v>
      </c>
      <c r="BC156" s="129">
        <v>1</v>
      </c>
      <c r="BD156" s="129">
        <v>1</v>
      </c>
      <c r="BE156" s="129">
        <v>1</v>
      </c>
      <c r="BF156" s="129">
        <v>1</v>
      </c>
      <c r="BG156" s="129">
        <v>1</v>
      </c>
      <c r="BH156" s="129">
        <v>1</v>
      </c>
      <c r="BI156" s="129">
        <v>1</v>
      </c>
      <c r="BJ156" s="129">
        <v>1</v>
      </c>
      <c r="BK156" s="129">
        <v>1</v>
      </c>
      <c r="BL156" s="129">
        <v>1</v>
      </c>
      <c r="BM156" s="197">
        <v>1</v>
      </c>
    </row>
    <row r="157" spans="1:65" x14ac:dyDescent="0.25">
      <c r="A157" s="121"/>
      <c r="B157" s="121"/>
      <c r="C157" s="172"/>
      <c r="D157" s="49"/>
      <c r="E157" s="49"/>
      <c r="F157" s="54"/>
      <c r="G157" s="54"/>
      <c r="H157" s="54"/>
      <c r="I157" s="54"/>
      <c r="J157" s="54"/>
      <c r="K157" s="54"/>
      <c r="L157" s="54"/>
      <c r="M157" s="54"/>
      <c r="N157" s="54"/>
      <c r="O157" s="54"/>
      <c r="P157" s="54"/>
      <c r="Q157" s="54"/>
      <c r="R157" s="54"/>
      <c r="S157" s="54"/>
      <c r="T157" s="54"/>
      <c r="U157" s="54"/>
      <c r="V157" s="54"/>
      <c r="W157" s="55"/>
      <c r="X157" s="55"/>
      <c r="Y157" s="55"/>
      <c r="Z157" s="55"/>
      <c r="AA157" s="55"/>
      <c r="AB157" s="55"/>
      <c r="AC157" s="55"/>
      <c r="AD157" s="55"/>
      <c r="AE157" s="55"/>
      <c r="AF157" s="55"/>
      <c r="AG157" s="55"/>
      <c r="AH157" s="55"/>
      <c r="AI157" s="54"/>
      <c r="AJ157" s="54"/>
      <c r="AK157" s="54"/>
      <c r="AL157" s="23"/>
      <c r="AM157" s="127"/>
      <c r="AN157" s="127"/>
      <c r="AO157" s="129"/>
      <c r="AP157" s="129"/>
      <c r="AQ157" s="129"/>
      <c r="AR157" s="129"/>
      <c r="AS157" s="129"/>
      <c r="AT157" s="129"/>
      <c r="AU157" s="129"/>
      <c r="AV157" s="129"/>
      <c r="AW157" s="129"/>
      <c r="AX157" s="197"/>
      <c r="AY157" s="197"/>
      <c r="AZ157" s="197"/>
      <c r="BA157" s="197"/>
      <c r="BB157" s="129"/>
      <c r="BC157" s="129"/>
      <c r="BD157" s="129"/>
      <c r="BE157" s="129"/>
      <c r="BF157" s="129"/>
      <c r="BG157" s="129"/>
      <c r="BH157" s="129"/>
      <c r="BI157" s="129"/>
      <c r="BJ157" s="129"/>
      <c r="BK157" s="129"/>
      <c r="BL157" s="129"/>
      <c r="BM157" s="197"/>
    </row>
    <row r="158" spans="1:65" x14ac:dyDescent="0.25">
      <c r="A158" s="121"/>
      <c r="B158" s="121"/>
      <c r="C158" s="172"/>
      <c r="D158" s="46"/>
      <c r="E158" s="46"/>
      <c r="F158" s="54"/>
      <c r="G158" s="54"/>
      <c r="H158" s="54"/>
      <c r="I158" s="54"/>
      <c r="J158" s="54"/>
      <c r="K158" s="54"/>
      <c r="L158" s="54"/>
      <c r="M158" s="54"/>
      <c r="N158" s="54"/>
      <c r="O158" s="54"/>
      <c r="P158" s="54"/>
      <c r="Q158" s="54"/>
      <c r="R158" s="54"/>
      <c r="S158" s="54"/>
      <c r="T158" s="54"/>
      <c r="U158" s="54"/>
      <c r="V158" s="54"/>
      <c r="W158" s="55"/>
      <c r="X158" s="55"/>
      <c r="Y158" s="55"/>
      <c r="Z158" s="55"/>
      <c r="AA158" s="55"/>
      <c r="AB158" s="55"/>
      <c r="AC158" s="55"/>
      <c r="AD158" s="55"/>
      <c r="AE158" s="55"/>
      <c r="AF158" s="55"/>
      <c r="AG158" s="55"/>
      <c r="AH158" s="55"/>
      <c r="AI158" s="54"/>
      <c r="AJ158" s="54"/>
      <c r="AK158" s="54"/>
      <c r="AL158" s="23"/>
      <c r="AM158" s="127"/>
      <c r="AN158" s="127"/>
      <c r="AO158" s="129"/>
      <c r="AP158" s="129"/>
      <c r="AQ158" s="129"/>
      <c r="AR158" s="129"/>
      <c r="AS158" s="129"/>
      <c r="AT158" s="129"/>
      <c r="AU158" s="129"/>
      <c r="AV158" s="129"/>
      <c r="AW158" s="129"/>
      <c r="AX158" s="197"/>
      <c r="AY158" s="197"/>
      <c r="AZ158" s="197"/>
      <c r="BA158" s="197"/>
      <c r="BB158" s="129"/>
      <c r="BC158" s="129"/>
      <c r="BD158" s="129"/>
      <c r="BE158" s="129"/>
      <c r="BF158" s="129"/>
      <c r="BG158" s="129"/>
      <c r="BH158" s="129"/>
      <c r="BI158" s="129"/>
      <c r="BJ158" s="129"/>
      <c r="BK158" s="129"/>
      <c r="BL158" s="129"/>
      <c r="BM158" s="197"/>
    </row>
    <row r="159" spans="1:65" x14ac:dyDescent="0.25">
      <c r="A159" s="121" t="s">
        <v>144</v>
      </c>
      <c r="B159" s="121" t="s">
        <v>23</v>
      </c>
      <c r="C159" s="186" t="s">
        <v>222</v>
      </c>
      <c r="D159" s="161">
        <v>1</v>
      </c>
      <c r="E159" s="29" t="str">
        <f>INDEX(ra_ScName,MATCH(D159,ra_ScNumber,0))</f>
        <v>Expected nominal return (incl forecast asset revaluations)</v>
      </c>
      <c r="F159" s="54"/>
      <c r="G159" s="54"/>
      <c r="H159" s="54"/>
      <c r="I159" s="54"/>
      <c r="J159" s="54"/>
      <c r="K159" s="54"/>
      <c r="L159" s="54"/>
      <c r="M159" s="54"/>
      <c r="N159" s="54"/>
      <c r="O159" s="54"/>
      <c r="P159" s="54"/>
      <c r="Q159" s="54"/>
      <c r="R159" s="54"/>
      <c r="S159" s="54"/>
      <c r="T159" s="54"/>
      <c r="U159" s="54"/>
      <c r="V159" s="54"/>
      <c r="W159" s="55"/>
      <c r="X159" s="55"/>
      <c r="Y159" s="55"/>
      <c r="Z159" s="55"/>
      <c r="AA159" s="55"/>
      <c r="AB159" s="55"/>
      <c r="AC159" s="55"/>
      <c r="AD159" s="55"/>
      <c r="AE159" s="55"/>
      <c r="AF159" s="55"/>
      <c r="AG159" s="55"/>
      <c r="AH159" s="55"/>
      <c r="AI159" s="117">
        <f t="shared" si="4"/>
        <v>0</v>
      </c>
      <c r="AJ159" s="117">
        <f>SUM(F159:U159)</f>
        <v>0</v>
      </c>
      <c r="AK159" s="117">
        <f t="shared" si="5"/>
        <v>0</v>
      </c>
      <c r="AL159" s="23"/>
      <c r="AM159" s="127" t="b">
        <f>IF(INDEX($AO159:$BM159,0,$F$14)=1,TRUE,FALSE)</f>
        <v>0</v>
      </c>
      <c r="AN159" s="127" t="str">
        <f>IF(AM159,A159&amp;", "&amp;B159,"")</f>
        <v/>
      </c>
      <c r="AO159" s="129">
        <v>1</v>
      </c>
      <c r="AP159" s="129">
        <v>1</v>
      </c>
      <c r="AQ159" s="129"/>
      <c r="AR159" s="129"/>
      <c r="AS159" s="129"/>
      <c r="AT159" s="129"/>
      <c r="AU159" s="129"/>
      <c r="AV159" s="129"/>
      <c r="AW159" s="129"/>
      <c r="AX159" s="197"/>
      <c r="AY159" s="197"/>
      <c r="AZ159" s="197"/>
      <c r="BA159" s="197"/>
      <c r="BB159" s="129"/>
      <c r="BC159" s="129"/>
      <c r="BD159" s="129"/>
      <c r="BE159" s="129"/>
      <c r="BF159" s="129"/>
      <c r="BG159" s="129"/>
      <c r="BH159" s="129"/>
      <c r="BI159" s="129"/>
      <c r="BJ159" s="129"/>
      <c r="BK159" s="129"/>
      <c r="BL159" s="129"/>
      <c r="BM159" s="197"/>
    </row>
    <row r="160" spans="1:65" x14ac:dyDescent="0.25">
      <c r="A160" s="121" t="s">
        <v>144</v>
      </c>
      <c r="B160" s="121" t="s">
        <v>24</v>
      </c>
      <c r="C160" s="186" t="s">
        <v>222</v>
      </c>
      <c r="D160" s="161">
        <v>1</v>
      </c>
      <c r="E160" s="29" t="str">
        <f>INDEX(ra_ScName,MATCH(D160,ra_ScNumber,0))</f>
        <v>Expected nominal return (incl forecast asset revaluations)</v>
      </c>
      <c r="F160" s="54"/>
      <c r="G160" s="54"/>
      <c r="H160" s="54"/>
      <c r="I160" s="54"/>
      <c r="J160" s="54"/>
      <c r="K160" s="54"/>
      <c r="L160" s="54"/>
      <c r="M160" s="54"/>
      <c r="N160" s="54"/>
      <c r="O160" s="54"/>
      <c r="P160" s="54"/>
      <c r="Q160" s="54"/>
      <c r="R160" s="54"/>
      <c r="S160" s="54"/>
      <c r="T160" s="54"/>
      <c r="U160" s="54"/>
      <c r="V160" s="54"/>
      <c r="W160" s="55"/>
      <c r="X160" s="55"/>
      <c r="Y160" s="55"/>
      <c r="Z160" s="55"/>
      <c r="AA160" s="55"/>
      <c r="AB160" s="55"/>
      <c r="AC160" s="55"/>
      <c r="AD160" s="55"/>
      <c r="AE160" s="55"/>
      <c r="AF160" s="55"/>
      <c r="AG160" s="55"/>
      <c r="AH160" s="55"/>
      <c r="AI160" s="117">
        <f t="shared" si="4"/>
        <v>0</v>
      </c>
      <c r="AJ160" s="117">
        <f>SUM(F160:U160)</f>
        <v>0</v>
      </c>
      <c r="AK160" s="117">
        <f t="shared" si="5"/>
        <v>0</v>
      </c>
      <c r="AL160" s="23"/>
      <c r="AM160" s="127" t="b">
        <f>IF(INDEX($AO160:$BM160,0,$F$14)=1,TRUE,FALSE)</f>
        <v>0</v>
      </c>
      <c r="AN160" s="127" t="str">
        <f>IF(AM160,A160&amp;", "&amp;B160,"")</f>
        <v/>
      </c>
      <c r="AO160" s="129">
        <v>1</v>
      </c>
      <c r="AP160" s="129">
        <v>1</v>
      </c>
      <c r="AQ160" s="129"/>
      <c r="AR160" s="129"/>
      <c r="AS160" s="129"/>
      <c r="AT160" s="129"/>
      <c r="AU160" s="129"/>
      <c r="AV160" s="129"/>
      <c r="AW160" s="129"/>
      <c r="AX160" s="197"/>
      <c r="AY160" s="197"/>
      <c r="AZ160" s="197"/>
      <c r="BA160" s="197"/>
      <c r="BB160" s="129"/>
      <c r="BC160" s="129"/>
      <c r="BD160" s="129"/>
      <c r="BE160" s="129"/>
      <c r="BF160" s="129"/>
      <c r="BG160" s="129"/>
      <c r="BH160" s="129"/>
      <c r="BI160" s="129"/>
      <c r="BJ160" s="129"/>
      <c r="BK160" s="129"/>
      <c r="BL160" s="129"/>
      <c r="BM160" s="197"/>
    </row>
    <row r="161" spans="1:65" x14ac:dyDescent="0.25">
      <c r="A161" s="121" t="s">
        <v>144</v>
      </c>
      <c r="B161" s="121" t="s">
        <v>25</v>
      </c>
      <c r="C161" s="186" t="s">
        <v>222</v>
      </c>
      <c r="D161" s="161">
        <v>1</v>
      </c>
      <c r="E161" s="29" t="str">
        <f>INDEX(ra_ScName,MATCH(D161,ra_ScNumber,0))</f>
        <v>Expected nominal return (incl forecast asset revaluations)</v>
      </c>
      <c r="F161" s="54"/>
      <c r="G161" s="54"/>
      <c r="H161" s="54"/>
      <c r="I161" s="54"/>
      <c r="J161" s="54"/>
      <c r="K161" s="54"/>
      <c r="L161" s="54"/>
      <c r="M161" s="54"/>
      <c r="N161" s="54"/>
      <c r="O161" s="54"/>
      <c r="P161" s="54"/>
      <c r="Q161" s="54"/>
      <c r="R161" s="54"/>
      <c r="S161" s="54"/>
      <c r="T161" s="54"/>
      <c r="U161" s="54"/>
      <c r="V161" s="54"/>
      <c r="W161" s="55"/>
      <c r="X161" s="55"/>
      <c r="Y161" s="55"/>
      <c r="Z161" s="55"/>
      <c r="AA161" s="55"/>
      <c r="AB161" s="55"/>
      <c r="AC161" s="55"/>
      <c r="AD161" s="55"/>
      <c r="AE161" s="55"/>
      <c r="AF161" s="55"/>
      <c r="AG161" s="55"/>
      <c r="AH161" s="55"/>
      <c r="AI161" s="117">
        <f t="shared" si="4"/>
        <v>0</v>
      </c>
      <c r="AJ161" s="117">
        <f>SUM(F161:U161)</f>
        <v>0</v>
      </c>
      <c r="AK161" s="117">
        <f t="shared" si="5"/>
        <v>0</v>
      </c>
      <c r="AL161" s="23"/>
      <c r="AM161" s="127" t="b">
        <f>IF(INDEX($AO161:$BM161,0,$F$14)=1,TRUE,FALSE)</f>
        <v>0</v>
      </c>
      <c r="AN161" s="127" t="str">
        <f>IF(AM161,A161&amp;", "&amp;B161,"")</f>
        <v/>
      </c>
      <c r="AO161" s="129">
        <v>1</v>
      </c>
      <c r="AP161" s="129">
        <v>1</v>
      </c>
      <c r="AQ161" s="129"/>
      <c r="AR161" s="129"/>
      <c r="AS161" s="129"/>
      <c r="AT161" s="129"/>
      <c r="AU161" s="129"/>
      <c r="AV161" s="129"/>
      <c r="AW161" s="129"/>
      <c r="AX161" s="197"/>
      <c r="AY161" s="197"/>
      <c r="AZ161" s="197"/>
      <c r="BA161" s="197"/>
      <c r="BB161" s="129"/>
      <c r="BC161" s="129"/>
      <c r="BD161" s="129"/>
      <c r="BE161" s="129"/>
      <c r="BF161" s="129"/>
      <c r="BG161" s="129"/>
      <c r="BH161" s="129"/>
      <c r="BI161" s="129"/>
      <c r="BJ161" s="129"/>
      <c r="BK161" s="129"/>
      <c r="BL161" s="129"/>
      <c r="BM161" s="197"/>
    </row>
    <row r="162" spans="1:65" x14ac:dyDescent="0.25">
      <c r="A162" s="121" t="s">
        <v>144</v>
      </c>
      <c r="B162" s="121" t="s">
        <v>26</v>
      </c>
      <c r="C162" s="186" t="s">
        <v>222</v>
      </c>
      <c r="D162" s="161">
        <v>1</v>
      </c>
      <c r="E162" s="29" t="str">
        <f>INDEX(ra_ScName,MATCH(D162,ra_ScNumber,0))</f>
        <v>Expected nominal return (incl forecast asset revaluations)</v>
      </c>
      <c r="F162" s="54"/>
      <c r="G162" s="54"/>
      <c r="H162" s="54"/>
      <c r="I162" s="54"/>
      <c r="J162" s="54"/>
      <c r="K162" s="54"/>
      <c r="L162" s="54"/>
      <c r="M162" s="54"/>
      <c r="N162" s="54"/>
      <c r="O162" s="54"/>
      <c r="P162" s="54"/>
      <c r="Q162" s="54"/>
      <c r="R162" s="54"/>
      <c r="S162" s="54"/>
      <c r="T162" s="54"/>
      <c r="U162" s="54"/>
      <c r="V162" s="54"/>
      <c r="W162" s="55"/>
      <c r="X162" s="55"/>
      <c r="Y162" s="55"/>
      <c r="Z162" s="55"/>
      <c r="AA162" s="55"/>
      <c r="AB162" s="55"/>
      <c r="AC162" s="55"/>
      <c r="AD162" s="55"/>
      <c r="AE162" s="55"/>
      <c r="AF162" s="55"/>
      <c r="AG162" s="55"/>
      <c r="AH162" s="55"/>
      <c r="AI162" s="117">
        <f t="shared" si="4"/>
        <v>0</v>
      </c>
      <c r="AJ162" s="117">
        <f>SUM(F162:U162)</f>
        <v>0</v>
      </c>
      <c r="AK162" s="117">
        <f t="shared" si="5"/>
        <v>0</v>
      </c>
      <c r="AL162" s="23"/>
      <c r="AM162" s="127" t="b">
        <f>IF(INDEX($AO162:$BM162,0,$F$14)=1,TRUE,FALSE)</f>
        <v>0</v>
      </c>
      <c r="AN162" s="127" t="str">
        <f>IF(AM162,A162&amp;", "&amp;B162,"")</f>
        <v/>
      </c>
      <c r="AO162" s="129">
        <v>1</v>
      </c>
      <c r="AP162" s="129">
        <v>1</v>
      </c>
      <c r="AQ162" s="129"/>
      <c r="AR162" s="129"/>
      <c r="AS162" s="129"/>
      <c r="AT162" s="129"/>
      <c r="AU162" s="129"/>
      <c r="AV162" s="129"/>
      <c r="AW162" s="129"/>
      <c r="AX162" s="197"/>
      <c r="AY162" s="197"/>
      <c r="AZ162" s="197"/>
      <c r="BA162" s="197"/>
      <c r="BB162" s="129"/>
      <c r="BC162" s="129"/>
      <c r="BD162" s="129"/>
      <c r="BE162" s="129"/>
      <c r="BF162" s="129"/>
      <c r="BG162" s="129"/>
      <c r="BH162" s="129"/>
      <c r="BI162" s="129"/>
      <c r="BJ162" s="129"/>
      <c r="BK162" s="129"/>
      <c r="BL162" s="129"/>
      <c r="BM162" s="197"/>
    </row>
    <row r="163" spans="1:65" x14ac:dyDescent="0.25">
      <c r="A163" s="121" t="s">
        <v>144</v>
      </c>
      <c r="B163" s="121" t="s">
        <v>27</v>
      </c>
      <c r="C163" s="186" t="s">
        <v>222</v>
      </c>
      <c r="D163" s="161">
        <v>1</v>
      </c>
      <c r="E163" s="29" t="str">
        <f>INDEX(ra_ScName,MATCH(D163,ra_ScNumber,0))</f>
        <v>Expected nominal return (incl forecast asset revaluations)</v>
      </c>
      <c r="F163" s="54"/>
      <c r="G163" s="54"/>
      <c r="H163" s="54"/>
      <c r="I163" s="54"/>
      <c r="J163" s="54"/>
      <c r="K163" s="54"/>
      <c r="L163" s="54"/>
      <c r="M163" s="54"/>
      <c r="N163" s="54"/>
      <c r="O163" s="54"/>
      <c r="P163" s="54"/>
      <c r="Q163" s="54"/>
      <c r="R163" s="54"/>
      <c r="S163" s="54"/>
      <c r="T163" s="54"/>
      <c r="U163" s="54"/>
      <c r="V163" s="54"/>
      <c r="W163" s="55"/>
      <c r="X163" s="55"/>
      <c r="Y163" s="55"/>
      <c r="Z163" s="55"/>
      <c r="AA163" s="55"/>
      <c r="AB163" s="55"/>
      <c r="AC163" s="55"/>
      <c r="AD163" s="55"/>
      <c r="AE163" s="55"/>
      <c r="AF163" s="55"/>
      <c r="AG163" s="55"/>
      <c r="AH163" s="55"/>
      <c r="AI163" s="117">
        <f t="shared" si="4"/>
        <v>0</v>
      </c>
      <c r="AJ163" s="117">
        <f>SUM(F163:U163)</f>
        <v>0</v>
      </c>
      <c r="AK163" s="117">
        <f t="shared" si="5"/>
        <v>0</v>
      </c>
      <c r="AL163" s="23"/>
      <c r="AM163" s="127" t="b">
        <f>IF(INDEX($AO163:$BM163,0,$F$14)=1,TRUE,FALSE)</f>
        <v>0</v>
      </c>
      <c r="AN163" s="127" t="str">
        <f>IF(AM163,A163&amp;", "&amp;B163,"")</f>
        <v/>
      </c>
      <c r="AO163" s="129">
        <v>1</v>
      </c>
      <c r="AP163" s="129">
        <v>1</v>
      </c>
      <c r="AQ163" s="129"/>
      <c r="AR163" s="129"/>
      <c r="AS163" s="129"/>
      <c r="AT163" s="129"/>
      <c r="AU163" s="129"/>
      <c r="AV163" s="129"/>
      <c r="AW163" s="129"/>
      <c r="AX163" s="197"/>
      <c r="AY163" s="197"/>
      <c r="AZ163" s="197"/>
      <c r="BA163" s="197"/>
      <c r="BB163" s="129"/>
      <c r="BC163" s="129"/>
      <c r="BD163" s="129"/>
      <c r="BE163" s="129"/>
      <c r="BF163" s="129"/>
      <c r="BG163" s="129"/>
      <c r="BH163" s="129"/>
      <c r="BI163" s="129"/>
      <c r="BJ163" s="129"/>
      <c r="BK163" s="129"/>
      <c r="BL163" s="129"/>
      <c r="BM163" s="197"/>
    </row>
    <row r="164" spans="1:65" x14ac:dyDescent="0.25">
      <c r="A164" s="121"/>
      <c r="B164" s="121"/>
      <c r="C164" s="172"/>
      <c r="D164" s="49"/>
      <c r="E164" s="49"/>
      <c r="F164" s="54"/>
      <c r="G164" s="54"/>
      <c r="H164" s="54"/>
      <c r="I164" s="54"/>
      <c r="J164" s="54"/>
      <c r="K164" s="54"/>
      <c r="L164" s="54"/>
      <c r="M164" s="54"/>
      <c r="N164" s="54"/>
      <c r="O164" s="54"/>
      <c r="P164" s="54"/>
      <c r="Q164" s="54"/>
      <c r="R164" s="54"/>
      <c r="S164" s="54"/>
      <c r="T164" s="54"/>
      <c r="U164" s="54"/>
      <c r="V164" s="54"/>
      <c r="W164" s="55"/>
      <c r="X164" s="55"/>
      <c r="Y164" s="55"/>
      <c r="Z164" s="55"/>
      <c r="AA164" s="55"/>
      <c r="AB164" s="55"/>
      <c r="AC164" s="55"/>
      <c r="AD164" s="55"/>
      <c r="AE164" s="55"/>
      <c r="AF164" s="55"/>
      <c r="AG164" s="55"/>
      <c r="AH164" s="55"/>
      <c r="AI164" s="54"/>
      <c r="AJ164" s="54"/>
      <c r="AK164" s="54"/>
      <c r="AL164" s="23"/>
      <c r="AM164" s="127"/>
      <c r="AN164" s="127"/>
      <c r="AO164" s="129"/>
      <c r="AP164" s="129"/>
      <c r="AQ164" s="129"/>
      <c r="AR164" s="129"/>
      <c r="AS164" s="129"/>
      <c r="AT164" s="129"/>
      <c r="AU164" s="129"/>
      <c r="AV164" s="129"/>
      <c r="AW164" s="129"/>
      <c r="AX164" s="197"/>
      <c r="AY164" s="197"/>
      <c r="AZ164" s="197"/>
      <c r="BA164" s="197"/>
      <c r="BB164" s="129"/>
      <c r="BC164" s="129"/>
      <c r="BD164" s="129"/>
      <c r="BE164" s="129"/>
      <c r="BF164" s="129"/>
      <c r="BG164" s="129"/>
      <c r="BH164" s="129"/>
      <c r="BI164" s="129"/>
      <c r="BJ164" s="129"/>
      <c r="BK164" s="129"/>
      <c r="BL164" s="129"/>
      <c r="BM164" s="197"/>
    </row>
    <row r="165" spans="1:65" x14ac:dyDescent="0.25">
      <c r="A165" s="121"/>
      <c r="B165" s="121"/>
      <c r="C165" s="172"/>
      <c r="D165" s="46"/>
      <c r="E165" s="46"/>
      <c r="F165" s="54"/>
      <c r="G165" s="54"/>
      <c r="H165" s="54"/>
      <c r="I165" s="54"/>
      <c r="J165" s="54"/>
      <c r="K165" s="54"/>
      <c r="L165" s="54"/>
      <c r="M165" s="54"/>
      <c r="N165" s="54"/>
      <c r="O165" s="54"/>
      <c r="P165" s="54"/>
      <c r="Q165" s="54"/>
      <c r="R165" s="54"/>
      <c r="S165" s="54"/>
      <c r="T165" s="54"/>
      <c r="U165" s="54"/>
      <c r="V165" s="54"/>
      <c r="W165" s="55"/>
      <c r="X165" s="55"/>
      <c r="Y165" s="55"/>
      <c r="Z165" s="55"/>
      <c r="AA165" s="55"/>
      <c r="AB165" s="55"/>
      <c r="AC165" s="55"/>
      <c r="AD165" s="55"/>
      <c r="AE165" s="55"/>
      <c r="AF165" s="55"/>
      <c r="AG165" s="55"/>
      <c r="AH165" s="55"/>
      <c r="AI165" s="54"/>
      <c r="AJ165" s="54"/>
      <c r="AK165" s="54"/>
      <c r="AL165" s="23"/>
      <c r="AM165" s="127"/>
      <c r="AN165" s="127"/>
      <c r="AO165" s="129"/>
      <c r="AP165" s="129"/>
      <c r="AQ165" s="129"/>
      <c r="AR165" s="129"/>
      <c r="AS165" s="129"/>
      <c r="AT165" s="129"/>
      <c r="AU165" s="129"/>
      <c r="AV165" s="129"/>
      <c r="AW165" s="129"/>
      <c r="AX165" s="197"/>
      <c r="AY165" s="197"/>
      <c r="AZ165" s="197"/>
      <c r="BA165" s="197"/>
      <c r="BB165" s="129"/>
      <c r="BC165" s="129"/>
      <c r="BD165" s="129"/>
      <c r="BE165" s="129"/>
      <c r="BF165" s="129"/>
      <c r="BG165" s="129"/>
      <c r="BH165" s="129"/>
      <c r="BI165" s="129"/>
      <c r="BJ165" s="129"/>
      <c r="BK165" s="129"/>
      <c r="BL165" s="129"/>
      <c r="BM165" s="197"/>
    </row>
    <row r="166" spans="1:65" x14ac:dyDescent="0.25">
      <c r="A166" s="121" t="s">
        <v>144</v>
      </c>
      <c r="B166" s="121" t="s">
        <v>23</v>
      </c>
      <c r="C166" s="172" t="s">
        <v>222</v>
      </c>
      <c r="D166" s="161">
        <v>10</v>
      </c>
      <c r="E166" s="29" t="str">
        <f>INDEX(ra_ScName,MATCH(D166,ra_ScNumber,0))</f>
        <v>Disclosed nominal return (incl actual asset revaluations)</v>
      </c>
      <c r="F166" s="122">
        <v>0</v>
      </c>
      <c r="G166" s="122">
        <v>0</v>
      </c>
      <c r="H166" s="122">
        <v>0</v>
      </c>
      <c r="I166" s="122">
        <v>0</v>
      </c>
      <c r="J166" s="122">
        <v>0</v>
      </c>
      <c r="K166" s="122">
        <v>0</v>
      </c>
      <c r="L166" s="122">
        <v>0</v>
      </c>
      <c r="M166" s="122">
        <v>0</v>
      </c>
      <c r="N166" s="122">
        <v>0</v>
      </c>
      <c r="O166" s="122">
        <v>0</v>
      </c>
      <c r="P166" s="122">
        <v>0</v>
      </c>
      <c r="Q166" s="122">
        <v>0</v>
      </c>
      <c r="R166" s="122">
        <v>0</v>
      </c>
      <c r="S166" s="122">
        <v>0</v>
      </c>
      <c r="T166" s="122">
        <v>0</v>
      </c>
      <c r="U166" s="122">
        <v>0</v>
      </c>
      <c r="V166" s="122">
        <v>0</v>
      </c>
      <c r="W166" s="122">
        <v>0</v>
      </c>
      <c r="X166" s="122">
        <v>0</v>
      </c>
      <c r="Y166" s="122">
        <v>0</v>
      </c>
      <c r="Z166" s="122">
        <v>0</v>
      </c>
      <c r="AA166" s="122">
        <v>0</v>
      </c>
      <c r="AB166" s="122">
        <v>0</v>
      </c>
      <c r="AC166" s="122">
        <v>0</v>
      </c>
      <c r="AD166" s="122">
        <v>0</v>
      </c>
      <c r="AE166" s="122">
        <v>0</v>
      </c>
      <c r="AF166" s="122">
        <v>0</v>
      </c>
      <c r="AG166" s="122">
        <v>0</v>
      </c>
      <c r="AH166" s="122">
        <v>0</v>
      </c>
      <c r="AI166" s="117">
        <f t="shared" si="4"/>
        <v>0</v>
      </c>
      <c r="AJ166" s="117">
        <f>SUM(F166:U166)</f>
        <v>0</v>
      </c>
      <c r="AK166" s="117">
        <f t="shared" si="5"/>
        <v>0</v>
      </c>
      <c r="AL166" s="23"/>
      <c r="AM166" s="127" t="b">
        <f>IF(INDEX($AO166:$BM166,0,$F$14)=1,TRUE,FALSE)</f>
        <v>1</v>
      </c>
      <c r="AN166" s="127" t="str">
        <f>IF(AM166,A166&amp;", "&amp;B166,"")</f>
        <v>CPP specified pass through costs, 2010/11</v>
      </c>
      <c r="AO166" s="129"/>
      <c r="AP166" s="129"/>
      <c r="AQ166" s="129">
        <v>1</v>
      </c>
      <c r="AR166" s="129">
        <v>1</v>
      </c>
      <c r="AS166" s="129">
        <v>1</v>
      </c>
      <c r="AT166" s="129">
        <v>1</v>
      </c>
      <c r="AU166" s="129">
        <v>1</v>
      </c>
      <c r="AV166" s="129">
        <v>1</v>
      </c>
      <c r="AW166" s="129">
        <v>1</v>
      </c>
      <c r="AX166" s="197">
        <v>1</v>
      </c>
      <c r="AY166" s="197">
        <v>1</v>
      </c>
      <c r="AZ166" s="197">
        <v>1</v>
      </c>
      <c r="BA166" s="197">
        <v>1</v>
      </c>
      <c r="BB166" s="129">
        <v>1</v>
      </c>
      <c r="BC166" s="129">
        <v>1</v>
      </c>
      <c r="BD166" s="129">
        <v>1</v>
      </c>
      <c r="BE166" s="129">
        <v>1</v>
      </c>
      <c r="BF166" s="129">
        <v>1</v>
      </c>
      <c r="BG166" s="129">
        <v>1</v>
      </c>
      <c r="BH166" s="129">
        <v>1</v>
      </c>
      <c r="BI166" s="129">
        <v>1</v>
      </c>
      <c r="BJ166" s="129">
        <v>1</v>
      </c>
      <c r="BK166" s="129">
        <v>1</v>
      </c>
      <c r="BL166" s="129">
        <v>1</v>
      </c>
      <c r="BM166" s="197">
        <v>1</v>
      </c>
    </row>
    <row r="167" spans="1:65" x14ac:dyDescent="0.25">
      <c r="A167" s="121" t="s">
        <v>144</v>
      </c>
      <c r="B167" s="121" t="s">
        <v>24</v>
      </c>
      <c r="C167" s="172" t="s">
        <v>222</v>
      </c>
      <c r="D167" s="161">
        <v>10</v>
      </c>
      <c r="E167" s="29" t="str">
        <f>INDEX(ra_ScName,MATCH(D167,ra_ScNumber,0))</f>
        <v>Disclosed nominal return (incl actual asset revaluations)</v>
      </c>
      <c r="F167" s="122">
        <v>0</v>
      </c>
      <c r="G167" s="122">
        <v>0</v>
      </c>
      <c r="H167" s="122">
        <v>0</v>
      </c>
      <c r="I167" s="122">
        <v>0</v>
      </c>
      <c r="J167" s="122">
        <v>0</v>
      </c>
      <c r="K167" s="122">
        <v>0</v>
      </c>
      <c r="L167" s="122">
        <v>0</v>
      </c>
      <c r="M167" s="122">
        <v>0</v>
      </c>
      <c r="N167" s="122">
        <v>0</v>
      </c>
      <c r="O167" s="122">
        <v>0</v>
      </c>
      <c r="P167" s="122">
        <v>0</v>
      </c>
      <c r="Q167" s="122">
        <v>0</v>
      </c>
      <c r="R167" s="122">
        <v>0</v>
      </c>
      <c r="S167" s="122">
        <v>0</v>
      </c>
      <c r="T167" s="122">
        <v>0</v>
      </c>
      <c r="U167" s="122">
        <v>0</v>
      </c>
      <c r="V167" s="122">
        <v>0</v>
      </c>
      <c r="W167" s="122">
        <v>0</v>
      </c>
      <c r="X167" s="122">
        <v>0</v>
      </c>
      <c r="Y167" s="122">
        <v>0</v>
      </c>
      <c r="Z167" s="122">
        <v>0</v>
      </c>
      <c r="AA167" s="122">
        <v>0</v>
      </c>
      <c r="AB167" s="122">
        <v>0</v>
      </c>
      <c r="AC167" s="122">
        <v>0</v>
      </c>
      <c r="AD167" s="122">
        <v>0</v>
      </c>
      <c r="AE167" s="122">
        <v>0</v>
      </c>
      <c r="AF167" s="122">
        <v>0</v>
      </c>
      <c r="AG167" s="122">
        <v>0</v>
      </c>
      <c r="AH167" s="122">
        <v>0</v>
      </c>
      <c r="AI167" s="117">
        <f t="shared" si="4"/>
        <v>0</v>
      </c>
      <c r="AJ167" s="117">
        <f>SUM(F167:U167)</f>
        <v>0</v>
      </c>
      <c r="AK167" s="117">
        <f t="shared" si="5"/>
        <v>0</v>
      </c>
      <c r="AL167" s="23"/>
      <c r="AM167" s="127" t="b">
        <f>IF(INDEX($AO167:$BM167,0,$F$14)=1,TRUE,FALSE)</f>
        <v>1</v>
      </c>
      <c r="AN167" s="127" t="str">
        <f>IF(AM167,A167&amp;", "&amp;B167,"")</f>
        <v>CPP specified pass through costs, 2011/12</v>
      </c>
      <c r="AO167" s="129"/>
      <c r="AP167" s="129"/>
      <c r="AQ167" s="129">
        <v>1</v>
      </c>
      <c r="AR167" s="129">
        <v>1</v>
      </c>
      <c r="AS167" s="129">
        <v>1</v>
      </c>
      <c r="AT167" s="129">
        <v>1</v>
      </c>
      <c r="AU167" s="129">
        <v>1</v>
      </c>
      <c r="AV167" s="129">
        <v>1</v>
      </c>
      <c r="AW167" s="129">
        <v>1</v>
      </c>
      <c r="AX167" s="197">
        <v>1</v>
      </c>
      <c r="AY167" s="197">
        <v>1</v>
      </c>
      <c r="AZ167" s="197">
        <v>1</v>
      </c>
      <c r="BA167" s="197">
        <v>1</v>
      </c>
      <c r="BB167" s="129">
        <v>1</v>
      </c>
      <c r="BC167" s="129">
        <v>1</v>
      </c>
      <c r="BD167" s="129">
        <v>1</v>
      </c>
      <c r="BE167" s="129">
        <v>1</v>
      </c>
      <c r="BF167" s="129">
        <v>1</v>
      </c>
      <c r="BG167" s="129">
        <v>1</v>
      </c>
      <c r="BH167" s="129">
        <v>1</v>
      </c>
      <c r="BI167" s="129">
        <v>1</v>
      </c>
      <c r="BJ167" s="129">
        <v>1</v>
      </c>
      <c r="BK167" s="129">
        <v>1</v>
      </c>
      <c r="BL167" s="129">
        <v>1</v>
      </c>
      <c r="BM167" s="197">
        <v>1</v>
      </c>
    </row>
    <row r="168" spans="1:65" x14ac:dyDescent="0.25">
      <c r="A168" s="121" t="s">
        <v>144</v>
      </c>
      <c r="B168" s="121" t="s">
        <v>25</v>
      </c>
      <c r="C168" s="172" t="s">
        <v>209</v>
      </c>
      <c r="D168" s="161">
        <v>10</v>
      </c>
      <c r="E168" s="29" t="str">
        <f>INDEX(ra_ScName,MATCH(D168,ra_ScNumber,0))</f>
        <v>Disclosed nominal return (incl actual asset revaluations)</v>
      </c>
      <c r="F168" s="122">
        <v>0</v>
      </c>
      <c r="G168" s="122">
        <v>0</v>
      </c>
      <c r="H168" s="122">
        <v>0</v>
      </c>
      <c r="I168" s="122">
        <v>0</v>
      </c>
      <c r="J168" s="122">
        <v>0</v>
      </c>
      <c r="K168" s="122">
        <v>0</v>
      </c>
      <c r="L168" s="122">
        <v>0</v>
      </c>
      <c r="M168" s="122">
        <v>0</v>
      </c>
      <c r="N168" s="122">
        <v>0</v>
      </c>
      <c r="O168" s="122">
        <v>0</v>
      </c>
      <c r="P168" s="122">
        <v>0</v>
      </c>
      <c r="Q168" s="122">
        <v>0</v>
      </c>
      <c r="R168" s="122">
        <v>0</v>
      </c>
      <c r="S168" s="122">
        <v>0</v>
      </c>
      <c r="T168" s="122">
        <v>0</v>
      </c>
      <c r="U168" s="122">
        <v>0</v>
      </c>
      <c r="V168" s="122">
        <v>0</v>
      </c>
      <c r="W168" s="122">
        <v>0</v>
      </c>
      <c r="X168" s="122">
        <v>0</v>
      </c>
      <c r="Y168" s="122">
        <v>0</v>
      </c>
      <c r="Z168" s="122">
        <v>20</v>
      </c>
      <c r="AA168" s="122">
        <v>0</v>
      </c>
      <c r="AB168" s="122">
        <v>0</v>
      </c>
      <c r="AC168" s="122">
        <v>0</v>
      </c>
      <c r="AD168" s="122">
        <v>0</v>
      </c>
      <c r="AE168" s="122">
        <v>0</v>
      </c>
      <c r="AF168" s="122">
        <v>0</v>
      </c>
      <c r="AG168" s="122">
        <v>0</v>
      </c>
      <c r="AH168" s="122">
        <v>0</v>
      </c>
      <c r="AI168" s="117">
        <f t="shared" si="4"/>
        <v>20</v>
      </c>
      <c r="AJ168" s="117">
        <f>SUM(F168:U168)</f>
        <v>0</v>
      </c>
      <c r="AK168" s="117">
        <f t="shared" si="5"/>
        <v>20</v>
      </c>
      <c r="AL168" s="23"/>
      <c r="AM168" s="127" t="b">
        <f>IF(INDEX($AO168:$BM168,0,$F$14)=1,TRUE,FALSE)</f>
        <v>1</v>
      </c>
      <c r="AN168" s="127" t="str">
        <f>IF(AM168,A168&amp;", "&amp;B168,"")</f>
        <v>CPP specified pass through costs, 2012/13</v>
      </c>
      <c r="AO168" s="129"/>
      <c r="AP168" s="129"/>
      <c r="AQ168" s="129">
        <v>1</v>
      </c>
      <c r="AR168" s="129">
        <v>1</v>
      </c>
      <c r="AS168" s="129">
        <v>1</v>
      </c>
      <c r="AT168" s="129">
        <v>1</v>
      </c>
      <c r="AU168" s="129">
        <v>1</v>
      </c>
      <c r="AV168" s="129">
        <v>1</v>
      </c>
      <c r="AW168" s="129">
        <v>1</v>
      </c>
      <c r="AX168" s="197">
        <v>1</v>
      </c>
      <c r="AY168" s="197">
        <v>1</v>
      </c>
      <c r="AZ168" s="197">
        <v>1</v>
      </c>
      <c r="BA168" s="197">
        <v>1</v>
      </c>
      <c r="BB168" s="129">
        <v>1</v>
      </c>
      <c r="BC168" s="129">
        <v>1</v>
      </c>
      <c r="BD168" s="129">
        <v>1</v>
      </c>
      <c r="BE168" s="129">
        <v>1</v>
      </c>
      <c r="BF168" s="129">
        <v>1</v>
      </c>
      <c r="BG168" s="129">
        <v>1</v>
      </c>
      <c r="BH168" s="129">
        <v>1</v>
      </c>
      <c r="BI168" s="129">
        <v>1</v>
      </c>
      <c r="BJ168" s="129">
        <v>1</v>
      </c>
      <c r="BK168" s="129">
        <v>1</v>
      </c>
      <c r="BL168" s="129">
        <v>1</v>
      </c>
      <c r="BM168" s="197">
        <v>1</v>
      </c>
    </row>
    <row r="169" spans="1:65" x14ac:dyDescent="0.25">
      <c r="A169" s="121" t="s">
        <v>144</v>
      </c>
      <c r="B169" s="121" t="s">
        <v>26</v>
      </c>
      <c r="C169" s="172" t="s">
        <v>222</v>
      </c>
      <c r="D169" s="161">
        <v>10</v>
      </c>
      <c r="E169" s="29" t="str">
        <f>INDEX(ra_ScName,MATCH(D169,ra_ScNumber,0))</f>
        <v>Disclosed nominal return (incl actual asset revaluations)</v>
      </c>
      <c r="F169" s="122">
        <v>0</v>
      </c>
      <c r="G169" s="122">
        <v>0</v>
      </c>
      <c r="H169" s="122">
        <v>0</v>
      </c>
      <c r="I169" s="122">
        <v>0</v>
      </c>
      <c r="J169" s="122">
        <v>0</v>
      </c>
      <c r="K169" s="122">
        <v>0</v>
      </c>
      <c r="L169" s="122">
        <v>0</v>
      </c>
      <c r="M169" s="122">
        <v>0</v>
      </c>
      <c r="N169" s="122">
        <v>0</v>
      </c>
      <c r="O169" s="122">
        <v>0</v>
      </c>
      <c r="P169" s="122">
        <v>0</v>
      </c>
      <c r="Q169" s="122">
        <v>0</v>
      </c>
      <c r="R169" s="122">
        <v>0</v>
      </c>
      <c r="S169" s="122">
        <v>0</v>
      </c>
      <c r="T169" s="122">
        <v>0</v>
      </c>
      <c r="U169" s="122">
        <v>0</v>
      </c>
      <c r="V169" s="122">
        <v>0</v>
      </c>
      <c r="W169" s="122">
        <v>0</v>
      </c>
      <c r="X169" s="122">
        <v>0</v>
      </c>
      <c r="Y169" s="122">
        <v>0</v>
      </c>
      <c r="Z169" s="122">
        <v>0</v>
      </c>
      <c r="AA169" s="122">
        <v>0</v>
      </c>
      <c r="AB169" s="122">
        <v>0</v>
      </c>
      <c r="AC169" s="122">
        <v>0</v>
      </c>
      <c r="AD169" s="122">
        <v>0</v>
      </c>
      <c r="AE169" s="122">
        <v>0</v>
      </c>
      <c r="AF169" s="122">
        <v>0</v>
      </c>
      <c r="AG169" s="122">
        <v>0</v>
      </c>
      <c r="AH169" s="122">
        <v>0</v>
      </c>
      <c r="AI169" s="117">
        <f t="shared" si="4"/>
        <v>0</v>
      </c>
      <c r="AJ169" s="117">
        <f>SUM(F169:U169)</f>
        <v>0</v>
      </c>
      <c r="AK169" s="117">
        <f t="shared" si="5"/>
        <v>0</v>
      </c>
      <c r="AL169" s="23"/>
      <c r="AM169" s="127" t="b">
        <f>IF(INDEX($AO169:$BM169,0,$F$14)=1,TRUE,FALSE)</f>
        <v>1</v>
      </c>
      <c r="AN169" s="127" t="str">
        <f>IF(AM169,A169&amp;", "&amp;B169,"")</f>
        <v>CPP specified pass through costs, 2013/14</v>
      </c>
      <c r="AO169" s="129"/>
      <c r="AP169" s="129"/>
      <c r="AQ169" s="129">
        <v>1</v>
      </c>
      <c r="AR169" s="129">
        <v>1</v>
      </c>
      <c r="AS169" s="129">
        <v>1</v>
      </c>
      <c r="AT169" s="129">
        <v>1</v>
      </c>
      <c r="AU169" s="129">
        <v>1</v>
      </c>
      <c r="AV169" s="129">
        <v>1</v>
      </c>
      <c r="AW169" s="129">
        <v>1</v>
      </c>
      <c r="AX169" s="197">
        <v>1</v>
      </c>
      <c r="AY169" s="197">
        <v>1</v>
      </c>
      <c r="AZ169" s="197">
        <v>1</v>
      </c>
      <c r="BA169" s="197">
        <v>1</v>
      </c>
      <c r="BB169" s="129">
        <v>1</v>
      </c>
      <c r="BC169" s="129">
        <v>1</v>
      </c>
      <c r="BD169" s="129">
        <v>1</v>
      </c>
      <c r="BE169" s="129">
        <v>1</v>
      </c>
      <c r="BF169" s="129">
        <v>1</v>
      </c>
      <c r="BG169" s="129">
        <v>1</v>
      </c>
      <c r="BH169" s="129">
        <v>1</v>
      </c>
      <c r="BI169" s="129">
        <v>1</v>
      </c>
      <c r="BJ169" s="129">
        <v>1</v>
      </c>
      <c r="BK169" s="129">
        <v>1</v>
      </c>
      <c r="BL169" s="129">
        <v>1</v>
      </c>
      <c r="BM169" s="197">
        <v>1</v>
      </c>
    </row>
    <row r="170" spans="1:65" x14ac:dyDescent="0.25">
      <c r="A170" s="121" t="s">
        <v>144</v>
      </c>
      <c r="B170" s="121" t="s">
        <v>27</v>
      </c>
      <c r="C170" s="172" t="s">
        <v>209</v>
      </c>
      <c r="D170" s="161">
        <v>10</v>
      </c>
      <c r="E170" s="29" t="str">
        <f>INDEX(ra_ScName,MATCH(D170,ra_ScNumber,0))</f>
        <v>Disclosed nominal return (incl actual asset revaluations)</v>
      </c>
      <c r="F170" s="122">
        <v>0</v>
      </c>
      <c r="G170" s="122">
        <v>0</v>
      </c>
      <c r="H170" s="122">
        <v>0</v>
      </c>
      <c r="I170" s="122">
        <v>0</v>
      </c>
      <c r="J170" s="122">
        <v>0</v>
      </c>
      <c r="K170" s="122">
        <v>0</v>
      </c>
      <c r="L170" s="122">
        <v>8.9175199999999997</v>
      </c>
      <c r="M170" s="122">
        <v>0</v>
      </c>
      <c r="N170" s="122">
        <v>0</v>
      </c>
      <c r="O170" s="122">
        <v>0</v>
      </c>
      <c r="P170" s="122">
        <v>0</v>
      </c>
      <c r="Q170" s="122">
        <v>0</v>
      </c>
      <c r="R170" s="122">
        <v>0</v>
      </c>
      <c r="S170" s="122">
        <v>0</v>
      </c>
      <c r="T170" s="122">
        <v>0</v>
      </c>
      <c r="U170" s="122">
        <v>0</v>
      </c>
      <c r="V170" s="122">
        <v>0</v>
      </c>
      <c r="W170" s="122">
        <v>0</v>
      </c>
      <c r="X170" s="122">
        <v>0</v>
      </c>
      <c r="Y170" s="122">
        <v>0</v>
      </c>
      <c r="Z170" s="122">
        <v>0</v>
      </c>
      <c r="AA170" s="122">
        <v>0</v>
      </c>
      <c r="AB170" s="122">
        <v>0</v>
      </c>
      <c r="AC170" s="122">
        <v>0</v>
      </c>
      <c r="AD170" s="122">
        <v>0</v>
      </c>
      <c r="AE170" s="122">
        <v>0</v>
      </c>
      <c r="AF170" s="122">
        <v>0</v>
      </c>
      <c r="AG170" s="122">
        <v>658.65967109148619</v>
      </c>
      <c r="AH170" s="122">
        <v>0</v>
      </c>
      <c r="AI170" s="117">
        <f t="shared" si="4"/>
        <v>667.57719109148616</v>
      </c>
      <c r="AJ170" s="117">
        <f>SUM(F170:U170)</f>
        <v>8.9175199999999997</v>
      </c>
      <c r="AK170" s="117">
        <f t="shared" si="5"/>
        <v>658.65967109148619</v>
      </c>
      <c r="AL170" s="23"/>
      <c r="AM170" s="127" t="b">
        <f>IF(INDEX($AO170:$BM170,0,$F$14)=1,TRUE,FALSE)</f>
        <v>1</v>
      </c>
      <c r="AN170" s="127" t="str">
        <f>IF(AM170,A170&amp;", "&amp;B170,"")</f>
        <v>CPP specified pass through costs, 2014/15</v>
      </c>
      <c r="AO170" s="129"/>
      <c r="AP170" s="129"/>
      <c r="AQ170" s="129">
        <v>1</v>
      </c>
      <c r="AR170" s="129">
        <v>1</v>
      </c>
      <c r="AS170" s="129">
        <v>1</v>
      </c>
      <c r="AT170" s="129">
        <v>1</v>
      </c>
      <c r="AU170" s="129">
        <v>1</v>
      </c>
      <c r="AV170" s="129">
        <v>1</v>
      </c>
      <c r="AW170" s="129">
        <v>1</v>
      </c>
      <c r="AX170" s="197">
        <v>1</v>
      </c>
      <c r="AY170" s="197">
        <v>1</v>
      </c>
      <c r="AZ170" s="197">
        <v>1</v>
      </c>
      <c r="BA170" s="197">
        <v>1</v>
      </c>
      <c r="BB170" s="129">
        <v>1</v>
      </c>
      <c r="BC170" s="129">
        <v>1</v>
      </c>
      <c r="BD170" s="129">
        <v>1</v>
      </c>
      <c r="BE170" s="129">
        <v>1</v>
      </c>
      <c r="BF170" s="129">
        <v>1</v>
      </c>
      <c r="BG170" s="129">
        <v>1</v>
      </c>
      <c r="BH170" s="129">
        <v>1</v>
      </c>
      <c r="BI170" s="129">
        <v>1</v>
      </c>
      <c r="BJ170" s="129">
        <v>1</v>
      </c>
      <c r="BK170" s="129">
        <v>1</v>
      </c>
      <c r="BL170" s="129">
        <v>1</v>
      </c>
      <c r="BM170" s="197">
        <v>1</v>
      </c>
    </row>
    <row r="171" spans="1:65" x14ac:dyDescent="0.25">
      <c r="A171" s="121"/>
      <c r="B171" s="121"/>
      <c r="C171" s="172"/>
      <c r="D171" s="49"/>
      <c r="E171" s="49"/>
      <c r="F171" s="54"/>
      <c r="G171" s="54"/>
      <c r="H171" s="54"/>
      <c r="I171" s="54"/>
      <c r="J171" s="54"/>
      <c r="K171" s="54"/>
      <c r="L171" s="54"/>
      <c r="M171" s="54"/>
      <c r="N171" s="54"/>
      <c r="O171" s="54"/>
      <c r="P171" s="54"/>
      <c r="Q171" s="54"/>
      <c r="R171" s="54"/>
      <c r="S171" s="54"/>
      <c r="T171" s="54"/>
      <c r="U171" s="54"/>
      <c r="V171" s="54"/>
      <c r="W171" s="55"/>
      <c r="X171" s="55"/>
      <c r="Y171" s="55"/>
      <c r="Z171" s="55"/>
      <c r="AA171" s="55"/>
      <c r="AB171" s="55"/>
      <c r="AC171" s="55"/>
      <c r="AD171" s="55"/>
      <c r="AE171" s="55"/>
      <c r="AF171" s="55"/>
      <c r="AG171" s="55"/>
      <c r="AH171" s="55"/>
      <c r="AI171" s="54"/>
      <c r="AJ171" s="54"/>
      <c r="AK171" s="54"/>
      <c r="AL171" s="23"/>
      <c r="AM171" s="127"/>
      <c r="AN171" s="127"/>
      <c r="AO171" s="129"/>
      <c r="AP171" s="129"/>
      <c r="AQ171" s="129"/>
      <c r="AR171" s="129"/>
      <c r="AS171" s="129"/>
      <c r="AT171" s="129"/>
      <c r="AU171" s="129"/>
      <c r="AV171" s="129"/>
      <c r="AW171" s="129"/>
      <c r="AX171" s="197"/>
      <c r="AY171" s="197"/>
      <c r="AZ171" s="197"/>
      <c r="BA171" s="197"/>
      <c r="BB171" s="129"/>
      <c r="BC171" s="129"/>
      <c r="BD171" s="129"/>
      <c r="BE171" s="129"/>
      <c r="BF171" s="129"/>
      <c r="BG171" s="129"/>
      <c r="BH171" s="129"/>
      <c r="BI171" s="129"/>
      <c r="BJ171" s="129"/>
      <c r="BK171" s="129"/>
      <c r="BL171" s="129"/>
      <c r="BM171" s="197"/>
    </row>
    <row r="172" spans="1:65" x14ac:dyDescent="0.25">
      <c r="A172" s="121"/>
      <c r="B172" s="121"/>
      <c r="C172" s="172"/>
      <c r="D172" s="46"/>
      <c r="E172" s="46"/>
      <c r="F172" s="54"/>
      <c r="G172" s="54"/>
      <c r="H172" s="54"/>
      <c r="I172" s="54"/>
      <c r="J172" s="54"/>
      <c r="K172" s="54"/>
      <c r="L172" s="54"/>
      <c r="M172" s="54"/>
      <c r="N172" s="54"/>
      <c r="O172" s="54"/>
      <c r="P172" s="54"/>
      <c r="Q172" s="54"/>
      <c r="R172" s="54"/>
      <c r="S172" s="54"/>
      <c r="T172" s="54"/>
      <c r="U172" s="54"/>
      <c r="V172" s="54"/>
      <c r="W172" s="55"/>
      <c r="X172" s="55"/>
      <c r="Y172" s="55"/>
      <c r="Z172" s="55"/>
      <c r="AA172" s="55"/>
      <c r="AB172" s="55"/>
      <c r="AC172" s="55"/>
      <c r="AD172" s="55"/>
      <c r="AE172" s="55"/>
      <c r="AF172" s="55"/>
      <c r="AG172" s="55"/>
      <c r="AH172" s="55"/>
      <c r="AI172" s="54"/>
      <c r="AJ172" s="54"/>
      <c r="AK172" s="54"/>
      <c r="AL172" s="23"/>
      <c r="AM172" s="127"/>
      <c r="AN172" s="127"/>
      <c r="AO172" s="129"/>
      <c r="AP172" s="129"/>
      <c r="AQ172" s="129"/>
      <c r="AR172" s="129"/>
      <c r="AS172" s="129"/>
      <c r="AT172" s="129"/>
      <c r="AU172" s="129"/>
      <c r="AV172" s="129"/>
      <c r="AW172" s="129"/>
      <c r="AX172" s="197"/>
      <c r="AY172" s="197"/>
      <c r="AZ172" s="197"/>
      <c r="BA172" s="197"/>
      <c r="BB172" s="129"/>
      <c r="BC172" s="129"/>
      <c r="BD172" s="129"/>
      <c r="BE172" s="129"/>
      <c r="BF172" s="129"/>
      <c r="BG172" s="129"/>
      <c r="BH172" s="129"/>
      <c r="BI172" s="129"/>
      <c r="BJ172" s="129"/>
      <c r="BK172" s="129"/>
      <c r="BL172" s="129"/>
      <c r="BM172" s="197"/>
    </row>
    <row r="173" spans="1:65" x14ac:dyDescent="0.25">
      <c r="A173" s="121" t="s">
        <v>145</v>
      </c>
      <c r="B173" s="121" t="s">
        <v>23</v>
      </c>
      <c r="C173" s="172" t="s">
        <v>222</v>
      </c>
      <c r="D173" s="161">
        <v>1</v>
      </c>
      <c r="E173" s="29" t="str">
        <f>INDEX(ra_ScName,MATCH(D173,ra_ScNumber,0))</f>
        <v>Expected nominal return (incl forecast asset revaluations)</v>
      </c>
      <c r="F173" s="54"/>
      <c r="G173" s="54"/>
      <c r="H173" s="54"/>
      <c r="I173" s="54"/>
      <c r="J173" s="54"/>
      <c r="K173" s="54"/>
      <c r="L173" s="54"/>
      <c r="M173" s="54"/>
      <c r="N173" s="54"/>
      <c r="O173" s="54"/>
      <c r="P173" s="54"/>
      <c r="Q173" s="54"/>
      <c r="R173" s="54"/>
      <c r="S173" s="54"/>
      <c r="T173" s="54"/>
      <c r="U173" s="54"/>
      <c r="V173" s="54"/>
      <c r="W173" s="55"/>
      <c r="X173" s="55"/>
      <c r="Y173" s="55"/>
      <c r="Z173" s="55"/>
      <c r="AA173" s="55"/>
      <c r="AB173" s="55"/>
      <c r="AC173" s="55"/>
      <c r="AD173" s="55"/>
      <c r="AE173" s="55"/>
      <c r="AF173" s="55"/>
      <c r="AG173" s="55"/>
      <c r="AH173" s="55"/>
      <c r="AI173" s="117">
        <f t="shared" si="4"/>
        <v>0</v>
      </c>
      <c r="AJ173" s="117">
        <f>SUM(F173:U173)</f>
        <v>0</v>
      </c>
      <c r="AK173" s="117">
        <f t="shared" si="5"/>
        <v>0</v>
      </c>
      <c r="AL173" s="23"/>
      <c r="AM173" s="127" t="b">
        <f>IF(INDEX($AO173:$BM173,0,$F$14)=1,TRUE,FALSE)</f>
        <v>0</v>
      </c>
      <c r="AN173" s="127" t="str">
        <f>IF(AM173,A173&amp;", "&amp;B173,"")</f>
        <v/>
      </c>
      <c r="AO173" s="129">
        <v>1</v>
      </c>
      <c r="AP173" s="129">
        <v>1</v>
      </c>
      <c r="AQ173" s="129"/>
      <c r="AR173" s="129"/>
      <c r="AS173" s="129"/>
      <c r="AT173" s="129"/>
      <c r="AU173" s="129"/>
      <c r="AV173" s="129"/>
      <c r="AW173" s="129"/>
      <c r="AX173" s="197"/>
      <c r="AY173" s="197"/>
      <c r="AZ173" s="197"/>
      <c r="BA173" s="197"/>
      <c r="BB173" s="129"/>
      <c r="BC173" s="129"/>
      <c r="BD173" s="129"/>
      <c r="BE173" s="129"/>
      <c r="BF173" s="129"/>
      <c r="BG173" s="129"/>
      <c r="BH173" s="129"/>
      <c r="BI173" s="129"/>
      <c r="BJ173" s="129"/>
      <c r="BK173" s="129"/>
      <c r="BL173" s="129"/>
      <c r="BM173" s="197"/>
    </row>
    <row r="174" spans="1:65" x14ac:dyDescent="0.25">
      <c r="A174" s="121" t="s">
        <v>145</v>
      </c>
      <c r="B174" s="121" t="s">
        <v>24</v>
      </c>
      <c r="C174" s="172" t="s">
        <v>222</v>
      </c>
      <c r="D174" s="161">
        <v>1</v>
      </c>
      <c r="E174" s="29" t="str">
        <f>INDEX(ra_ScName,MATCH(D174,ra_ScNumber,0))</f>
        <v>Expected nominal return (incl forecast asset revaluations)</v>
      </c>
      <c r="F174" s="54"/>
      <c r="G174" s="54"/>
      <c r="H174" s="54"/>
      <c r="I174" s="54"/>
      <c r="J174" s="54"/>
      <c r="K174" s="54"/>
      <c r="L174" s="54"/>
      <c r="M174" s="54"/>
      <c r="N174" s="54"/>
      <c r="O174" s="54"/>
      <c r="P174" s="54"/>
      <c r="Q174" s="54"/>
      <c r="R174" s="54"/>
      <c r="S174" s="54"/>
      <c r="T174" s="54"/>
      <c r="U174" s="54"/>
      <c r="V174" s="54"/>
      <c r="W174" s="55"/>
      <c r="X174" s="55"/>
      <c r="Y174" s="55"/>
      <c r="Z174" s="55"/>
      <c r="AA174" s="55"/>
      <c r="AB174" s="55"/>
      <c r="AC174" s="55"/>
      <c r="AD174" s="55"/>
      <c r="AE174" s="55"/>
      <c r="AF174" s="55"/>
      <c r="AG174" s="55"/>
      <c r="AH174" s="55"/>
      <c r="AI174" s="117">
        <f t="shared" si="4"/>
        <v>0</v>
      </c>
      <c r="AJ174" s="117">
        <f>SUM(F174:U174)</f>
        <v>0</v>
      </c>
      <c r="AK174" s="117">
        <f t="shared" si="5"/>
        <v>0</v>
      </c>
      <c r="AL174" s="23"/>
      <c r="AM174" s="127" t="b">
        <f>IF(INDEX($AO174:$BM174,0,$F$14)=1,TRUE,FALSE)</f>
        <v>0</v>
      </c>
      <c r="AN174" s="127" t="str">
        <f>IF(AM174,A174&amp;", "&amp;B174,"")</f>
        <v/>
      </c>
      <c r="AO174" s="129">
        <v>1</v>
      </c>
      <c r="AP174" s="129">
        <v>1</v>
      </c>
      <c r="AQ174" s="129"/>
      <c r="AR174" s="129"/>
      <c r="AS174" s="129"/>
      <c r="AT174" s="129"/>
      <c r="AU174" s="129"/>
      <c r="AV174" s="129"/>
      <c r="AW174" s="129"/>
      <c r="AX174" s="197"/>
      <c r="AY174" s="197"/>
      <c r="AZ174" s="197"/>
      <c r="BA174" s="197"/>
      <c r="BB174" s="129"/>
      <c r="BC174" s="129"/>
      <c r="BD174" s="129"/>
      <c r="BE174" s="129"/>
      <c r="BF174" s="129"/>
      <c r="BG174" s="129"/>
      <c r="BH174" s="129"/>
      <c r="BI174" s="129"/>
      <c r="BJ174" s="129"/>
      <c r="BK174" s="129"/>
      <c r="BL174" s="129"/>
      <c r="BM174" s="197"/>
    </row>
    <row r="175" spans="1:65" x14ac:dyDescent="0.25">
      <c r="A175" s="121" t="s">
        <v>145</v>
      </c>
      <c r="B175" s="121" t="s">
        <v>25</v>
      </c>
      <c r="C175" s="172" t="s">
        <v>222</v>
      </c>
      <c r="D175" s="161">
        <v>1</v>
      </c>
      <c r="E175" s="29" t="str">
        <f>INDEX(ra_ScName,MATCH(D175,ra_ScNumber,0))</f>
        <v>Expected nominal return (incl forecast asset revaluations)</v>
      </c>
      <c r="F175" s="54"/>
      <c r="G175" s="54"/>
      <c r="H175" s="54"/>
      <c r="I175" s="54"/>
      <c r="J175" s="54"/>
      <c r="K175" s="54"/>
      <c r="L175" s="54"/>
      <c r="M175" s="54"/>
      <c r="N175" s="54"/>
      <c r="O175" s="54"/>
      <c r="P175" s="54"/>
      <c r="Q175" s="54"/>
      <c r="R175" s="54"/>
      <c r="S175" s="54"/>
      <c r="T175" s="54"/>
      <c r="U175" s="54"/>
      <c r="V175" s="54"/>
      <c r="W175" s="55"/>
      <c r="X175" s="55"/>
      <c r="Y175" s="55"/>
      <c r="Z175" s="55"/>
      <c r="AA175" s="55"/>
      <c r="AB175" s="55"/>
      <c r="AC175" s="55"/>
      <c r="AD175" s="55"/>
      <c r="AE175" s="55"/>
      <c r="AF175" s="55"/>
      <c r="AG175" s="55"/>
      <c r="AH175" s="55"/>
      <c r="AI175" s="117">
        <f t="shared" si="4"/>
        <v>0</v>
      </c>
      <c r="AJ175" s="117">
        <f>SUM(F175:U175)</f>
        <v>0</v>
      </c>
      <c r="AK175" s="117">
        <f t="shared" si="5"/>
        <v>0</v>
      </c>
      <c r="AL175" s="23"/>
      <c r="AM175" s="127" t="b">
        <f>IF(INDEX($AO175:$BM175,0,$F$14)=1,TRUE,FALSE)</f>
        <v>0</v>
      </c>
      <c r="AN175" s="127" t="str">
        <f>IF(AM175,A175&amp;", "&amp;B175,"")</f>
        <v/>
      </c>
      <c r="AO175" s="129">
        <v>1</v>
      </c>
      <c r="AP175" s="129">
        <v>1</v>
      </c>
      <c r="AQ175" s="129"/>
      <c r="AR175" s="129"/>
      <c r="AS175" s="129"/>
      <c r="AT175" s="129"/>
      <c r="AU175" s="129"/>
      <c r="AV175" s="129"/>
      <c r="AW175" s="129"/>
      <c r="AX175" s="197"/>
      <c r="AY175" s="197"/>
      <c r="AZ175" s="197"/>
      <c r="BA175" s="197"/>
      <c r="BB175" s="129"/>
      <c r="BC175" s="129"/>
      <c r="BD175" s="129"/>
      <c r="BE175" s="129"/>
      <c r="BF175" s="129"/>
      <c r="BG175" s="129"/>
      <c r="BH175" s="129"/>
      <c r="BI175" s="129"/>
      <c r="BJ175" s="129"/>
      <c r="BK175" s="129"/>
      <c r="BL175" s="129"/>
      <c r="BM175" s="197"/>
    </row>
    <row r="176" spans="1:65" x14ac:dyDescent="0.25">
      <c r="A176" s="121" t="s">
        <v>145</v>
      </c>
      <c r="B176" s="121" t="s">
        <v>26</v>
      </c>
      <c r="C176" s="172" t="s">
        <v>222</v>
      </c>
      <c r="D176" s="161">
        <v>1</v>
      </c>
      <c r="E176" s="29" t="str">
        <f>INDEX(ra_ScName,MATCH(D176,ra_ScNumber,0))</f>
        <v>Expected nominal return (incl forecast asset revaluations)</v>
      </c>
      <c r="F176" s="54"/>
      <c r="G176" s="54"/>
      <c r="H176" s="54"/>
      <c r="I176" s="54"/>
      <c r="J176" s="54"/>
      <c r="K176" s="54"/>
      <c r="L176" s="54"/>
      <c r="M176" s="54"/>
      <c r="N176" s="54"/>
      <c r="O176" s="54"/>
      <c r="P176" s="54"/>
      <c r="Q176" s="54"/>
      <c r="R176" s="54"/>
      <c r="S176" s="54"/>
      <c r="T176" s="54"/>
      <c r="U176" s="54"/>
      <c r="V176" s="54"/>
      <c r="W176" s="55"/>
      <c r="X176" s="55"/>
      <c r="Y176" s="55"/>
      <c r="Z176" s="55"/>
      <c r="AA176" s="55"/>
      <c r="AB176" s="55"/>
      <c r="AC176" s="55"/>
      <c r="AD176" s="55"/>
      <c r="AE176" s="55"/>
      <c r="AF176" s="55"/>
      <c r="AG176" s="55"/>
      <c r="AH176" s="55"/>
      <c r="AI176" s="117">
        <f t="shared" si="4"/>
        <v>0</v>
      </c>
      <c r="AJ176" s="117">
        <f>SUM(F176:U176)</f>
        <v>0</v>
      </c>
      <c r="AK176" s="117">
        <f t="shared" si="5"/>
        <v>0</v>
      </c>
      <c r="AL176" s="23"/>
      <c r="AM176" s="127" t="b">
        <f>IF(INDEX($AO176:$BM176,0,$F$14)=1,TRUE,FALSE)</f>
        <v>0</v>
      </c>
      <c r="AN176" s="127" t="str">
        <f>IF(AM176,A176&amp;", "&amp;B176,"")</f>
        <v/>
      </c>
      <c r="AO176" s="129">
        <v>1</v>
      </c>
      <c r="AP176" s="129">
        <v>1</v>
      </c>
      <c r="AQ176" s="129"/>
      <c r="AR176" s="129"/>
      <c r="AS176" s="129"/>
      <c r="AT176" s="129"/>
      <c r="AU176" s="129"/>
      <c r="AV176" s="129"/>
      <c r="AW176" s="129"/>
      <c r="AX176" s="197"/>
      <c r="AY176" s="197"/>
      <c r="AZ176" s="197"/>
      <c r="BA176" s="197"/>
      <c r="BB176" s="129"/>
      <c r="BC176" s="129"/>
      <c r="BD176" s="129"/>
      <c r="BE176" s="129"/>
      <c r="BF176" s="129"/>
      <c r="BG176" s="129"/>
      <c r="BH176" s="129"/>
      <c r="BI176" s="129"/>
      <c r="BJ176" s="129"/>
      <c r="BK176" s="129"/>
      <c r="BL176" s="129"/>
      <c r="BM176" s="197"/>
    </row>
    <row r="177" spans="1:65" x14ac:dyDescent="0.25">
      <c r="A177" s="121" t="s">
        <v>145</v>
      </c>
      <c r="B177" s="121" t="s">
        <v>27</v>
      </c>
      <c r="C177" s="172" t="s">
        <v>222</v>
      </c>
      <c r="D177" s="161">
        <v>1</v>
      </c>
      <c r="E177" s="29" t="str">
        <f>INDEX(ra_ScName,MATCH(D177,ra_ScNumber,0))</f>
        <v>Expected nominal return (incl forecast asset revaluations)</v>
      </c>
      <c r="F177" s="54"/>
      <c r="G177" s="54"/>
      <c r="H177" s="54"/>
      <c r="I177" s="54"/>
      <c r="J177" s="54"/>
      <c r="K177" s="54"/>
      <c r="L177" s="54"/>
      <c r="M177" s="54"/>
      <c r="N177" s="54"/>
      <c r="O177" s="54"/>
      <c r="P177" s="54"/>
      <c r="Q177" s="54"/>
      <c r="R177" s="54"/>
      <c r="S177" s="54"/>
      <c r="T177" s="54"/>
      <c r="U177" s="54"/>
      <c r="V177" s="54"/>
      <c r="W177" s="55"/>
      <c r="X177" s="55"/>
      <c r="Y177" s="55"/>
      <c r="Z177" s="55"/>
      <c r="AA177" s="55"/>
      <c r="AB177" s="55"/>
      <c r="AC177" s="55"/>
      <c r="AD177" s="55"/>
      <c r="AE177" s="55"/>
      <c r="AF177" s="55"/>
      <c r="AG177" s="55"/>
      <c r="AH177" s="55"/>
      <c r="AI177" s="117">
        <f t="shared" si="4"/>
        <v>0</v>
      </c>
      <c r="AJ177" s="117">
        <f>SUM(F177:U177)</f>
        <v>0</v>
      </c>
      <c r="AK177" s="117">
        <f t="shared" si="5"/>
        <v>0</v>
      </c>
      <c r="AL177" s="23"/>
      <c r="AM177" s="127" t="b">
        <f>IF(INDEX($AO177:$BM177,0,$F$14)=1,TRUE,FALSE)</f>
        <v>0</v>
      </c>
      <c r="AN177" s="127" t="str">
        <f>IF(AM177,A177&amp;", "&amp;B177,"")</f>
        <v/>
      </c>
      <c r="AO177" s="129">
        <v>1</v>
      </c>
      <c r="AP177" s="129">
        <v>1</v>
      </c>
      <c r="AQ177" s="129"/>
      <c r="AR177" s="129"/>
      <c r="AS177" s="129"/>
      <c r="AT177" s="129"/>
      <c r="AU177" s="129"/>
      <c r="AV177" s="129"/>
      <c r="AW177" s="129"/>
      <c r="AX177" s="197"/>
      <c r="AY177" s="197"/>
      <c r="AZ177" s="197"/>
      <c r="BA177" s="197"/>
      <c r="BB177" s="129"/>
      <c r="BC177" s="129"/>
      <c r="BD177" s="129"/>
      <c r="BE177" s="129"/>
      <c r="BF177" s="129"/>
      <c r="BG177" s="129"/>
      <c r="BH177" s="129"/>
      <c r="BI177" s="129"/>
      <c r="BJ177" s="129"/>
      <c r="BK177" s="129"/>
      <c r="BL177" s="129"/>
      <c r="BM177" s="197"/>
    </row>
    <row r="178" spans="1:65" x14ac:dyDescent="0.25">
      <c r="A178" s="121"/>
      <c r="B178" s="121"/>
      <c r="C178" s="172"/>
      <c r="D178" s="49"/>
      <c r="E178" s="49"/>
      <c r="F178" s="54"/>
      <c r="G178" s="54"/>
      <c r="H178" s="54"/>
      <c r="I178" s="54"/>
      <c r="J178" s="54"/>
      <c r="K178" s="54"/>
      <c r="L178" s="54"/>
      <c r="M178" s="54"/>
      <c r="N178" s="54"/>
      <c r="O178" s="54"/>
      <c r="P178" s="54"/>
      <c r="Q178" s="54"/>
      <c r="R178" s="54"/>
      <c r="S178" s="54"/>
      <c r="T178" s="54"/>
      <c r="U178" s="54"/>
      <c r="V178" s="54"/>
      <c r="W178" s="55"/>
      <c r="X178" s="55"/>
      <c r="Y178" s="55"/>
      <c r="Z178" s="55"/>
      <c r="AA178" s="55"/>
      <c r="AB178" s="55"/>
      <c r="AC178" s="55"/>
      <c r="AD178" s="55"/>
      <c r="AE178" s="55"/>
      <c r="AF178" s="55"/>
      <c r="AG178" s="55"/>
      <c r="AH178" s="55"/>
      <c r="AI178" s="54"/>
      <c r="AJ178" s="54"/>
      <c r="AK178" s="54"/>
      <c r="AL178" s="23"/>
      <c r="AM178" s="127"/>
      <c r="AN178" s="127"/>
      <c r="AO178" s="129"/>
      <c r="AP178" s="129"/>
      <c r="AQ178" s="129"/>
      <c r="AR178" s="129"/>
      <c r="AS178" s="129"/>
      <c r="AT178" s="129"/>
      <c r="AU178" s="129"/>
      <c r="AV178" s="129"/>
      <c r="AW178" s="129"/>
      <c r="AX178" s="197"/>
      <c r="AY178" s="197"/>
      <c r="AZ178" s="197"/>
      <c r="BA178" s="197"/>
      <c r="BB178" s="129"/>
      <c r="BC178" s="129"/>
      <c r="BD178" s="129"/>
      <c r="BE178" s="129"/>
      <c r="BF178" s="129"/>
      <c r="BG178" s="129"/>
      <c r="BH178" s="129"/>
      <c r="BI178" s="129"/>
      <c r="BJ178" s="129"/>
      <c r="BK178" s="129"/>
      <c r="BL178" s="129"/>
      <c r="BM178" s="197"/>
    </row>
    <row r="179" spans="1:65" x14ac:dyDescent="0.25">
      <c r="A179" s="121"/>
      <c r="B179" s="121"/>
      <c r="C179" s="172"/>
      <c r="D179" s="46"/>
      <c r="E179" s="46"/>
      <c r="F179" s="54"/>
      <c r="G179" s="54"/>
      <c r="H179" s="54"/>
      <c r="I179" s="54"/>
      <c r="J179" s="54"/>
      <c r="K179" s="54"/>
      <c r="L179" s="54"/>
      <c r="M179" s="54"/>
      <c r="N179" s="54"/>
      <c r="O179" s="54"/>
      <c r="P179" s="54"/>
      <c r="Q179" s="54"/>
      <c r="R179" s="54"/>
      <c r="S179" s="54"/>
      <c r="T179" s="54"/>
      <c r="U179" s="54"/>
      <c r="V179" s="54"/>
      <c r="W179" s="55"/>
      <c r="X179" s="55"/>
      <c r="Y179" s="55"/>
      <c r="Z179" s="55"/>
      <c r="AA179" s="55"/>
      <c r="AB179" s="55"/>
      <c r="AC179" s="55"/>
      <c r="AD179" s="55"/>
      <c r="AE179" s="55"/>
      <c r="AF179" s="55"/>
      <c r="AG179" s="55"/>
      <c r="AH179" s="55"/>
      <c r="AI179" s="54"/>
      <c r="AJ179" s="54"/>
      <c r="AK179" s="54"/>
      <c r="AL179" s="23"/>
      <c r="AM179" s="127"/>
      <c r="AN179" s="127"/>
      <c r="AO179" s="129"/>
      <c r="AP179" s="129"/>
      <c r="AQ179" s="129"/>
      <c r="AR179" s="129"/>
      <c r="AS179" s="129"/>
      <c r="AT179" s="129"/>
      <c r="AU179" s="129"/>
      <c r="AV179" s="129"/>
      <c r="AW179" s="129"/>
      <c r="AX179" s="197"/>
      <c r="AY179" s="197"/>
      <c r="AZ179" s="197"/>
      <c r="BA179" s="197"/>
      <c r="BB179" s="129"/>
      <c r="BC179" s="129"/>
      <c r="BD179" s="129"/>
      <c r="BE179" s="129"/>
      <c r="BF179" s="129"/>
      <c r="BG179" s="129"/>
      <c r="BH179" s="129"/>
      <c r="BI179" s="129"/>
      <c r="BJ179" s="129"/>
      <c r="BK179" s="129"/>
      <c r="BL179" s="129"/>
      <c r="BM179" s="197"/>
    </row>
    <row r="180" spans="1:65" x14ac:dyDescent="0.25">
      <c r="A180" s="121" t="s">
        <v>145</v>
      </c>
      <c r="B180" s="121" t="s">
        <v>23</v>
      </c>
      <c r="C180" s="172" t="s">
        <v>222</v>
      </c>
      <c r="D180" s="161">
        <v>10</v>
      </c>
      <c r="E180" s="29" t="str">
        <f>INDEX(ra_ScName,MATCH(D180,ra_ScNumber,0))</f>
        <v>Disclosed nominal return (incl actual asset revaluations)</v>
      </c>
      <c r="F180" s="122">
        <v>0</v>
      </c>
      <c r="G180" s="122">
        <v>0</v>
      </c>
      <c r="H180" s="122">
        <v>0</v>
      </c>
      <c r="I180" s="122">
        <v>0</v>
      </c>
      <c r="J180" s="122">
        <v>0</v>
      </c>
      <c r="K180" s="122">
        <v>0</v>
      </c>
      <c r="L180" s="122">
        <v>0</v>
      </c>
      <c r="M180" s="122">
        <v>0</v>
      </c>
      <c r="N180" s="122">
        <v>0</v>
      </c>
      <c r="O180" s="122">
        <v>0</v>
      </c>
      <c r="P180" s="122">
        <v>0</v>
      </c>
      <c r="Q180" s="122">
        <v>0</v>
      </c>
      <c r="R180" s="122">
        <v>0</v>
      </c>
      <c r="S180" s="122">
        <v>0</v>
      </c>
      <c r="T180" s="122">
        <v>0</v>
      </c>
      <c r="U180" s="122">
        <v>0</v>
      </c>
      <c r="V180" s="122">
        <v>0</v>
      </c>
      <c r="W180" s="122">
        <v>0</v>
      </c>
      <c r="X180" s="122">
        <v>0</v>
      </c>
      <c r="Y180" s="122">
        <v>0</v>
      </c>
      <c r="Z180" s="122">
        <v>0</v>
      </c>
      <c r="AA180" s="122">
        <v>0</v>
      </c>
      <c r="AB180" s="122">
        <v>0</v>
      </c>
      <c r="AC180" s="122">
        <v>0</v>
      </c>
      <c r="AD180" s="122">
        <v>0</v>
      </c>
      <c r="AE180" s="122">
        <v>0</v>
      </c>
      <c r="AF180" s="122">
        <v>0</v>
      </c>
      <c r="AG180" s="122">
        <v>0</v>
      </c>
      <c r="AH180" s="122">
        <v>0</v>
      </c>
      <c r="AI180" s="117">
        <f t="shared" si="4"/>
        <v>0</v>
      </c>
      <c r="AJ180" s="117">
        <f>SUM(F180:U180)</f>
        <v>0</v>
      </c>
      <c r="AK180" s="117">
        <f t="shared" si="5"/>
        <v>0</v>
      </c>
      <c r="AL180" s="23"/>
      <c r="AM180" s="127" t="b">
        <f>IF(INDEX($AO180:$BM180,0,$F$14)=1,TRUE,FALSE)</f>
        <v>1</v>
      </c>
      <c r="AN180" s="127" t="str">
        <f>IF(AM180,A180&amp;", "&amp;B180,"")</f>
        <v>Electricity lines service charge payable to Transpower, 2010/11</v>
      </c>
      <c r="AO180" s="129"/>
      <c r="AP180" s="129"/>
      <c r="AQ180" s="129">
        <v>1</v>
      </c>
      <c r="AR180" s="129">
        <v>1</v>
      </c>
      <c r="AS180" s="129">
        <v>1</v>
      </c>
      <c r="AT180" s="129">
        <v>1</v>
      </c>
      <c r="AU180" s="129">
        <v>1</v>
      </c>
      <c r="AV180" s="129">
        <v>1</v>
      </c>
      <c r="AW180" s="129">
        <v>1</v>
      </c>
      <c r="AX180" s="197">
        <v>1</v>
      </c>
      <c r="AY180" s="197">
        <v>1</v>
      </c>
      <c r="AZ180" s="197">
        <v>1</v>
      </c>
      <c r="BA180" s="197">
        <v>1</v>
      </c>
      <c r="BB180" s="129">
        <v>1</v>
      </c>
      <c r="BC180" s="129">
        <v>1</v>
      </c>
      <c r="BD180" s="129">
        <v>1</v>
      </c>
      <c r="BE180" s="129">
        <v>1</v>
      </c>
      <c r="BF180" s="129">
        <v>1</v>
      </c>
      <c r="BG180" s="129">
        <v>1</v>
      </c>
      <c r="BH180" s="129">
        <v>1</v>
      </c>
      <c r="BI180" s="129">
        <v>1</v>
      </c>
      <c r="BJ180" s="129">
        <v>1</v>
      </c>
      <c r="BK180" s="129">
        <v>1</v>
      </c>
      <c r="BL180" s="129">
        <v>1</v>
      </c>
      <c r="BM180" s="197">
        <v>1</v>
      </c>
    </row>
    <row r="181" spans="1:65" x14ac:dyDescent="0.25">
      <c r="A181" s="121" t="s">
        <v>145</v>
      </c>
      <c r="B181" s="121" t="s">
        <v>24</v>
      </c>
      <c r="C181" s="172" t="s">
        <v>222</v>
      </c>
      <c r="D181" s="161">
        <v>10</v>
      </c>
      <c r="E181" s="29" t="str">
        <f>INDEX(ra_ScName,MATCH(D181,ra_ScNumber,0))</f>
        <v>Disclosed nominal return (incl actual asset revaluations)</v>
      </c>
      <c r="F181" s="122">
        <v>0</v>
      </c>
      <c r="G181" s="122">
        <v>0</v>
      </c>
      <c r="H181" s="122">
        <v>0</v>
      </c>
      <c r="I181" s="122">
        <v>0</v>
      </c>
      <c r="J181" s="122">
        <v>0</v>
      </c>
      <c r="K181" s="122">
        <v>0</v>
      </c>
      <c r="L181" s="122">
        <v>0</v>
      </c>
      <c r="M181" s="122">
        <v>0</v>
      </c>
      <c r="N181" s="122">
        <v>0</v>
      </c>
      <c r="O181" s="122">
        <v>0</v>
      </c>
      <c r="P181" s="122">
        <v>0</v>
      </c>
      <c r="Q181" s="122">
        <v>0</v>
      </c>
      <c r="R181" s="122">
        <v>0</v>
      </c>
      <c r="S181" s="122">
        <v>0</v>
      </c>
      <c r="T181" s="122">
        <v>0</v>
      </c>
      <c r="U181" s="122">
        <v>0</v>
      </c>
      <c r="V181" s="122">
        <v>0</v>
      </c>
      <c r="W181" s="122">
        <v>0</v>
      </c>
      <c r="X181" s="122">
        <v>0</v>
      </c>
      <c r="Y181" s="122">
        <v>0</v>
      </c>
      <c r="Z181" s="122">
        <v>0</v>
      </c>
      <c r="AA181" s="122">
        <v>0</v>
      </c>
      <c r="AB181" s="122">
        <v>0</v>
      </c>
      <c r="AC181" s="122">
        <v>0</v>
      </c>
      <c r="AD181" s="122">
        <v>0</v>
      </c>
      <c r="AE181" s="122">
        <v>0</v>
      </c>
      <c r="AF181" s="122">
        <v>0</v>
      </c>
      <c r="AG181" s="122">
        <v>0</v>
      </c>
      <c r="AH181" s="122">
        <v>0</v>
      </c>
      <c r="AI181" s="117">
        <f t="shared" si="4"/>
        <v>0</v>
      </c>
      <c r="AJ181" s="117">
        <f>SUM(F181:U181)</f>
        <v>0</v>
      </c>
      <c r="AK181" s="117">
        <f t="shared" si="5"/>
        <v>0</v>
      </c>
      <c r="AL181" s="23"/>
      <c r="AM181" s="127" t="b">
        <f>IF(INDEX($AO181:$BM181,0,$F$14)=1,TRUE,FALSE)</f>
        <v>1</v>
      </c>
      <c r="AN181" s="127" t="str">
        <f>IF(AM181,A181&amp;", "&amp;B181,"")</f>
        <v>Electricity lines service charge payable to Transpower, 2011/12</v>
      </c>
      <c r="AO181" s="129"/>
      <c r="AP181" s="129"/>
      <c r="AQ181" s="129">
        <v>1</v>
      </c>
      <c r="AR181" s="129">
        <v>1</v>
      </c>
      <c r="AS181" s="129">
        <v>1</v>
      </c>
      <c r="AT181" s="129">
        <v>1</v>
      </c>
      <c r="AU181" s="129">
        <v>1</v>
      </c>
      <c r="AV181" s="129">
        <v>1</v>
      </c>
      <c r="AW181" s="129">
        <v>1</v>
      </c>
      <c r="AX181" s="197">
        <v>1</v>
      </c>
      <c r="AY181" s="197">
        <v>1</v>
      </c>
      <c r="AZ181" s="197">
        <v>1</v>
      </c>
      <c r="BA181" s="197">
        <v>1</v>
      </c>
      <c r="BB181" s="129">
        <v>1</v>
      </c>
      <c r="BC181" s="129">
        <v>1</v>
      </c>
      <c r="BD181" s="129">
        <v>1</v>
      </c>
      <c r="BE181" s="129">
        <v>1</v>
      </c>
      <c r="BF181" s="129">
        <v>1</v>
      </c>
      <c r="BG181" s="129">
        <v>1</v>
      </c>
      <c r="BH181" s="129">
        <v>1</v>
      </c>
      <c r="BI181" s="129">
        <v>1</v>
      </c>
      <c r="BJ181" s="129">
        <v>1</v>
      </c>
      <c r="BK181" s="129">
        <v>1</v>
      </c>
      <c r="BL181" s="129">
        <v>1</v>
      </c>
      <c r="BM181" s="197">
        <v>1</v>
      </c>
    </row>
    <row r="182" spans="1:65" x14ac:dyDescent="0.25">
      <c r="A182" s="121" t="s">
        <v>145</v>
      </c>
      <c r="B182" s="121" t="s">
        <v>25</v>
      </c>
      <c r="C182" s="172" t="s">
        <v>209</v>
      </c>
      <c r="D182" s="161">
        <v>10</v>
      </c>
      <c r="E182" s="29" t="str">
        <f>INDEX(ra_ScName,MATCH(D182,ra_ScNumber,0))</f>
        <v>Disclosed nominal return (incl actual asset revaluations)</v>
      </c>
      <c r="F182" s="122">
        <v>0</v>
      </c>
      <c r="G182" s="122">
        <v>0</v>
      </c>
      <c r="H182" s="122">
        <v>2397</v>
      </c>
      <c r="I182" s="122">
        <v>0</v>
      </c>
      <c r="J182" s="122">
        <v>0</v>
      </c>
      <c r="K182" s="122">
        <v>0</v>
      </c>
      <c r="L182" s="122">
        <v>0</v>
      </c>
      <c r="M182" s="122">
        <v>0</v>
      </c>
      <c r="N182" s="122">
        <v>0</v>
      </c>
      <c r="O182" s="122">
        <v>0</v>
      </c>
      <c r="P182" s="122">
        <v>0</v>
      </c>
      <c r="Q182" s="122">
        <v>0</v>
      </c>
      <c r="R182" s="122">
        <v>0</v>
      </c>
      <c r="S182" s="122">
        <v>0</v>
      </c>
      <c r="T182" s="122">
        <v>0</v>
      </c>
      <c r="U182" s="122">
        <v>0</v>
      </c>
      <c r="V182" s="122">
        <v>0</v>
      </c>
      <c r="W182" s="122">
        <v>0</v>
      </c>
      <c r="X182" s="122">
        <v>0</v>
      </c>
      <c r="Y182" s="122">
        <v>0</v>
      </c>
      <c r="Z182" s="122">
        <v>11007</v>
      </c>
      <c r="AA182" s="122">
        <v>0</v>
      </c>
      <c r="AB182" s="122">
        <v>0</v>
      </c>
      <c r="AC182" s="122">
        <v>0</v>
      </c>
      <c r="AD182" s="122">
        <v>0</v>
      </c>
      <c r="AE182" s="122">
        <v>9863</v>
      </c>
      <c r="AF182" s="122">
        <v>0</v>
      </c>
      <c r="AG182" s="122">
        <v>0</v>
      </c>
      <c r="AH182" s="122">
        <v>0</v>
      </c>
      <c r="AI182" s="117">
        <f t="shared" si="4"/>
        <v>23267</v>
      </c>
      <c r="AJ182" s="117">
        <f>SUM(F182:U182)</f>
        <v>2397</v>
      </c>
      <c r="AK182" s="117">
        <f t="shared" si="5"/>
        <v>20870</v>
      </c>
      <c r="AL182" s="23"/>
      <c r="AM182" s="127" t="b">
        <f>IF(INDEX($AO182:$BM182,0,$F$14)=1,TRUE,FALSE)</f>
        <v>1</v>
      </c>
      <c r="AN182" s="127" t="str">
        <f>IF(AM182,A182&amp;", "&amp;B182,"")</f>
        <v>Electricity lines service charge payable to Transpower, 2012/13</v>
      </c>
      <c r="AO182" s="129"/>
      <c r="AP182" s="129"/>
      <c r="AQ182" s="129">
        <v>1</v>
      </c>
      <c r="AR182" s="129">
        <v>1</v>
      </c>
      <c r="AS182" s="129">
        <v>1</v>
      </c>
      <c r="AT182" s="129">
        <v>1</v>
      </c>
      <c r="AU182" s="129">
        <v>1</v>
      </c>
      <c r="AV182" s="129">
        <v>1</v>
      </c>
      <c r="AW182" s="129">
        <v>1</v>
      </c>
      <c r="AX182" s="197">
        <v>1</v>
      </c>
      <c r="AY182" s="197">
        <v>1</v>
      </c>
      <c r="AZ182" s="197">
        <v>1</v>
      </c>
      <c r="BA182" s="197">
        <v>1</v>
      </c>
      <c r="BB182" s="129">
        <v>1</v>
      </c>
      <c r="BC182" s="129">
        <v>1</v>
      </c>
      <c r="BD182" s="129">
        <v>1</v>
      </c>
      <c r="BE182" s="129">
        <v>1</v>
      </c>
      <c r="BF182" s="129">
        <v>1</v>
      </c>
      <c r="BG182" s="129">
        <v>1</v>
      </c>
      <c r="BH182" s="129">
        <v>1</v>
      </c>
      <c r="BI182" s="129">
        <v>1</v>
      </c>
      <c r="BJ182" s="129">
        <v>1</v>
      </c>
      <c r="BK182" s="129">
        <v>1</v>
      </c>
      <c r="BL182" s="129">
        <v>1</v>
      </c>
      <c r="BM182" s="197">
        <v>1</v>
      </c>
    </row>
    <row r="183" spans="1:65" x14ac:dyDescent="0.25">
      <c r="A183" s="121" t="s">
        <v>145</v>
      </c>
      <c r="B183" s="121" t="s">
        <v>26</v>
      </c>
      <c r="C183" s="172" t="s">
        <v>209</v>
      </c>
      <c r="D183" s="161">
        <v>10</v>
      </c>
      <c r="E183" s="29" t="str">
        <f>INDEX(ra_ScName,MATCH(D183,ra_ScNumber,0))</f>
        <v>Disclosed nominal return (incl actual asset revaluations)</v>
      </c>
      <c r="F183" s="122">
        <v>0</v>
      </c>
      <c r="G183" s="122">
        <v>0</v>
      </c>
      <c r="H183" s="122">
        <v>2584</v>
      </c>
      <c r="I183" s="122">
        <v>0</v>
      </c>
      <c r="J183" s="122">
        <v>0</v>
      </c>
      <c r="K183" s="122">
        <v>0</v>
      </c>
      <c r="L183" s="122">
        <v>0</v>
      </c>
      <c r="M183" s="122">
        <v>0</v>
      </c>
      <c r="N183" s="122">
        <v>0</v>
      </c>
      <c r="O183" s="122">
        <v>0</v>
      </c>
      <c r="P183" s="122">
        <v>0</v>
      </c>
      <c r="Q183" s="122">
        <v>0</v>
      </c>
      <c r="R183" s="122">
        <v>0</v>
      </c>
      <c r="S183" s="122">
        <v>0</v>
      </c>
      <c r="T183" s="122">
        <v>0</v>
      </c>
      <c r="U183" s="122">
        <v>0</v>
      </c>
      <c r="V183" s="122">
        <v>0</v>
      </c>
      <c r="W183" s="122">
        <v>0</v>
      </c>
      <c r="X183" s="122">
        <v>0</v>
      </c>
      <c r="Y183" s="122">
        <v>0</v>
      </c>
      <c r="Z183" s="122">
        <v>11627</v>
      </c>
      <c r="AA183" s="122">
        <v>0</v>
      </c>
      <c r="AB183" s="122">
        <v>0</v>
      </c>
      <c r="AC183" s="122">
        <v>0</v>
      </c>
      <c r="AD183" s="122">
        <v>0</v>
      </c>
      <c r="AE183" s="122">
        <v>13982</v>
      </c>
      <c r="AF183" s="122">
        <v>0</v>
      </c>
      <c r="AG183" s="122">
        <v>0</v>
      </c>
      <c r="AH183" s="122">
        <v>0</v>
      </c>
      <c r="AI183" s="117">
        <f t="shared" si="4"/>
        <v>28193</v>
      </c>
      <c r="AJ183" s="117">
        <f>SUM(F183:U183)</f>
        <v>2584</v>
      </c>
      <c r="AK183" s="117">
        <f t="shared" si="5"/>
        <v>25609</v>
      </c>
      <c r="AL183" s="23"/>
      <c r="AM183" s="127" t="b">
        <f>IF(INDEX($AO183:$BM183,0,$F$14)=1,TRUE,FALSE)</f>
        <v>1</v>
      </c>
      <c r="AN183" s="127" t="str">
        <f>IF(AM183,A183&amp;", "&amp;B183,"")</f>
        <v>Electricity lines service charge payable to Transpower, 2013/14</v>
      </c>
      <c r="AO183" s="129"/>
      <c r="AP183" s="129"/>
      <c r="AQ183" s="129">
        <v>1</v>
      </c>
      <c r="AR183" s="129">
        <v>1</v>
      </c>
      <c r="AS183" s="129">
        <v>1</v>
      </c>
      <c r="AT183" s="129">
        <v>1</v>
      </c>
      <c r="AU183" s="129">
        <v>1</v>
      </c>
      <c r="AV183" s="129">
        <v>1</v>
      </c>
      <c r="AW183" s="129">
        <v>1</v>
      </c>
      <c r="AX183" s="197">
        <v>1</v>
      </c>
      <c r="AY183" s="197">
        <v>1</v>
      </c>
      <c r="AZ183" s="197">
        <v>1</v>
      </c>
      <c r="BA183" s="197">
        <v>1</v>
      </c>
      <c r="BB183" s="129">
        <v>1</v>
      </c>
      <c r="BC183" s="129">
        <v>1</v>
      </c>
      <c r="BD183" s="129">
        <v>1</v>
      </c>
      <c r="BE183" s="129">
        <v>1</v>
      </c>
      <c r="BF183" s="129">
        <v>1</v>
      </c>
      <c r="BG183" s="129">
        <v>1</v>
      </c>
      <c r="BH183" s="129">
        <v>1</v>
      </c>
      <c r="BI183" s="129">
        <v>1</v>
      </c>
      <c r="BJ183" s="129">
        <v>1</v>
      </c>
      <c r="BK183" s="129">
        <v>1</v>
      </c>
      <c r="BL183" s="129">
        <v>1</v>
      </c>
      <c r="BM183" s="197">
        <v>1</v>
      </c>
    </row>
    <row r="184" spans="1:65" x14ac:dyDescent="0.25">
      <c r="A184" s="121" t="s">
        <v>145</v>
      </c>
      <c r="B184" s="121" t="s">
        <v>27</v>
      </c>
      <c r="C184" s="172" t="s">
        <v>209</v>
      </c>
      <c r="D184" s="161">
        <v>10</v>
      </c>
      <c r="E184" s="29" t="str">
        <f>INDEX(ra_ScName,MATCH(D184,ra_ScNumber,0))</f>
        <v>Disclosed nominal return (incl actual asset revaluations)</v>
      </c>
      <c r="F184" s="122">
        <v>13998</v>
      </c>
      <c r="G184" s="122">
        <v>25562</v>
      </c>
      <c r="H184" s="122">
        <v>2800</v>
      </c>
      <c r="I184" s="122">
        <v>9061.0587600000017</v>
      </c>
      <c r="J184" s="122">
        <v>5517</v>
      </c>
      <c r="K184" s="122">
        <v>5713.2880000000005</v>
      </c>
      <c r="L184" s="122">
        <v>6134.1421199999986</v>
      </c>
      <c r="M184" s="122">
        <v>3601.6147600000004</v>
      </c>
      <c r="N184" s="122">
        <v>12524</v>
      </c>
      <c r="O184" s="95">
        <v>6638.8530000000001</v>
      </c>
      <c r="P184" s="122">
        <v>93996.343819999995</v>
      </c>
      <c r="Q184" s="122">
        <v>5485</v>
      </c>
      <c r="R184" s="122">
        <v>5824.017859999999</v>
      </c>
      <c r="S184" s="122">
        <v>33448.169679999999</v>
      </c>
      <c r="T184" s="122">
        <v>194113</v>
      </c>
      <c r="U184" s="122">
        <v>65706.022419999994</v>
      </c>
      <c r="V184" s="122">
        <v>74549.740000000005</v>
      </c>
      <c r="W184" s="122">
        <v>1563.3539269000003</v>
      </c>
      <c r="X184" s="122">
        <v>11857</v>
      </c>
      <c r="Y184" s="122">
        <v>8056.5330000000004</v>
      </c>
      <c r="Z184" s="122">
        <v>12607</v>
      </c>
      <c r="AA184" s="122">
        <v>7100</v>
      </c>
      <c r="AB184" s="122">
        <v>4566</v>
      </c>
      <c r="AC184" s="122">
        <v>19480</v>
      </c>
      <c r="AD184" s="122">
        <v>2151.4088400000001</v>
      </c>
      <c r="AE184" s="122">
        <v>15854</v>
      </c>
      <c r="AF184" s="122">
        <v>8226.0310000000009</v>
      </c>
      <c r="AG184" s="122">
        <v>24341.717010000008</v>
      </c>
      <c r="AH184" s="122">
        <v>2454</v>
      </c>
      <c r="AI184" s="117">
        <f t="shared" si="4"/>
        <v>682929.2941969001</v>
      </c>
      <c r="AJ184" s="117">
        <f>SUM(F184:U184)</f>
        <v>490122.51042000001</v>
      </c>
      <c r="AK184" s="117">
        <f t="shared" si="5"/>
        <v>118257.04377690001</v>
      </c>
      <c r="AL184" s="23"/>
      <c r="AM184" s="127" t="b">
        <f>IF(INDEX($AO184:$BM184,0,$F$14)=1,TRUE,FALSE)</f>
        <v>1</v>
      </c>
      <c r="AN184" s="127" t="str">
        <f>IF(AM184,A184&amp;", "&amp;B184,"")</f>
        <v>Electricity lines service charge payable to Transpower, 2014/15</v>
      </c>
      <c r="AO184" s="129"/>
      <c r="AP184" s="129"/>
      <c r="AQ184" s="129">
        <v>1</v>
      </c>
      <c r="AR184" s="129">
        <v>1</v>
      </c>
      <c r="AS184" s="129">
        <v>1</v>
      </c>
      <c r="AT184" s="129">
        <v>1</v>
      </c>
      <c r="AU184" s="129">
        <v>1</v>
      </c>
      <c r="AV184" s="129">
        <v>1</v>
      </c>
      <c r="AW184" s="129">
        <v>1</v>
      </c>
      <c r="AX184" s="197">
        <v>1</v>
      </c>
      <c r="AY184" s="197">
        <v>1</v>
      </c>
      <c r="AZ184" s="197">
        <v>1</v>
      </c>
      <c r="BA184" s="197">
        <v>1</v>
      </c>
      <c r="BB184" s="129">
        <v>1</v>
      </c>
      <c r="BC184" s="129">
        <v>1</v>
      </c>
      <c r="BD184" s="129">
        <v>1</v>
      </c>
      <c r="BE184" s="129">
        <v>1</v>
      </c>
      <c r="BF184" s="129">
        <v>1</v>
      </c>
      <c r="BG184" s="129">
        <v>1</v>
      </c>
      <c r="BH184" s="129">
        <v>1</v>
      </c>
      <c r="BI184" s="129">
        <v>1</v>
      </c>
      <c r="BJ184" s="129">
        <v>1</v>
      </c>
      <c r="BK184" s="129">
        <v>1</v>
      </c>
      <c r="BL184" s="129">
        <v>1</v>
      </c>
      <c r="BM184" s="197">
        <v>1</v>
      </c>
    </row>
    <row r="185" spans="1:65" x14ac:dyDescent="0.25">
      <c r="A185" s="49"/>
      <c r="B185" s="121"/>
      <c r="C185" s="172"/>
      <c r="D185" s="49"/>
      <c r="E185" s="49"/>
      <c r="F185" s="54"/>
      <c r="G185" s="54"/>
      <c r="H185" s="54"/>
      <c r="I185" s="54"/>
      <c r="J185" s="54"/>
      <c r="K185" s="54"/>
      <c r="L185" s="54"/>
      <c r="M185" s="54"/>
      <c r="N185" s="54"/>
      <c r="O185" s="54"/>
      <c r="P185" s="54"/>
      <c r="Q185" s="54"/>
      <c r="R185" s="54"/>
      <c r="S185" s="54"/>
      <c r="T185" s="54"/>
      <c r="U185" s="54"/>
      <c r="V185" s="54"/>
      <c r="W185" s="55"/>
      <c r="X185" s="55"/>
      <c r="Y185" s="55"/>
      <c r="Z185" s="55"/>
      <c r="AA185" s="55"/>
      <c r="AB185" s="55"/>
      <c r="AC185" s="55"/>
      <c r="AD185" s="55"/>
      <c r="AE185" s="55"/>
      <c r="AF185" s="55"/>
      <c r="AG185" s="55"/>
      <c r="AH185" s="55"/>
      <c r="AI185" s="54"/>
      <c r="AJ185" s="54"/>
      <c r="AK185" s="54"/>
      <c r="AL185" s="23"/>
      <c r="AM185" s="127"/>
      <c r="AN185" s="127"/>
      <c r="AO185" s="129"/>
      <c r="AP185" s="129"/>
      <c r="AQ185" s="129"/>
      <c r="AR185" s="129"/>
      <c r="AS185" s="129"/>
      <c r="AT185" s="129"/>
      <c r="AU185" s="129"/>
      <c r="AV185" s="129"/>
      <c r="AW185" s="129"/>
      <c r="AX185" s="197"/>
      <c r="AY185" s="197"/>
      <c r="AZ185" s="197"/>
      <c r="BA185" s="197"/>
      <c r="BB185" s="129"/>
      <c r="BC185" s="129"/>
      <c r="BD185" s="129"/>
      <c r="BE185" s="129"/>
      <c r="BF185" s="129"/>
      <c r="BG185" s="129"/>
      <c r="BH185" s="129"/>
      <c r="BI185" s="129"/>
      <c r="BJ185" s="129"/>
      <c r="BK185" s="129"/>
      <c r="BL185" s="129"/>
      <c r="BM185" s="197"/>
    </row>
    <row r="186" spans="1:65" x14ac:dyDescent="0.25">
      <c r="A186" s="121"/>
      <c r="B186" s="121"/>
      <c r="C186" s="172"/>
      <c r="D186" s="46"/>
      <c r="E186" s="46"/>
      <c r="F186" s="54"/>
      <c r="G186" s="54"/>
      <c r="H186" s="54"/>
      <c r="I186" s="54"/>
      <c r="J186" s="54"/>
      <c r="K186" s="54"/>
      <c r="L186" s="54"/>
      <c r="M186" s="54"/>
      <c r="N186" s="54"/>
      <c r="O186" s="54"/>
      <c r="P186" s="54"/>
      <c r="Q186" s="54"/>
      <c r="R186" s="54"/>
      <c r="S186" s="54"/>
      <c r="T186" s="54"/>
      <c r="U186" s="54"/>
      <c r="V186" s="54"/>
      <c r="W186" s="55"/>
      <c r="X186" s="55"/>
      <c r="Y186" s="55"/>
      <c r="Z186" s="55"/>
      <c r="AA186" s="55"/>
      <c r="AB186" s="55"/>
      <c r="AC186" s="55"/>
      <c r="AD186" s="55"/>
      <c r="AE186" s="55"/>
      <c r="AF186" s="55"/>
      <c r="AG186" s="55"/>
      <c r="AH186" s="55"/>
      <c r="AI186" s="54"/>
      <c r="AJ186" s="54"/>
      <c r="AK186" s="54"/>
      <c r="AL186" s="23"/>
      <c r="AM186" s="127"/>
      <c r="AN186" s="127"/>
      <c r="AO186" s="129"/>
      <c r="AP186" s="129"/>
      <c r="AQ186" s="129"/>
      <c r="AR186" s="129"/>
      <c r="AS186" s="129"/>
      <c r="AT186" s="129"/>
      <c r="AU186" s="129"/>
      <c r="AV186" s="129"/>
      <c r="AW186" s="129"/>
      <c r="AX186" s="197"/>
      <c r="AY186" s="197"/>
      <c r="AZ186" s="197"/>
      <c r="BA186" s="197"/>
      <c r="BB186" s="129"/>
      <c r="BC186" s="129"/>
      <c r="BD186" s="129"/>
      <c r="BE186" s="129"/>
      <c r="BF186" s="129"/>
      <c r="BG186" s="129"/>
      <c r="BH186" s="129"/>
      <c r="BI186" s="129"/>
      <c r="BJ186" s="129"/>
      <c r="BK186" s="129"/>
      <c r="BL186" s="129"/>
      <c r="BM186" s="197"/>
    </row>
    <row r="187" spans="1:65" x14ac:dyDescent="0.25">
      <c r="A187" s="121" t="s">
        <v>146</v>
      </c>
      <c r="B187" s="121" t="s">
        <v>23</v>
      </c>
      <c r="C187" s="172" t="s">
        <v>222</v>
      </c>
      <c r="D187" s="161">
        <v>1</v>
      </c>
      <c r="E187" s="29" t="str">
        <f>INDEX(ra_ScName,MATCH(D187,ra_ScNumber,0))</f>
        <v>Expected nominal return (incl forecast asset revaluations)</v>
      </c>
      <c r="F187" s="54"/>
      <c r="G187" s="54"/>
      <c r="H187" s="54"/>
      <c r="I187" s="54"/>
      <c r="J187" s="54"/>
      <c r="K187" s="54"/>
      <c r="L187" s="54"/>
      <c r="M187" s="54"/>
      <c r="N187" s="54"/>
      <c r="O187" s="54"/>
      <c r="P187" s="54"/>
      <c r="Q187" s="54"/>
      <c r="R187" s="54"/>
      <c r="S187" s="54"/>
      <c r="T187" s="54"/>
      <c r="U187" s="54"/>
      <c r="V187" s="54"/>
      <c r="W187" s="55"/>
      <c r="X187" s="55"/>
      <c r="Y187" s="55"/>
      <c r="Z187" s="55"/>
      <c r="AA187" s="55"/>
      <c r="AB187" s="55"/>
      <c r="AC187" s="55"/>
      <c r="AD187" s="55"/>
      <c r="AE187" s="55"/>
      <c r="AF187" s="55"/>
      <c r="AG187" s="55"/>
      <c r="AH187" s="55"/>
      <c r="AI187" s="117">
        <f t="shared" si="4"/>
        <v>0</v>
      </c>
      <c r="AJ187" s="117">
        <f>SUM(F187:U187)</f>
        <v>0</v>
      </c>
      <c r="AK187" s="117">
        <f t="shared" si="5"/>
        <v>0</v>
      </c>
      <c r="AL187" s="23"/>
      <c r="AM187" s="127" t="b">
        <f>IF(INDEX($AO187:$BM187,0,$F$14)=1,TRUE,FALSE)</f>
        <v>0</v>
      </c>
      <c r="AN187" s="127" t="str">
        <f>IF(AM187,A187&amp;", "&amp;B187,"")</f>
        <v/>
      </c>
      <c r="AO187" s="129">
        <v>1</v>
      </c>
      <c r="AP187" s="129">
        <v>1</v>
      </c>
      <c r="AQ187" s="129"/>
      <c r="AR187" s="129"/>
      <c r="AS187" s="129"/>
      <c r="AT187" s="129"/>
      <c r="AU187" s="129"/>
      <c r="AV187" s="129"/>
      <c r="AW187" s="129"/>
      <c r="AX187" s="197"/>
      <c r="AY187" s="197"/>
      <c r="AZ187" s="197"/>
      <c r="BA187" s="197"/>
      <c r="BB187" s="129"/>
      <c r="BC187" s="129"/>
      <c r="BD187" s="129"/>
      <c r="BE187" s="129"/>
      <c r="BF187" s="129"/>
      <c r="BG187" s="129"/>
      <c r="BH187" s="129"/>
      <c r="BI187" s="129"/>
      <c r="BJ187" s="129"/>
      <c r="BK187" s="129"/>
      <c r="BL187" s="129"/>
      <c r="BM187" s="197"/>
    </row>
    <row r="188" spans="1:65" x14ac:dyDescent="0.25">
      <c r="A188" s="121" t="s">
        <v>146</v>
      </c>
      <c r="B188" s="121" t="s">
        <v>24</v>
      </c>
      <c r="C188" s="172" t="s">
        <v>222</v>
      </c>
      <c r="D188" s="161">
        <v>1</v>
      </c>
      <c r="E188" s="29" t="str">
        <f>INDEX(ra_ScName,MATCH(D188,ra_ScNumber,0))</f>
        <v>Expected nominal return (incl forecast asset revaluations)</v>
      </c>
      <c r="F188" s="54"/>
      <c r="G188" s="54"/>
      <c r="H188" s="54"/>
      <c r="I188" s="54"/>
      <c r="J188" s="54"/>
      <c r="K188" s="54"/>
      <c r="L188" s="54"/>
      <c r="M188" s="54"/>
      <c r="N188" s="54"/>
      <c r="O188" s="54"/>
      <c r="P188" s="54"/>
      <c r="Q188" s="54"/>
      <c r="R188" s="54"/>
      <c r="S188" s="54"/>
      <c r="T188" s="54"/>
      <c r="U188" s="54"/>
      <c r="V188" s="54"/>
      <c r="W188" s="55"/>
      <c r="X188" s="55"/>
      <c r="Y188" s="55"/>
      <c r="Z188" s="55"/>
      <c r="AA188" s="55"/>
      <c r="AB188" s="55"/>
      <c r="AC188" s="55"/>
      <c r="AD188" s="55"/>
      <c r="AE188" s="55"/>
      <c r="AF188" s="55"/>
      <c r="AG188" s="55"/>
      <c r="AH188" s="55"/>
      <c r="AI188" s="117">
        <f t="shared" si="4"/>
        <v>0</v>
      </c>
      <c r="AJ188" s="117">
        <f>SUM(F188:U188)</f>
        <v>0</v>
      </c>
      <c r="AK188" s="117">
        <f t="shared" si="5"/>
        <v>0</v>
      </c>
      <c r="AL188" s="23"/>
      <c r="AM188" s="127" t="b">
        <f>IF(INDEX($AO188:$BM188,0,$F$14)=1,TRUE,FALSE)</f>
        <v>0</v>
      </c>
      <c r="AN188" s="127" t="str">
        <f>IF(AM188,A188&amp;", "&amp;B188,"")</f>
        <v/>
      </c>
      <c r="AO188" s="129">
        <v>1</v>
      </c>
      <c r="AP188" s="129">
        <v>1</v>
      </c>
      <c r="AQ188" s="129"/>
      <c r="AR188" s="129"/>
      <c r="AS188" s="129"/>
      <c r="AT188" s="129"/>
      <c r="AU188" s="129"/>
      <c r="AV188" s="129"/>
      <c r="AW188" s="129"/>
      <c r="AX188" s="197"/>
      <c r="AY188" s="197"/>
      <c r="AZ188" s="197"/>
      <c r="BA188" s="197"/>
      <c r="BB188" s="129"/>
      <c r="BC188" s="129"/>
      <c r="BD188" s="129"/>
      <c r="BE188" s="129"/>
      <c r="BF188" s="129"/>
      <c r="BG188" s="129"/>
      <c r="BH188" s="129"/>
      <c r="BI188" s="129"/>
      <c r="BJ188" s="129"/>
      <c r="BK188" s="129"/>
      <c r="BL188" s="129"/>
      <c r="BM188" s="197"/>
    </row>
    <row r="189" spans="1:65" x14ac:dyDescent="0.25">
      <c r="A189" s="121" t="s">
        <v>146</v>
      </c>
      <c r="B189" s="121" t="s">
        <v>25</v>
      </c>
      <c r="C189" s="172" t="s">
        <v>222</v>
      </c>
      <c r="D189" s="161">
        <v>1</v>
      </c>
      <c r="E189" s="29" t="str">
        <f>INDEX(ra_ScName,MATCH(D189,ra_ScNumber,0))</f>
        <v>Expected nominal return (incl forecast asset revaluations)</v>
      </c>
      <c r="F189" s="54"/>
      <c r="G189" s="54"/>
      <c r="H189" s="54"/>
      <c r="I189" s="54"/>
      <c r="J189" s="54"/>
      <c r="K189" s="54"/>
      <c r="L189" s="54"/>
      <c r="M189" s="54"/>
      <c r="N189" s="54"/>
      <c r="O189" s="54"/>
      <c r="P189" s="54"/>
      <c r="Q189" s="54"/>
      <c r="R189" s="54"/>
      <c r="S189" s="54"/>
      <c r="T189" s="54"/>
      <c r="U189" s="54"/>
      <c r="V189" s="54"/>
      <c r="W189" s="55"/>
      <c r="X189" s="55"/>
      <c r="Y189" s="55"/>
      <c r="Z189" s="55"/>
      <c r="AA189" s="55"/>
      <c r="AB189" s="55"/>
      <c r="AC189" s="55"/>
      <c r="AD189" s="55"/>
      <c r="AE189" s="55"/>
      <c r="AF189" s="55"/>
      <c r="AG189" s="55"/>
      <c r="AH189" s="55"/>
      <c r="AI189" s="117">
        <f t="shared" si="4"/>
        <v>0</v>
      </c>
      <c r="AJ189" s="117">
        <f>SUM(F189:U189)</f>
        <v>0</v>
      </c>
      <c r="AK189" s="117">
        <f t="shared" si="5"/>
        <v>0</v>
      </c>
      <c r="AL189" s="23"/>
      <c r="AM189" s="127" t="b">
        <f>IF(INDEX($AO189:$BM189,0,$F$14)=1,TRUE,FALSE)</f>
        <v>0</v>
      </c>
      <c r="AN189" s="127" t="str">
        <f>IF(AM189,A189&amp;", "&amp;B189,"")</f>
        <v/>
      </c>
      <c r="AO189" s="129">
        <v>1</v>
      </c>
      <c r="AP189" s="129">
        <v>1</v>
      </c>
      <c r="AQ189" s="129"/>
      <c r="AR189" s="129"/>
      <c r="AS189" s="129"/>
      <c r="AT189" s="129"/>
      <c r="AU189" s="129"/>
      <c r="AV189" s="129"/>
      <c r="AW189" s="129"/>
      <c r="AX189" s="197"/>
      <c r="AY189" s="197"/>
      <c r="AZ189" s="197"/>
      <c r="BA189" s="197"/>
      <c r="BB189" s="129"/>
      <c r="BC189" s="129"/>
      <c r="BD189" s="129"/>
      <c r="BE189" s="129"/>
      <c r="BF189" s="129"/>
      <c r="BG189" s="129"/>
      <c r="BH189" s="129"/>
      <c r="BI189" s="129"/>
      <c r="BJ189" s="129"/>
      <c r="BK189" s="129"/>
      <c r="BL189" s="129"/>
      <c r="BM189" s="197"/>
    </row>
    <row r="190" spans="1:65" x14ac:dyDescent="0.25">
      <c r="A190" s="121" t="s">
        <v>146</v>
      </c>
      <c r="B190" s="121" t="s">
        <v>26</v>
      </c>
      <c r="C190" s="172" t="s">
        <v>222</v>
      </c>
      <c r="D190" s="161">
        <v>1</v>
      </c>
      <c r="E190" s="29" t="str">
        <f>INDEX(ra_ScName,MATCH(D190,ra_ScNumber,0))</f>
        <v>Expected nominal return (incl forecast asset revaluations)</v>
      </c>
      <c r="F190" s="54"/>
      <c r="G190" s="54"/>
      <c r="H190" s="54"/>
      <c r="I190" s="54"/>
      <c r="J190" s="54"/>
      <c r="K190" s="54"/>
      <c r="L190" s="54"/>
      <c r="M190" s="54"/>
      <c r="N190" s="54"/>
      <c r="O190" s="54"/>
      <c r="P190" s="54"/>
      <c r="Q190" s="54"/>
      <c r="R190" s="54"/>
      <c r="S190" s="54"/>
      <c r="T190" s="54"/>
      <c r="U190" s="54"/>
      <c r="V190" s="54"/>
      <c r="W190" s="55"/>
      <c r="X190" s="55"/>
      <c r="Y190" s="55"/>
      <c r="Z190" s="55"/>
      <c r="AA190" s="55"/>
      <c r="AB190" s="55"/>
      <c r="AC190" s="55"/>
      <c r="AD190" s="55"/>
      <c r="AE190" s="55"/>
      <c r="AF190" s="55"/>
      <c r="AG190" s="55"/>
      <c r="AH190" s="55"/>
      <c r="AI190" s="117">
        <f t="shared" si="4"/>
        <v>0</v>
      </c>
      <c r="AJ190" s="117">
        <f>SUM(F190:U190)</f>
        <v>0</v>
      </c>
      <c r="AK190" s="117">
        <f t="shared" si="5"/>
        <v>0</v>
      </c>
      <c r="AL190" s="23"/>
      <c r="AM190" s="127" t="b">
        <f>IF(INDEX($AO190:$BM190,0,$F$14)=1,TRUE,FALSE)</f>
        <v>0</v>
      </c>
      <c r="AN190" s="127" t="str">
        <f>IF(AM190,A190&amp;", "&amp;B190,"")</f>
        <v/>
      </c>
      <c r="AO190" s="129">
        <v>1</v>
      </c>
      <c r="AP190" s="129">
        <v>1</v>
      </c>
      <c r="AQ190" s="129"/>
      <c r="AR190" s="129"/>
      <c r="AS190" s="129"/>
      <c r="AT190" s="129"/>
      <c r="AU190" s="129"/>
      <c r="AV190" s="129"/>
      <c r="AW190" s="129"/>
      <c r="AX190" s="197"/>
      <c r="AY190" s="197"/>
      <c r="AZ190" s="197"/>
      <c r="BA190" s="197"/>
      <c r="BB190" s="129"/>
      <c r="BC190" s="129"/>
      <c r="BD190" s="129"/>
      <c r="BE190" s="129"/>
      <c r="BF190" s="129"/>
      <c r="BG190" s="129"/>
      <c r="BH190" s="129"/>
      <c r="BI190" s="129"/>
      <c r="BJ190" s="129"/>
      <c r="BK190" s="129"/>
      <c r="BL190" s="129"/>
      <c r="BM190" s="197"/>
    </row>
    <row r="191" spans="1:65" x14ac:dyDescent="0.25">
      <c r="A191" s="121" t="s">
        <v>146</v>
      </c>
      <c r="B191" s="121" t="s">
        <v>27</v>
      </c>
      <c r="C191" s="172" t="s">
        <v>222</v>
      </c>
      <c r="D191" s="161">
        <v>1</v>
      </c>
      <c r="E191" s="29" t="str">
        <f>INDEX(ra_ScName,MATCH(D191,ra_ScNumber,0))</f>
        <v>Expected nominal return (incl forecast asset revaluations)</v>
      </c>
      <c r="F191" s="54"/>
      <c r="G191" s="54"/>
      <c r="H191" s="54"/>
      <c r="I191" s="54"/>
      <c r="J191" s="54"/>
      <c r="K191" s="54"/>
      <c r="L191" s="54"/>
      <c r="M191" s="54"/>
      <c r="N191" s="54"/>
      <c r="O191" s="54"/>
      <c r="P191" s="54"/>
      <c r="Q191" s="54"/>
      <c r="R191" s="54"/>
      <c r="S191" s="54"/>
      <c r="T191" s="54"/>
      <c r="U191" s="54"/>
      <c r="V191" s="54"/>
      <c r="W191" s="55"/>
      <c r="X191" s="55"/>
      <c r="Y191" s="55"/>
      <c r="Z191" s="55"/>
      <c r="AA191" s="55"/>
      <c r="AB191" s="55"/>
      <c r="AC191" s="55"/>
      <c r="AD191" s="55"/>
      <c r="AE191" s="55"/>
      <c r="AF191" s="55"/>
      <c r="AG191" s="55"/>
      <c r="AH191" s="55"/>
      <c r="AI191" s="117">
        <f t="shared" si="4"/>
        <v>0</v>
      </c>
      <c r="AJ191" s="117">
        <f>SUM(F191:U191)</f>
        <v>0</v>
      </c>
      <c r="AK191" s="117">
        <f t="shared" si="5"/>
        <v>0</v>
      </c>
      <c r="AL191" s="23"/>
      <c r="AM191" s="127" t="b">
        <f>IF(INDEX($AO191:$BM191,0,$F$14)=1,TRUE,FALSE)</f>
        <v>0</v>
      </c>
      <c r="AN191" s="127" t="str">
        <f>IF(AM191,A191&amp;", "&amp;B191,"")</f>
        <v/>
      </c>
      <c r="AO191" s="129">
        <v>1</v>
      </c>
      <c r="AP191" s="129">
        <v>1</v>
      </c>
      <c r="AQ191" s="129"/>
      <c r="AR191" s="129"/>
      <c r="AS191" s="129"/>
      <c r="AT191" s="129"/>
      <c r="AU191" s="129"/>
      <c r="AV191" s="129"/>
      <c r="AW191" s="129"/>
      <c r="AX191" s="197"/>
      <c r="AY191" s="197"/>
      <c r="AZ191" s="197"/>
      <c r="BA191" s="197"/>
      <c r="BB191" s="129"/>
      <c r="BC191" s="129"/>
      <c r="BD191" s="129"/>
      <c r="BE191" s="129"/>
      <c r="BF191" s="129"/>
      <c r="BG191" s="129"/>
      <c r="BH191" s="129"/>
      <c r="BI191" s="129"/>
      <c r="BJ191" s="129"/>
      <c r="BK191" s="129"/>
      <c r="BL191" s="129"/>
      <c r="BM191" s="197"/>
    </row>
    <row r="192" spans="1:65" x14ac:dyDescent="0.25">
      <c r="A192" s="121"/>
      <c r="B192" s="121"/>
      <c r="C192" s="172"/>
      <c r="D192" s="49"/>
      <c r="E192" s="49"/>
      <c r="F192" s="54"/>
      <c r="G192" s="54"/>
      <c r="H192" s="54"/>
      <c r="I192" s="54"/>
      <c r="J192" s="54"/>
      <c r="K192" s="54"/>
      <c r="L192" s="54"/>
      <c r="M192" s="54"/>
      <c r="N192" s="54"/>
      <c r="O192" s="54"/>
      <c r="P192" s="54"/>
      <c r="Q192" s="54"/>
      <c r="R192" s="54"/>
      <c r="S192" s="54"/>
      <c r="T192" s="54"/>
      <c r="U192" s="54"/>
      <c r="V192" s="54"/>
      <c r="W192" s="55"/>
      <c r="X192" s="55"/>
      <c r="Y192" s="55"/>
      <c r="Z192" s="55"/>
      <c r="AA192" s="55"/>
      <c r="AB192" s="55"/>
      <c r="AC192" s="55"/>
      <c r="AD192" s="55"/>
      <c r="AE192" s="55"/>
      <c r="AF192" s="55"/>
      <c r="AG192" s="55"/>
      <c r="AH192" s="55"/>
      <c r="AI192" s="54"/>
      <c r="AJ192" s="54"/>
      <c r="AK192" s="54"/>
      <c r="AL192" s="23"/>
      <c r="AM192" s="127"/>
      <c r="AN192" s="127"/>
      <c r="AO192" s="129"/>
      <c r="AP192" s="129"/>
      <c r="AQ192" s="129"/>
      <c r="AR192" s="129"/>
      <c r="AS192" s="129"/>
      <c r="AT192" s="129"/>
      <c r="AU192" s="129"/>
      <c r="AV192" s="129"/>
      <c r="AW192" s="129"/>
      <c r="AX192" s="197"/>
      <c r="AY192" s="197"/>
      <c r="AZ192" s="197"/>
      <c r="BA192" s="197"/>
      <c r="BB192" s="129"/>
      <c r="BC192" s="129"/>
      <c r="BD192" s="129"/>
      <c r="BE192" s="129"/>
      <c r="BF192" s="129"/>
      <c r="BG192" s="129"/>
      <c r="BH192" s="129"/>
      <c r="BI192" s="129"/>
      <c r="BJ192" s="129"/>
      <c r="BK192" s="129"/>
      <c r="BL192" s="129"/>
      <c r="BM192" s="197"/>
    </row>
    <row r="193" spans="1:65" x14ac:dyDescent="0.25">
      <c r="A193" s="121"/>
      <c r="B193" s="121"/>
      <c r="C193" s="172"/>
      <c r="D193" s="46"/>
      <c r="E193" s="46"/>
      <c r="F193" s="54"/>
      <c r="G193" s="54"/>
      <c r="H193" s="54"/>
      <c r="I193" s="54"/>
      <c r="J193" s="54"/>
      <c r="K193" s="54"/>
      <c r="L193" s="54"/>
      <c r="M193" s="54"/>
      <c r="N193" s="54"/>
      <c r="O193" s="54"/>
      <c r="P193" s="54"/>
      <c r="Q193" s="54"/>
      <c r="R193" s="54"/>
      <c r="S193" s="54"/>
      <c r="T193" s="54"/>
      <c r="U193" s="54"/>
      <c r="V193" s="54"/>
      <c r="W193" s="55"/>
      <c r="X193" s="55"/>
      <c r="Y193" s="55"/>
      <c r="Z193" s="55"/>
      <c r="AA193" s="55"/>
      <c r="AB193" s="55"/>
      <c r="AC193" s="55"/>
      <c r="AD193" s="55"/>
      <c r="AE193" s="55"/>
      <c r="AF193" s="55"/>
      <c r="AG193" s="55"/>
      <c r="AH193" s="55"/>
      <c r="AI193" s="54"/>
      <c r="AJ193" s="54"/>
      <c r="AK193" s="54"/>
      <c r="AL193" s="23"/>
      <c r="AM193" s="127"/>
      <c r="AN193" s="127"/>
      <c r="AO193" s="129"/>
      <c r="AP193" s="129"/>
      <c r="AQ193" s="129"/>
      <c r="AR193" s="129"/>
      <c r="AS193" s="129"/>
      <c r="AT193" s="129"/>
      <c r="AU193" s="129"/>
      <c r="AV193" s="129"/>
      <c r="AW193" s="129"/>
      <c r="AX193" s="197"/>
      <c r="AY193" s="197"/>
      <c r="AZ193" s="197"/>
      <c r="BA193" s="197"/>
      <c r="BB193" s="129"/>
      <c r="BC193" s="129"/>
      <c r="BD193" s="129"/>
      <c r="BE193" s="129"/>
      <c r="BF193" s="129"/>
      <c r="BG193" s="129"/>
      <c r="BH193" s="129"/>
      <c r="BI193" s="129"/>
      <c r="BJ193" s="129"/>
      <c r="BK193" s="129"/>
      <c r="BL193" s="129"/>
      <c r="BM193" s="197"/>
    </row>
    <row r="194" spans="1:65" x14ac:dyDescent="0.25">
      <c r="A194" s="121" t="s">
        <v>146</v>
      </c>
      <c r="B194" s="121" t="s">
        <v>23</v>
      </c>
      <c r="C194" s="172" t="s">
        <v>222</v>
      </c>
      <c r="D194" s="161">
        <v>10</v>
      </c>
      <c r="E194" s="29" t="str">
        <f>INDEX(ra_ScName,MATCH(D194,ra_ScNumber,0))</f>
        <v>Disclosed nominal return (incl actual asset revaluations)</v>
      </c>
      <c r="F194" s="122">
        <v>0</v>
      </c>
      <c r="G194" s="122">
        <v>0</v>
      </c>
      <c r="H194" s="122">
        <v>0</v>
      </c>
      <c r="I194" s="122">
        <v>0</v>
      </c>
      <c r="J194" s="122">
        <v>0</v>
      </c>
      <c r="K194" s="122">
        <v>0</v>
      </c>
      <c r="L194" s="122">
        <v>0</v>
      </c>
      <c r="M194" s="122">
        <v>0</v>
      </c>
      <c r="N194" s="122">
        <v>0</v>
      </c>
      <c r="O194" s="122">
        <v>0</v>
      </c>
      <c r="P194" s="122">
        <v>0</v>
      </c>
      <c r="Q194" s="122">
        <v>0</v>
      </c>
      <c r="R194" s="122">
        <v>0</v>
      </c>
      <c r="S194" s="122">
        <v>0</v>
      </c>
      <c r="T194" s="122">
        <v>0</v>
      </c>
      <c r="U194" s="122">
        <v>0</v>
      </c>
      <c r="V194" s="122">
        <v>0</v>
      </c>
      <c r="W194" s="122">
        <v>0</v>
      </c>
      <c r="X194" s="122">
        <v>0</v>
      </c>
      <c r="Y194" s="122">
        <v>0</v>
      </c>
      <c r="Z194" s="122">
        <v>0</v>
      </c>
      <c r="AA194" s="122">
        <v>0</v>
      </c>
      <c r="AB194" s="122">
        <v>0</v>
      </c>
      <c r="AC194" s="122">
        <v>0</v>
      </c>
      <c r="AD194" s="122">
        <v>0</v>
      </c>
      <c r="AE194" s="122">
        <v>0</v>
      </c>
      <c r="AF194" s="122">
        <v>0</v>
      </c>
      <c r="AG194" s="122">
        <v>0</v>
      </c>
      <c r="AH194" s="122">
        <v>0</v>
      </c>
      <c r="AI194" s="117">
        <f t="shared" si="4"/>
        <v>0</v>
      </c>
      <c r="AJ194" s="117">
        <f>SUM(F194:U194)</f>
        <v>0</v>
      </c>
      <c r="AK194" s="117">
        <f t="shared" si="5"/>
        <v>0</v>
      </c>
      <c r="AL194" s="23"/>
      <c r="AM194" s="127" t="b">
        <f>IF(INDEX($AO194:$BM194,0,$F$14)=1,TRUE,FALSE)</f>
        <v>1</v>
      </c>
      <c r="AN194" s="127" t="str">
        <f>IF(AM194,A194&amp;", "&amp;B194,"")</f>
        <v>Transpower new investment contract charges, 2010/11</v>
      </c>
      <c r="AO194" s="129"/>
      <c r="AP194" s="129"/>
      <c r="AQ194" s="129">
        <v>1</v>
      </c>
      <c r="AR194" s="129">
        <v>1</v>
      </c>
      <c r="AS194" s="129">
        <v>1</v>
      </c>
      <c r="AT194" s="129">
        <v>1</v>
      </c>
      <c r="AU194" s="129">
        <v>1</v>
      </c>
      <c r="AV194" s="129">
        <v>1</v>
      </c>
      <c r="AW194" s="129">
        <v>1</v>
      </c>
      <c r="AX194" s="197">
        <v>1</v>
      </c>
      <c r="AY194" s="197">
        <v>1</v>
      </c>
      <c r="AZ194" s="197">
        <v>1</v>
      </c>
      <c r="BA194" s="197">
        <v>1</v>
      </c>
      <c r="BB194" s="129">
        <v>1</v>
      </c>
      <c r="BC194" s="129">
        <v>1</v>
      </c>
      <c r="BD194" s="129">
        <v>1</v>
      </c>
      <c r="BE194" s="129">
        <v>1</v>
      </c>
      <c r="BF194" s="129">
        <v>1</v>
      </c>
      <c r="BG194" s="129">
        <v>1</v>
      </c>
      <c r="BH194" s="129">
        <v>1</v>
      </c>
      <c r="BI194" s="129">
        <v>1</v>
      </c>
      <c r="BJ194" s="129">
        <v>1</v>
      </c>
      <c r="BK194" s="129">
        <v>1</v>
      </c>
      <c r="BL194" s="129">
        <v>1</v>
      </c>
      <c r="BM194" s="197">
        <v>1</v>
      </c>
    </row>
    <row r="195" spans="1:65" x14ac:dyDescent="0.25">
      <c r="A195" s="121" t="s">
        <v>146</v>
      </c>
      <c r="B195" s="121" t="s">
        <v>24</v>
      </c>
      <c r="C195" s="172" t="s">
        <v>222</v>
      </c>
      <c r="D195" s="161">
        <v>10</v>
      </c>
      <c r="E195" s="29" t="str">
        <f>INDEX(ra_ScName,MATCH(D195,ra_ScNumber,0))</f>
        <v>Disclosed nominal return (incl actual asset revaluations)</v>
      </c>
      <c r="F195" s="122">
        <v>0</v>
      </c>
      <c r="G195" s="122">
        <v>0</v>
      </c>
      <c r="H195" s="122">
        <v>0</v>
      </c>
      <c r="I195" s="122">
        <v>0</v>
      </c>
      <c r="J195" s="122">
        <v>0</v>
      </c>
      <c r="K195" s="122">
        <v>0</v>
      </c>
      <c r="L195" s="122">
        <v>0</v>
      </c>
      <c r="M195" s="122">
        <v>0</v>
      </c>
      <c r="N195" s="122">
        <v>0</v>
      </c>
      <c r="O195" s="122">
        <v>0</v>
      </c>
      <c r="P195" s="122">
        <v>0</v>
      </c>
      <c r="Q195" s="122">
        <v>0</v>
      </c>
      <c r="R195" s="122">
        <v>0</v>
      </c>
      <c r="S195" s="122">
        <v>0</v>
      </c>
      <c r="T195" s="122">
        <v>0</v>
      </c>
      <c r="U195" s="122">
        <v>0</v>
      </c>
      <c r="V195" s="122">
        <v>0</v>
      </c>
      <c r="W195" s="122">
        <v>0</v>
      </c>
      <c r="X195" s="122">
        <v>0</v>
      </c>
      <c r="Y195" s="122">
        <v>0</v>
      </c>
      <c r="Z195" s="122">
        <v>0</v>
      </c>
      <c r="AA195" s="122">
        <v>0</v>
      </c>
      <c r="AB195" s="122">
        <v>0</v>
      </c>
      <c r="AC195" s="122">
        <v>0</v>
      </c>
      <c r="AD195" s="122">
        <v>0</v>
      </c>
      <c r="AE195" s="122">
        <v>0</v>
      </c>
      <c r="AF195" s="122">
        <v>0</v>
      </c>
      <c r="AG195" s="122">
        <v>0</v>
      </c>
      <c r="AH195" s="122">
        <v>0</v>
      </c>
      <c r="AI195" s="117">
        <f t="shared" si="4"/>
        <v>0</v>
      </c>
      <c r="AJ195" s="117">
        <f>SUM(F195:U195)</f>
        <v>0</v>
      </c>
      <c r="AK195" s="117">
        <f t="shared" si="5"/>
        <v>0</v>
      </c>
      <c r="AL195" s="23"/>
      <c r="AM195" s="127" t="b">
        <f>IF(INDEX($AO195:$BM195,0,$F$14)=1,TRUE,FALSE)</f>
        <v>1</v>
      </c>
      <c r="AN195" s="127" t="str">
        <f>IF(AM195,A195&amp;", "&amp;B195,"")</f>
        <v>Transpower new investment contract charges, 2011/12</v>
      </c>
      <c r="AO195" s="129"/>
      <c r="AP195" s="129"/>
      <c r="AQ195" s="129">
        <v>1</v>
      </c>
      <c r="AR195" s="129">
        <v>1</v>
      </c>
      <c r="AS195" s="129">
        <v>1</v>
      </c>
      <c r="AT195" s="129">
        <v>1</v>
      </c>
      <c r="AU195" s="129">
        <v>1</v>
      </c>
      <c r="AV195" s="129">
        <v>1</v>
      </c>
      <c r="AW195" s="129">
        <v>1</v>
      </c>
      <c r="AX195" s="197">
        <v>1</v>
      </c>
      <c r="AY195" s="197">
        <v>1</v>
      </c>
      <c r="AZ195" s="197">
        <v>1</v>
      </c>
      <c r="BA195" s="197">
        <v>1</v>
      </c>
      <c r="BB195" s="129">
        <v>1</v>
      </c>
      <c r="BC195" s="129">
        <v>1</v>
      </c>
      <c r="BD195" s="129">
        <v>1</v>
      </c>
      <c r="BE195" s="129">
        <v>1</v>
      </c>
      <c r="BF195" s="129">
        <v>1</v>
      </c>
      <c r="BG195" s="129">
        <v>1</v>
      </c>
      <c r="BH195" s="129">
        <v>1</v>
      </c>
      <c r="BI195" s="129">
        <v>1</v>
      </c>
      <c r="BJ195" s="129">
        <v>1</v>
      </c>
      <c r="BK195" s="129">
        <v>1</v>
      </c>
      <c r="BL195" s="129">
        <v>1</v>
      </c>
      <c r="BM195" s="197">
        <v>1</v>
      </c>
    </row>
    <row r="196" spans="1:65" x14ac:dyDescent="0.25">
      <c r="A196" s="121" t="s">
        <v>146</v>
      </c>
      <c r="B196" s="121" t="s">
        <v>25</v>
      </c>
      <c r="C196" s="172" t="s">
        <v>209</v>
      </c>
      <c r="D196" s="161">
        <v>10</v>
      </c>
      <c r="E196" s="29" t="str">
        <f>INDEX(ra_ScName,MATCH(D196,ra_ScNumber,0))</f>
        <v>Disclosed nominal return (incl actual asset revaluations)</v>
      </c>
      <c r="F196" s="122">
        <v>0</v>
      </c>
      <c r="G196" s="122">
        <v>0</v>
      </c>
      <c r="H196" s="122">
        <v>232</v>
      </c>
      <c r="I196" s="122">
        <v>0</v>
      </c>
      <c r="J196" s="122">
        <v>0</v>
      </c>
      <c r="K196" s="122">
        <v>0</v>
      </c>
      <c r="L196" s="122">
        <v>0</v>
      </c>
      <c r="M196" s="122">
        <v>0</v>
      </c>
      <c r="N196" s="122">
        <v>0</v>
      </c>
      <c r="O196" s="122">
        <v>0</v>
      </c>
      <c r="P196" s="122">
        <v>0</v>
      </c>
      <c r="Q196" s="122">
        <v>0</v>
      </c>
      <c r="R196" s="122">
        <v>0</v>
      </c>
      <c r="S196" s="122">
        <v>0</v>
      </c>
      <c r="T196" s="122">
        <v>0</v>
      </c>
      <c r="U196" s="122">
        <v>0</v>
      </c>
      <c r="V196" s="122">
        <v>0</v>
      </c>
      <c r="W196" s="122">
        <v>0</v>
      </c>
      <c r="X196" s="122">
        <v>0</v>
      </c>
      <c r="Y196" s="122">
        <v>0</v>
      </c>
      <c r="Z196" s="122">
        <v>0</v>
      </c>
      <c r="AA196" s="122">
        <v>0</v>
      </c>
      <c r="AB196" s="122">
        <v>0</v>
      </c>
      <c r="AC196" s="122">
        <v>0</v>
      </c>
      <c r="AD196" s="122">
        <v>0</v>
      </c>
      <c r="AE196" s="122">
        <v>0</v>
      </c>
      <c r="AF196" s="122">
        <v>0</v>
      </c>
      <c r="AG196" s="122">
        <v>0</v>
      </c>
      <c r="AH196" s="122">
        <v>0</v>
      </c>
      <c r="AI196" s="117">
        <f t="shared" si="4"/>
        <v>232</v>
      </c>
      <c r="AJ196" s="117">
        <f>SUM(F196:U196)</f>
        <v>232</v>
      </c>
      <c r="AK196" s="117">
        <f t="shared" si="5"/>
        <v>0</v>
      </c>
      <c r="AL196" s="23"/>
      <c r="AM196" s="127" t="b">
        <f>IF(INDEX($AO196:$BM196,0,$F$14)=1,TRUE,FALSE)</f>
        <v>1</v>
      </c>
      <c r="AN196" s="127" t="str">
        <f>IF(AM196,A196&amp;", "&amp;B196,"")</f>
        <v>Transpower new investment contract charges, 2012/13</v>
      </c>
      <c r="AO196" s="129"/>
      <c r="AP196" s="129"/>
      <c r="AQ196" s="129">
        <v>1</v>
      </c>
      <c r="AR196" s="129">
        <v>1</v>
      </c>
      <c r="AS196" s="129">
        <v>1</v>
      </c>
      <c r="AT196" s="129">
        <v>1</v>
      </c>
      <c r="AU196" s="129">
        <v>1</v>
      </c>
      <c r="AV196" s="129">
        <v>1</v>
      </c>
      <c r="AW196" s="129">
        <v>1</v>
      </c>
      <c r="AX196" s="197">
        <v>1</v>
      </c>
      <c r="AY196" s="197">
        <v>1</v>
      </c>
      <c r="AZ196" s="197">
        <v>1</v>
      </c>
      <c r="BA196" s="197">
        <v>1</v>
      </c>
      <c r="BB196" s="129">
        <v>1</v>
      </c>
      <c r="BC196" s="129">
        <v>1</v>
      </c>
      <c r="BD196" s="129">
        <v>1</v>
      </c>
      <c r="BE196" s="129">
        <v>1</v>
      </c>
      <c r="BF196" s="129">
        <v>1</v>
      </c>
      <c r="BG196" s="129">
        <v>1</v>
      </c>
      <c r="BH196" s="129">
        <v>1</v>
      </c>
      <c r="BI196" s="129">
        <v>1</v>
      </c>
      <c r="BJ196" s="129">
        <v>1</v>
      </c>
      <c r="BK196" s="129">
        <v>1</v>
      </c>
      <c r="BL196" s="129">
        <v>1</v>
      </c>
      <c r="BM196" s="197">
        <v>1</v>
      </c>
    </row>
    <row r="197" spans="1:65" x14ac:dyDescent="0.25">
      <c r="A197" s="121" t="s">
        <v>146</v>
      </c>
      <c r="B197" s="121" t="s">
        <v>26</v>
      </c>
      <c r="C197" s="172" t="s">
        <v>209</v>
      </c>
      <c r="D197" s="161">
        <v>10</v>
      </c>
      <c r="E197" s="29" t="str">
        <f>INDEX(ra_ScName,MATCH(D197,ra_ScNumber,0))</f>
        <v>Disclosed nominal return (incl actual asset revaluations)</v>
      </c>
      <c r="F197" s="122">
        <v>0</v>
      </c>
      <c r="G197" s="122">
        <v>0</v>
      </c>
      <c r="H197" s="122">
        <v>113</v>
      </c>
      <c r="I197" s="122">
        <v>0</v>
      </c>
      <c r="J197" s="122">
        <v>0</v>
      </c>
      <c r="K197" s="122">
        <v>0</v>
      </c>
      <c r="L197" s="122">
        <v>0</v>
      </c>
      <c r="M197" s="122">
        <v>0</v>
      </c>
      <c r="N197" s="122">
        <v>0</v>
      </c>
      <c r="O197" s="122">
        <v>0</v>
      </c>
      <c r="P197" s="122">
        <v>0</v>
      </c>
      <c r="Q197" s="122">
        <v>0</v>
      </c>
      <c r="R197" s="122">
        <v>0</v>
      </c>
      <c r="S197" s="122">
        <v>0</v>
      </c>
      <c r="T197" s="122">
        <v>0</v>
      </c>
      <c r="U197" s="122">
        <v>0</v>
      </c>
      <c r="V197" s="122">
        <v>0</v>
      </c>
      <c r="W197" s="122">
        <v>0</v>
      </c>
      <c r="X197" s="122">
        <v>0</v>
      </c>
      <c r="Y197" s="122">
        <v>0</v>
      </c>
      <c r="Z197" s="122">
        <v>0</v>
      </c>
      <c r="AA197" s="122">
        <v>0</v>
      </c>
      <c r="AB197" s="122">
        <v>0</v>
      </c>
      <c r="AC197" s="122">
        <v>0</v>
      </c>
      <c r="AD197" s="122">
        <v>0</v>
      </c>
      <c r="AE197" s="122">
        <v>197</v>
      </c>
      <c r="AF197" s="122">
        <v>0</v>
      </c>
      <c r="AG197" s="122">
        <v>0</v>
      </c>
      <c r="AH197" s="122">
        <v>0</v>
      </c>
      <c r="AI197" s="117">
        <f t="shared" si="4"/>
        <v>310</v>
      </c>
      <c r="AJ197" s="117">
        <f>SUM(F197:U197)</f>
        <v>113</v>
      </c>
      <c r="AK197" s="117">
        <f t="shared" si="5"/>
        <v>197</v>
      </c>
      <c r="AL197" s="23"/>
      <c r="AM197" s="127" t="b">
        <f>IF(INDEX($AO197:$BM197,0,$F$14)=1,TRUE,FALSE)</f>
        <v>1</v>
      </c>
      <c r="AN197" s="127" t="str">
        <f>IF(AM197,A197&amp;", "&amp;B197,"")</f>
        <v>Transpower new investment contract charges, 2013/14</v>
      </c>
      <c r="AO197" s="129"/>
      <c r="AP197" s="129"/>
      <c r="AQ197" s="129">
        <v>1</v>
      </c>
      <c r="AR197" s="129">
        <v>1</v>
      </c>
      <c r="AS197" s="129">
        <v>1</v>
      </c>
      <c r="AT197" s="129">
        <v>1</v>
      </c>
      <c r="AU197" s="129">
        <v>1</v>
      </c>
      <c r="AV197" s="129">
        <v>1</v>
      </c>
      <c r="AW197" s="129">
        <v>1</v>
      </c>
      <c r="AX197" s="197">
        <v>1</v>
      </c>
      <c r="AY197" s="197">
        <v>1</v>
      </c>
      <c r="AZ197" s="197">
        <v>1</v>
      </c>
      <c r="BA197" s="197">
        <v>1</v>
      </c>
      <c r="BB197" s="129">
        <v>1</v>
      </c>
      <c r="BC197" s="129">
        <v>1</v>
      </c>
      <c r="BD197" s="129">
        <v>1</v>
      </c>
      <c r="BE197" s="129">
        <v>1</v>
      </c>
      <c r="BF197" s="129">
        <v>1</v>
      </c>
      <c r="BG197" s="129">
        <v>1</v>
      </c>
      <c r="BH197" s="129">
        <v>1</v>
      </c>
      <c r="BI197" s="129">
        <v>1</v>
      </c>
      <c r="BJ197" s="129">
        <v>1</v>
      </c>
      <c r="BK197" s="129">
        <v>1</v>
      </c>
      <c r="BL197" s="129">
        <v>1</v>
      </c>
      <c r="BM197" s="197">
        <v>1</v>
      </c>
    </row>
    <row r="198" spans="1:65" x14ac:dyDescent="0.25">
      <c r="A198" s="121" t="s">
        <v>146</v>
      </c>
      <c r="B198" s="121" t="s">
        <v>27</v>
      </c>
      <c r="C198" s="172" t="s">
        <v>209</v>
      </c>
      <c r="D198" s="161">
        <v>10</v>
      </c>
      <c r="E198" s="29" t="str">
        <f>INDEX(ra_ScName,MATCH(D198,ra_ScNumber,0))</f>
        <v>Disclosed nominal return (incl actual asset revaluations)</v>
      </c>
      <c r="F198" s="122">
        <v>396</v>
      </c>
      <c r="G198" s="122">
        <v>0</v>
      </c>
      <c r="H198" s="122">
        <v>0</v>
      </c>
      <c r="I198" s="122">
        <v>331.40448000000004</v>
      </c>
      <c r="J198" s="122">
        <v>1597</v>
      </c>
      <c r="K198" s="122">
        <v>453.43799999999999</v>
      </c>
      <c r="L198" s="122">
        <v>0</v>
      </c>
      <c r="M198" s="122">
        <v>157.68180000000001</v>
      </c>
      <c r="N198" s="122">
        <v>288</v>
      </c>
      <c r="O198" s="122">
        <v>65.593000000000004</v>
      </c>
      <c r="P198" s="122">
        <v>6552.7014600000002</v>
      </c>
      <c r="Q198" s="122">
        <v>0</v>
      </c>
      <c r="R198" s="122">
        <v>0</v>
      </c>
      <c r="S198" s="122">
        <v>216.24202</v>
      </c>
      <c r="T198" s="122">
        <v>12381</v>
      </c>
      <c r="U198" s="122">
        <v>1359.69949</v>
      </c>
      <c r="V198" s="122">
        <v>3183.81</v>
      </c>
      <c r="W198" s="122">
        <v>4.7017799999999994</v>
      </c>
      <c r="X198" s="122">
        <v>171</v>
      </c>
      <c r="Y198" s="122">
        <v>0</v>
      </c>
      <c r="Z198" s="122">
        <v>564</v>
      </c>
      <c r="AA198" s="122">
        <v>523</v>
      </c>
      <c r="AB198" s="122">
        <v>382</v>
      </c>
      <c r="AC198" s="122">
        <v>0</v>
      </c>
      <c r="AD198" s="122">
        <v>290.904</v>
      </c>
      <c r="AE198" s="122">
        <v>214</v>
      </c>
      <c r="AF198" s="122">
        <v>46.247999999999998</v>
      </c>
      <c r="AG198" s="122">
        <v>2606.6660799999995</v>
      </c>
      <c r="AH198" s="122">
        <v>80</v>
      </c>
      <c r="AI198" s="117">
        <f t="shared" si="4"/>
        <v>31865.090109999997</v>
      </c>
      <c r="AJ198" s="117">
        <f>SUM(F198:U198)</f>
        <v>23798.760249999999</v>
      </c>
      <c r="AK198" s="117">
        <f t="shared" si="5"/>
        <v>4882.5198599999994</v>
      </c>
      <c r="AL198" s="23"/>
      <c r="AM198" s="127" t="b">
        <f>IF(INDEX($AO198:$BM198,0,$F$14)=1,TRUE,FALSE)</f>
        <v>1</v>
      </c>
      <c r="AN198" s="127" t="str">
        <f>IF(AM198,A198&amp;", "&amp;B198,"")</f>
        <v>Transpower new investment contract charges, 2014/15</v>
      </c>
      <c r="AO198" s="129"/>
      <c r="AP198" s="129"/>
      <c r="AQ198" s="129">
        <v>1</v>
      </c>
      <c r="AR198" s="129">
        <v>1</v>
      </c>
      <c r="AS198" s="129">
        <v>1</v>
      </c>
      <c r="AT198" s="129">
        <v>1</v>
      </c>
      <c r="AU198" s="129">
        <v>1</v>
      </c>
      <c r="AV198" s="129">
        <v>1</v>
      </c>
      <c r="AW198" s="129">
        <v>1</v>
      </c>
      <c r="AX198" s="197">
        <v>1</v>
      </c>
      <c r="AY198" s="197">
        <v>1</v>
      </c>
      <c r="AZ198" s="197">
        <v>1</v>
      </c>
      <c r="BA198" s="197">
        <v>1</v>
      </c>
      <c r="BB198" s="129">
        <v>1</v>
      </c>
      <c r="BC198" s="129">
        <v>1</v>
      </c>
      <c r="BD198" s="129">
        <v>1</v>
      </c>
      <c r="BE198" s="129">
        <v>1</v>
      </c>
      <c r="BF198" s="129">
        <v>1</v>
      </c>
      <c r="BG198" s="129">
        <v>1</v>
      </c>
      <c r="BH198" s="129">
        <v>1</v>
      </c>
      <c r="BI198" s="129">
        <v>1</v>
      </c>
      <c r="BJ198" s="129">
        <v>1</v>
      </c>
      <c r="BK198" s="129">
        <v>1</v>
      </c>
      <c r="BL198" s="129">
        <v>1</v>
      </c>
      <c r="BM198" s="197">
        <v>1</v>
      </c>
    </row>
    <row r="199" spans="1:65" x14ac:dyDescent="0.25">
      <c r="A199" s="121"/>
      <c r="B199" s="121"/>
      <c r="C199" s="172"/>
      <c r="D199" s="49"/>
      <c r="E199" s="49"/>
      <c r="F199" s="54"/>
      <c r="G199" s="54"/>
      <c r="H199" s="54"/>
      <c r="I199" s="54"/>
      <c r="J199" s="54"/>
      <c r="K199" s="54"/>
      <c r="L199" s="54"/>
      <c r="M199" s="54"/>
      <c r="N199" s="54"/>
      <c r="O199" s="54"/>
      <c r="P199" s="54"/>
      <c r="Q199" s="54"/>
      <c r="R199" s="54"/>
      <c r="S199" s="54"/>
      <c r="T199" s="54"/>
      <c r="U199" s="54"/>
      <c r="V199" s="54"/>
      <c r="W199" s="55"/>
      <c r="X199" s="55"/>
      <c r="Y199" s="55"/>
      <c r="Z199" s="55"/>
      <c r="AA199" s="55"/>
      <c r="AB199" s="55"/>
      <c r="AC199" s="55"/>
      <c r="AD199" s="55"/>
      <c r="AE199" s="55"/>
      <c r="AF199" s="55"/>
      <c r="AG199" s="55"/>
      <c r="AH199" s="55"/>
      <c r="AI199" s="54"/>
      <c r="AJ199" s="54"/>
      <c r="AK199" s="54"/>
      <c r="AL199" s="23"/>
      <c r="AM199" s="127"/>
      <c r="AN199" s="127"/>
      <c r="AO199" s="129"/>
      <c r="AP199" s="129"/>
      <c r="AQ199" s="129"/>
      <c r="AR199" s="129"/>
      <c r="AS199" s="129"/>
      <c r="AT199" s="129"/>
      <c r="AU199" s="129"/>
      <c r="AV199" s="129"/>
      <c r="AW199" s="129"/>
      <c r="AX199" s="197"/>
      <c r="AY199" s="197"/>
      <c r="AZ199" s="197"/>
      <c r="BA199" s="197"/>
      <c r="BB199" s="129"/>
      <c r="BC199" s="129"/>
      <c r="BD199" s="129"/>
      <c r="BE199" s="129"/>
      <c r="BF199" s="129"/>
      <c r="BG199" s="129"/>
      <c r="BH199" s="129"/>
      <c r="BI199" s="129"/>
      <c r="BJ199" s="129"/>
      <c r="BK199" s="129"/>
      <c r="BL199" s="129"/>
      <c r="BM199" s="197"/>
    </row>
    <row r="200" spans="1:65" x14ac:dyDescent="0.25">
      <c r="A200" s="121"/>
      <c r="B200" s="121"/>
      <c r="C200" s="172"/>
      <c r="D200" s="46"/>
      <c r="E200" s="46"/>
      <c r="F200" s="54"/>
      <c r="G200" s="54"/>
      <c r="H200" s="54"/>
      <c r="I200" s="54"/>
      <c r="J200" s="54"/>
      <c r="K200" s="54"/>
      <c r="L200" s="54"/>
      <c r="M200" s="54"/>
      <c r="N200" s="54"/>
      <c r="O200" s="54"/>
      <c r="P200" s="54"/>
      <c r="Q200" s="54"/>
      <c r="R200" s="54"/>
      <c r="S200" s="54"/>
      <c r="T200" s="54"/>
      <c r="U200" s="54"/>
      <c r="V200" s="54"/>
      <c r="W200" s="55"/>
      <c r="X200" s="55"/>
      <c r="Y200" s="55"/>
      <c r="Z200" s="55"/>
      <c r="AA200" s="55"/>
      <c r="AB200" s="55"/>
      <c r="AC200" s="55"/>
      <c r="AD200" s="55"/>
      <c r="AE200" s="55"/>
      <c r="AF200" s="55"/>
      <c r="AG200" s="55"/>
      <c r="AH200" s="55"/>
      <c r="AI200" s="54"/>
      <c r="AJ200" s="54"/>
      <c r="AK200" s="54"/>
      <c r="AL200" s="23"/>
      <c r="AM200" s="127"/>
      <c r="AN200" s="127"/>
      <c r="AO200" s="129"/>
      <c r="AP200" s="129"/>
      <c r="AQ200" s="129"/>
      <c r="AR200" s="129"/>
      <c r="AS200" s="129"/>
      <c r="AT200" s="129"/>
      <c r="AU200" s="129"/>
      <c r="AV200" s="129"/>
      <c r="AW200" s="129"/>
      <c r="AX200" s="197"/>
      <c r="AY200" s="197"/>
      <c r="AZ200" s="197"/>
      <c r="BA200" s="197"/>
      <c r="BB200" s="129"/>
      <c r="BC200" s="129"/>
      <c r="BD200" s="129"/>
      <c r="BE200" s="129"/>
      <c r="BF200" s="129"/>
      <c r="BG200" s="129"/>
      <c r="BH200" s="129"/>
      <c r="BI200" s="129"/>
      <c r="BJ200" s="129"/>
      <c r="BK200" s="129"/>
      <c r="BL200" s="129"/>
      <c r="BM200" s="197"/>
    </row>
    <row r="201" spans="1:65" x14ac:dyDescent="0.25">
      <c r="A201" s="121" t="s">
        <v>147</v>
      </c>
      <c r="B201" s="121" t="s">
        <v>23</v>
      </c>
      <c r="C201" s="172" t="s">
        <v>222</v>
      </c>
      <c r="D201" s="161">
        <v>1</v>
      </c>
      <c r="E201" s="29" t="str">
        <f>INDEX(ra_ScName,MATCH(D201,ra_ScNumber,0))</f>
        <v>Expected nominal return (incl forecast asset revaluations)</v>
      </c>
      <c r="F201" s="54"/>
      <c r="G201" s="54"/>
      <c r="H201" s="54"/>
      <c r="I201" s="54"/>
      <c r="J201" s="54"/>
      <c r="K201" s="54"/>
      <c r="L201" s="54"/>
      <c r="M201" s="54"/>
      <c r="N201" s="54"/>
      <c r="O201" s="54"/>
      <c r="P201" s="54"/>
      <c r="Q201" s="54"/>
      <c r="R201" s="54"/>
      <c r="S201" s="54"/>
      <c r="T201" s="54"/>
      <c r="U201" s="54"/>
      <c r="V201" s="54"/>
      <c r="W201" s="55"/>
      <c r="X201" s="55"/>
      <c r="Y201" s="55"/>
      <c r="Z201" s="55"/>
      <c r="AA201" s="55"/>
      <c r="AB201" s="55"/>
      <c r="AC201" s="55"/>
      <c r="AD201" s="55"/>
      <c r="AE201" s="55"/>
      <c r="AF201" s="55"/>
      <c r="AG201" s="55"/>
      <c r="AH201" s="55"/>
      <c r="AI201" s="117">
        <f t="shared" si="4"/>
        <v>0</v>
      </c>
      <c r="AJ201" s="117">
        <f>SUM(F201:U201)</f>
        <v>0</v>
      </c>
      <c r="AK201" s="117">
        <f t="shared" si="5"/>
        <v>0</v>
      </c>
      <c r="AL201" s="23"/>
      <c r="AM201" s="127" t="b">
        <f>IF(INDEX($AO201:$BM201,0,$F$14)=1,TRUE,FALSE)</f>
        <v>0</v>
      </c>
      <c r="AN201" s="127" t="str">
        <f>IF(AM201,A201&amp;", "&amp;B201,"")</f>
        <v/>
      </c>
      <c r="AO201" s="129">
        <v>1</v>
      </c>
      <c r="AP201" s="129">
        <v>1</v>
      </c>
      <c r="AQ201" s="129"/>
      <c r="AR201" s="129"/>
      <c r="AS201" s="129"/>
      <c r="AT201" s="129"/>
      <c r="AU201" s="129"/>
      <c r="AV201" s="129"/>
      <c r="AW201" s="129"/>
      <c r="AX201" s="197"/>
      <c r="AY201" s="197"/>
      <c r="AZ201" s="197"/>
      <c r="BA201" s="197"/>
      <c r="BB201" s="129"/>
      <c r="BC201" s="129"/>
      <c r="BD201" s="129"/>
      <c r="BE201" s="129"/>
      <c r="BF201" s="129"/>
      <c r="BG201" s="129"/>
      <c r="BH201" s="129"/>
      <c r="BI201" s="129"/>
      <c r="BJ201" s="129"/>
      <c r="BK201" s="129"/>
      <c r="BL201" s="129"/>
      <c r="BM201" s="197"/>
    </row>
    <row r="202" spans="1:65" x14ac:dyDescent="0.25">
      <c r="A202" s="121" t="s">
        <v>147</v>
      </c>
      <c r="B202" s="121" t="s">
        <v>24</v>
      </c>
      <c r="C202" s="172" t="s">
        <v>222</v>
      </c>
      <c r="D202" s="161">
        <v>1</v>
      </c>
      <c r="E202" s="29" t="str">
        <f>INDEX(ra_ScName,MATCH(D202,ra_ScNumber,0))</f>
        <v>Expected nominal return (incl forecast asset revaluations)</v>
      </c>
      <c r="F202" s="54"/>
      <c r="G202" s="54"/>
      <c r="H202" s="54"/>
      <c r="I202" s="54"/>
      <c r="J202" s="54"/>
      <c r="K202" s="54"/>
      <c r="L202" s="54"/>
      <c r="M202" s="54"/>
      <c r="N202" s="54"/>
      <c r="O202" s="54"/>
      <c r="P202" s="54"/>
      <c r="Q202" s="54"/>
      <c r="R202" s="54"/>
      <c r="S202" s="54"/>
      <c r="T202" s="54"/>
      <c r="U202" s="54"/>
      <c r="V202" s="54"/>
      <c r="W202" s="55"/>
      <c r="X202" s="55"/>
      <c r="Y202" s="55"/>
      <c r="Z202" s="55"/>
      <c r="AA202" s="55"/>
      <c r="AB202" s="55"/>
      <c r="AC202" s="55"/>
      <c r="AD202" s="55"/>
      <c r="AE202" s="55"/>
      <c r="AF202" s="55"/>
      <c r="AG202" s="55"/>
      <c r="AH202" s="55"/>
      <c r="AI202" s="117">
        <f t="shared" si="4"/>
        <v>0</v>
      </c>
      <c r="AJ202" s="117">
        <f>SUM(F202:U202)</f>
        <v>0</v>
      </c>
      <c r="AK202" s="117">
        <f t="shared" si="5"/>
        <v>0</v>
      </c>
      <c r="AL202" s="23"/>
      <c r="AM202" s="127" t="b">
        <f>IF(INDEX($AO202:$BM202,0,$F$14)=1,TRUE,FALSE)</f>
        <v>0</v>
      </c>
      <c r="AN202" s="127" t="str">
        <f>IF(AM202,A202&amp;", "&amp;B202,"")</f>
        <v/>
      </c>
      <c r="AO202" s="129">
        <v>1</v>
      </c>
      <c r="AP202" s="129">
        <v>1</v>
      </c>
      <c r="AQ202" s="129"/>
      <c r="AR202" s="129"/>
      <c r="AS202" s="129"/>
      <c r="AT202" s="129"/>
      <c r="AU202" s="129"/>
      <c r="AV202" s="129"/>
      <c r="AW202" s="129"/>
      <c r="AX202" s="197"/>
      <c r="AY202" s="197"/>
      <c r="AZ202" s="197"/>
      <c r="BA202" s="197"/>
      <c r="BB202" s="129"/>
      <c r="BC202" s="129"/>
      <c r="BD202" s="129"/>
      <c r="BE202" s="129"/>
      <c r="BF202" s="129"/>
      <c r="BG202" s="129"/>
      <c r="BH202" s="129"/>
      <c r="BI202" s="129"/>
      <c r="BJ202" s="129"/>
      <c r="BK202" s="129"/>
      <c r="BL202" s="129"/>
      <c r="BM202" s="197"/>
    </row>
    <row r="203" spans="1:65" x14ac:dyDescent="0.25">
      <c r="A203" s="121" t="s">
        <v>147</v>
      </c>
      <c r="B203" s="121" t="s">
        <v>25</v>
      </c>
      <c r="C203" s="172" t="s">
        <v>222</v>
      </c>
      <c r="D203" s="161">
        <v>1</v>
      </c>
      <c r="E203" s="29" t="str">
        <f>INDEX(ra_ScName,MATCH(D203,ra_ScNumber,0))</f>
        <v>Expected nominal return (incl forecast asset revaluations)</v>
      </c>
      <c r="F203" s="54"/>
      <c r="G203" s="54"/>
      <c r="H203" s="54"/>
      <c r="I203" s="54"/>
      <c r="J203" s="54"/>
      <c r="K203" s="54"/>
      <c r="L203" s="54"/>
      <c r="M203" s="54"/>
      <c r="N203" s="54"/>
      <c r="O203" s="54"/>
      <c r="P203" s="54"/>
      <c r="Q203" s="54"/>
      <c r="R203" s="54"/>
      <c r="S203" s="54"/>
      <c r="T203" s="54"/>
      <c r="U203" s="54"/>
      <c r="V203" s="54"/>
      <c r="W203" s="55"/>
      <c r="X203" s="55"/>
      <c r="Y203" s="55"/>
      <c r="Z203" s="55"/>
      <c r="AA203" s="55"/>
      <c r="AB203" s="55"/>
      <c r="AC203" s="55"/>
      <c r="AD203" s="55"/>
      <c r="AE203" s="55"/>
      <c r="AF203" s="55"/>
      <c r="AG203" s="55"/>
      <c r="AH203" s="55"/>
      <c r="AI203" s="117">
        <f t="shared" si="4"/>
        <v>0</v>
      </c>
      <c r="AJ203" s="117">
        <f>SUM(F203:U203)</f>
        <v>0</v>
      </c>
      <c r="AK203" s="117">
        <f t="shared" si="5"/>
        <v>0</v>
      </c>
      <c r="AL203" s="23"/>
      <c r="AM203" s="127" t="b">
        <f>IF(INDEX($AO203:$BM203,0,$F$14)=1,TRUE,FALSE)</f>
        <v>0</v>
      </c>
      <c r="AN203" s="127" t="str">
        <f>IF(AM203,A203&amp;", "&amp;B203,"")</f>
        <v/>
      </c>
      <c r="AO203" s="129">
        <v>1</v>
      </c>
      <c r="AP203" s="129">
        <v>1</v>
      </c>
      <c r="AQ203" s="129"/>
      <c r="AR203" s="129"/>
      <c r="AS203" s="129"/>
      <c r="AT203" s="129"/>
      <c r="AU203" s="129"/>
      <c r="AV203" s="129"/>
      <c r="AW203" s="129"/>
      <c r="AX203" s="197"/>
      <c r="AY203" s="197"/>
      <c r="AZ203" s="197"/>
      <c r="BA203" s="197"/>
      <c r="BB203" s="129"/>
      <c r="BC203" s="129"/>
      <c r="BD203" s="129"/>
      <c r="BE203" s="129"/>
      <c r="BF203" s="129"/>
      <c r="BG203" s="129"/>
      <c r="BH203" s="129"/>
      <c r="BI203" s="129"/>
      <c r="BJ203" s="129"/>
      <c r="BK203" s="129"/>
      <c r="BL203" s="129"/>
      <c r="BM203" s="197"/>
    </row>
    <row r="204" spans="1:65" x14ac:dyDescent="0.25">
      <c r="A204" s="121" t="s">
        <v>147</v>
      </c>
      <c r="B204" s="121" t="s">
        <v>26</v>
      </c>
      <c r="C204" s="172" t="s">
        <v>222</v>
      </c>
      <c r="D204" s="161">
        <v>1</v>
      </c>
      <c r="E204" s="29" t="str">
        <f>INDEX(ra_ScName,MATCH(D204,ra_ScNumber,0))</f>
        <v>Expected nominal return (incl forecast asset revaluations)</v>
      </c>
      <c r="F204" s="54"/>
      <c r="G204" s="54"/>
      <c r="H204" s="54"/>
      <c r="I204" s="54"/>
      <c r="J204" s="54"/>
      <c r="K204" s="54"/>
      <c r="L204" s="54"/>
      <c r="M204" s="54"/>
      <c r="N204" s="54"/>
      <c r="O204" s="54"/>
      <c r="P204" s="54"/>
      <c r="Q204" s="54"/>
      <c r="R204" s="54"/>
      <c r="S204" s="54"/>
      <c r="T204" s="54"/>
      <c r="U204" s="54"/>
      <c r="V204" s="54"/>
      <c r="W204" s="55"/>
      <c r="X204" s="55"/>
      <c r="Y204" s="55"/>
      <c r="Z204" s="55"/>
      <c r="AA204" s="55"/>
      <c r="AB204" s="55"/>
      <c r="AC204" s="55"/>
      <c r="AD204" s="55"/>
      <c r="AE204" s="55"/>
      <c r="AF204" s="55"/>
      <c r="AG204" s="55"/>
      <c r="AH204" s="55"/>
      <c r="AI204" s="117">
        <f t="shared" si="4"/>
        <v>0</v>
      </c>
      <c r="AJ204" s="117">
        <f>SUM(F204:U204)</f>
        <v>0</v>
      </c>
      <c r="AK204" s="117">
        <f t="shared" si="5"/>
        <v>0</v>
      </c>
      <c r="AL204" s="23"/>
      <c r="AM204" s="127" t="b">
        <f>IF(INDEX($AO204:$BM204,0,$F$14)=1,TRUE,FALSE)</f>
        <v>0</v>
      </c>
      <c r="AN204" s="127" t="str">
        <f>IF(AM204,A204&amp;", "&amp;B204,"")</f>
        <v/>
      </c>
      <c r="AO204" s="129">
        <v>1</v>
      </c>
      <c r="AP204" s="129">
        <v>1</v>
      </c>
      <c r="AQ204" s="129"/>
      <c r="AR204" s="129"/>
      <c r="AS204" s="129"/>
      <c r="AT204" s="129"/>
      <c r="AU204" s="129"/>
      <c r="AV204" s="129"/>
      <c r="AW204" s="129"/>
      <c r="AX204" s="197"/>
      <c r="AY204" s="197"/>
      <c r="AZ204" s="197"/>
      <c r="BA204" s="197"/>
      <c r="BB204" s="129"/>
      <c r="BC204" s="129"/>
      <c r="BD204" s="129"/>
      <c r="BE204" s="129"/>
      <c r="BF204" s="129"/>
      <c r="BG204" s="129"/>
      <c r="BH204" s="129"/>
      <c r="BI204" s="129"/>
      <c r="BJ204" s="129"/>
      <c r="BK204" s="129"/>
      <c r="BL204" s="129"/>
      <c r="BM204" s="197"/>
    </row>
    <row r="205" spans="1:65" x14ac:dyDescent="0.25">
      <c r="A205" s="121" t="s">
        <v>147</v>
      </c>
      <c r="B205" s="121" t="s">
        <v>27</v>
      </c>
      <c r="C205" s="172" t="s">
        <v>222</v>
      </c>
      <c r="D205" s="161">
        <v>1</v>
      </c>
      <c r="E205" s="29" t="str">
        <f>INDEX(ra_ScName,MATCH(D205,ra_ScNumber,0))</f>
        <v>Expected nominal return (incl forecast asset revaluations)</v>
      </c>
      <c r="F205" s="54"/>
      <c r="G205" s="54"/>
      <c r="H205" s="54"/>
      <c r="I205" s="54"/>
      <c r="J205" s="54"/>
      <c r="K205" s="54"/>
      <c r="L205" s="54"/>
      <c r="M205" s="54"/>
      <c r="N205" s="54"/>
      <c r="O205" s="54"/>
      <c r="P205" s="54"/>
      <c r="Q205" s="54"/>
      <c r="R205" s="54"/>
      <c r="S205" s="54"/>
      <c r="T205" s="54"/>
      <c r="U205" s="54"/>
      <c r="V205" s="54"/>
      <c r="W205" s="55"/>
      <c r="X205" s="55"/>
      <c r="Y205" s="55"/>
      <c r="Z205" s="55"/>
      <c r="AA205" s="55"/>
      <c r="AB205" s="55"/>
      <c r="AC205" s="55"/>
      <c r="AD205" s="55"/>
      <c r="AE205" s="55"/>
      <c r="AF205" s="55"/>
      <c r="AG205" s="55"/>
      <c r="AH205" s="55"/>
      <c r="AI205" s="117">
        <f t="shared" si="4"/>
        <v>0</v>
      </c>
      <c r="AJ205" s="117">
        <f>SUM(F205:U205)</f>
        <v>0</v>
      </c>
      <c r="AK205" s="117">
        <f t="shared" si="5"/>
        <v>0</v>
      </c>
      <c r="AL205" s="23"/>
      <c r="AM205" s="127" t="b">
        <f>IF(INDEX($AO205:$BM205,0,$F$14)=1,TRUE,FALSE)</f>
        <v>0</v>
      </c>
      <c r="AN205" s="127" t="str">
        <f>IF(AM205,A205&amp;", "&amp;B205,"")</f>
        <v/>
      </c>
      <c r="AO205" s="129">
        <v>1</v>
      </c>
      <c r="AP205" s="129">
        <v>1</v>
      </c>
      <c r="AQ205" s="129"/>
      <c r="AR205" s="129"/>
      <c r="AS205" s="129"/>
      <c r="AT205" s="129"/>
      <c r="AU205" s="129"/>
      <c r="AV205" s="129"/>
      <c r="AW205" s="129"/>
      <c r="AX205" s="197"/>
      <c r="AY205" s="197"/>
      <c r="AZ205" s="197"/>
      <c r="BA205" s="197"/>
      <c r="BB205" s="129"/>
      <c r="BC205" s="129"/>
      <c r="BD205" s="129"/>
      <c r="BE205" s="129"/>
      <c r="BF205" s="129"/>
      <c r="BG205" s="129"/>
      <c r="BH205" s="129"/>
      <c r="BI205" s="129"/>
      <c r="BJ205" s="129"/>
      <c r="BK205" s="129"/>
      <c r="BL205" s="129"/>
      <c r="BM205" s="197"/>
    </row>
    <row r="206" spans="1:65" x14ac:dyDescent="0.25">
      <c r="A206" s="121"/>
      <c r="B206" s="121"/>
      <c r="C206" s="172"/>
      <c r="D206" s="49"/>
      <c r="E206" s="49"/>
      <c r="F206" s="54"/>
      <c r="G206" s="54"/>
      <c r="H206" s="54"/>
      <c r="I206" s="54"/>
      <c r="J206" s="54"/>
      <c r="K206" s="54"/>
      <c r="L206" s="54"/>
      <c r="M206" s="54"/>
      <c r="N206" s="54"/>
      <c r="O206" s="54"/>
      <c r="P206" s="54"/>
      <c r="Q206" s="54"/>
      <c r="R206" s="54"/>
      <c r="S206" s="54"/>
      <c r="T206" s="54"/>
      <c r="U206" s="54"/>
      <c r="V206" s="54"/>
      <c r="W206" s="55"/>
      <c r="X206" s="55"/>
      <c r="Y206" s="55"/>
      <c r="Z206" s="55"/>
      <c r="AA206" s="55"/>
      <c r="AB206" s="55"/>
      <c r="AC206" s="55"/>
      <c r="AD206" s="55"/>
      <c r="AE206" s="55"/>
      <c r="AF206" s="55"/>
      <c r="AG206" s="55"/>
      <c r="AH206" s="55"/>
      <c r="AI206" s="54"/>
      <c r="AJ206" s="54"/>
      <c r="AK206" s="54"/>
      <c r="AL206" s="23"/>
      <c r="AM206" s="127"/>
      <c r="AN206" s="127"/>
      <c r="AO206" s="129"/>
      <c r="AP206" s="129"/>
      <c r="AQ206" s="129"/>
      <c r="AR206" s="129"/>
      <c r="AS206" s="129"/>
      <c r="AT206" s="129"/>
      <c r="AU206" s="129"/>
      <c r="AV206" s="129"/>
      <c r="AW206" s="129"/>
      <c r="AX206" s="197"/>
      <c r="AY206" s="197"/>
      <c r="AZ206" s="197"/>
      <c r="BA206" s="197"/>
      <c r="BB206" s="129"/>
      <c r="BC206" s="129"/>
      <c r="BD206" s="129"/>
      <c r="BE206" s="129"/>
      <c r="BF206" s="129"/>
      <c r="BG206" s="129"/>
      <c r="BH206" s="129"/>
      <c r="BI206" s="129"/>
      <c r="BJ206" s="129"/>
      <c r="BK206" s="129"/>
      <c r="BL206" s="129"/>
      <c r="BM206" s="197"/>
    </row>
    <row r="207" spans="1:65" x14ac:dyDescent="0.25">
      <c r="A207" s="121"/>
      <c r="B207" s="121"/>
      <c r="C207" s="172"/>
      <c r="D207" s="46"/>
      <c r="E207" s="46"/>
      <c r="F207" s="54"/>
      <c r="G207" s="54"/>
      <c r="H207" s="54"/>
      <c r="I207" s="54"/>
      <c r="J207" s="54"/>
      <c r="K207" s="54"/>
      <c r="L207" s="54"/>
      <c r="M207" s="54"/>
      <c r="N207" s="54"/>
      <c r="O207" s="54"/>
      <c r="P207" s="54"/>
      <c r="Q207" s="54"/>
      <c r="R207" s="54"/>
      <c r="S207" s="54"/>
      <c r="T207" s="54"/>
      <c r="U207" s="54"/>
      <c r="V207" s="54"/>
      <c r="W207" s="55"/>
      <c r="X207" s="55"/>
      <c r="Y207" s="55"/>
      <c r="Z207" s="55"/>
      <c r="AA207" s="55"/>
      <c r="AB207" s="55"/>
      <c r="AC207" s="55"/>
      <c r="AD207" s="55"/>
      <c r="AE207" s="55"/>
      <c r="AF207" s="55"/>
      <c r="AG207" s="55"/>
      <c r="AH207" s="55"/>
      <c r="AI207" s="54"/>
      <c r="AJ207" s="54"/>
      <c r="AK207" s="54"/>
      <c r="AL207" s="23"/>
      <c r="AM207" s="127"/>
      <c r="AN207" s="127"/>
      <c r="AO207" s="129"/>
      <c r="AP207" s="129"/>
      <c r="AQ207" s="129"/>
      <c r="AR207" s="129"/>
      <c r="AS207" s="129"/>
      <c r="AT207" s="129"/>
      <c r="AU207" s="129"/>
      <c r="AV207" s="129"/>
      <c r="AW207" s="129"/>
      <c r="AX207" s="197"/>
      <c r="AY207" s="197"/>
      <c r="AZ207" s="197"/>
      <c r="BA207" s="197"/>
      <c r="BB207" s="129"/>
      <c r="BC207" s="129"/>
      <c r="BD207" s="129"/>
      <c r="BE207" s="129"/>
      <c r="BF207" s="129"/>
      <c r="BG207" s="129"/>
      <c r="BH207" s="129"/>
      <c r="BI207" s="129"/>
      <c r="BJ207" s="129"/>
      <c r="BK207" s="129"/>
      <c r="BL207" s="129"/>
      <c r="BM207" s="197"/>
    </row>
    <row r="208" spans="1:65" x14ac:dyDescent="0.25">
      <c r="A208" s="121" t="s">
        <v>147</v>
      </c>
      <c r="B208" s="121" t="s">
        <v>23</v>
      </c>
      <c r="C208" s="172" t="s">
        <v>222</v>
      </c>
      <c r="D208" s="161">
        <v>10</v>
      </c>
      <c r="E208" s="29" t="str">
        <f>INDEX(ra_ScName,MATCH(D208,ra_ScNumber,0))</f>
        <v>Disclosed nominal return (incl actual asset revaluations)</v>
      </c>
      <c r="F208" s="122">
        <v>0</v>
      </c>
      <c r="G208" s="122">
        <v>0</v>
      </c>
      <c r="H208" s="122">
        <v>0</v>
      </c>
      <c r="I208" s="122">
        <v>0</v>
      </c>
      <c r="J208" s="122">
        <v>0</v>
      </c>
      <c r="K208" s="122">
        <v>0</v>
      </c>
      <c r="L208" s="122">
        <v>0</v>
      </c>
      <c r="M208" s="122">
        <v>0</v>
      </c>
      <c r="N208" s="122">
        <v>0</v>
      </c>
      <c r="O208" s="122">
        <v>0</v>
      </c>
      <c r="P208" s="122">
        <v>0</v>
      </c>
      <c r="Q208" s="122">
        <v>0</v>
      </c>
      <c r="R208" s="122">
        <v>0</v>
      </c>
      <c r="S208" s="122">
        <v>0</v>
      </c>
      <c r="T208" s="122">
        <v>0</v>
      </c>
      <c r="U208" s="122">
        <v>0</v>
      </c>
      <c r="V208" s="122">
        <v>0</v>
      </c>
      <c r="W208" s="122">
        <v>0</v>
      </c>
      <c r="X208" s="122">
        <v>0</v>
      </c>
      <c r="Y208" s="122">
        <v>0</v>
      </c>
      <c r="Z208" s="122">
        <v>0</v>
      </c>
      <c r="AA208" s="122">
        <v>0</v>
      </c>
      <c r="AB208" s="122">
        <v>0</v>
      </c>
      <c r="AC208" s="122">
        <v>0</v>
      </c>
      <c r="AD208" s="122">
        <v>0</v>
      </c>
      <c r="AE208" s="122">
        <v>0</v>
      </c>
      <c r="AF208" s="122">
        <v>0</v>
      </c>
      <c r="AG208" s="122">
        <v>0</v>
      </c>
      <c r="AH208" s="122">
        <v>0</v>
      </c>
      <c r="AI208" s="117">
        <f t="shared" si="4"/>
        <v>0</v>
      </c>
      <c r="AJ208" s="117">
        <f>SUM(F208:U208)</f>
        <v>0</v>
      </c>
      <c r="AK208" s="117">
        <f t="shared" si="5"/>
        <v>0</v>
      </c>
      <c r="AL208" s="23"/>
      <c r="AM208" s="127" t="b">
        <f>IF(INDEX($AO208:$BM208,0,$F$14)=1,TRUE,FALSE)</f>
        <v>1</v>
      </c>
      <c r="AN208" s="127" t="str">
        <f>IF(AM208,A208&amp;", "&amp;B208,"")</f>
        <v>System operator services, 2010/11</v>
      </c>
      <c r="AO208" s="129"/>
      <c r="AP208" s="129"/>
      <c r="AQ208" s="129">
        <v>1</v>
      </c>
      <c r="AR208" s="129">
        <v>1</v>
      </c>
      <c r="AS208" s="129">
        <v>1</v>
      </c>
      <c r="AT208" s="129">
        <v>1</v>
      </c>
      <c r="AU208" s="129">
        <v>1</v>
      </c>
      <c r="AV208" s="129">
        <v>1</v>
      </c>
      <c r="AW208" s="129">
        <v>1</v>
      </c>
      <c r="AX208" s="197">
        <v>1</v>
      </c>
      <c r="AY208" s="197">
        <v>1</v>
      </c>
      <c r="AZ208" s="197">
        <v>1</v>
      </c>
      <c r="BA208" s="197">
        <v>1</v>
      </c>
      <c r="BB208" s="129">
        <v>1</v>
      </c>
      <c r="BC208" s="129">
        <v>1</v>
      </c>
      <c r="BD208" s="129">
        <v>1</v>
      </c>
      <c r="BE208" s="129">
        <v>1</v>
      </c>
      <c r="BF208" s="129">
        <v>1</v>
      </c>
      <c r="BG208" s="129">
        <v>1</v>
      </c>
      <c r="BH208" s="129">
        <v>1</v>
      </c>
      <c r="BI208" s="129">
        <v>1</v>
      </c>
      <c r="BJ208" s="129">
        <v>1</v>
      </c>
      <c r="BK208" s="129">
        <v>1</v>
      </c>
      <c r="BL208" s="129">
        <v>1</v>
      </c>
      <c r="BM208" s="197">
        <v>1</v>
      </c>
    </row>
    <row r="209" spans="1:65" x14ac:dyDescent="0.25">
      <c r="A209" s="121" t="s">
        <v>147</v>
      </c>
      <c r="B209" s="121" t="s">
        <v>24</v>
      </c>
      <c r="C209" s="172" t="s">
        <v>222</v>
      </c>
      <c r="D209" s="161">
        <v>10</v>
      </c>
      <c r="E209" s="29" t="str">
        <f>INDEX(ra_ScName,MATCH(D209,ra_ScNumber,0))</f>
        <v>Disclosed nominal return (incl actual asset revaluations)</v>
      </c>
      <c r="F209" s="122">
        <v>0</v>
      </c>
      <c r="G209" s="122">
        <v>0</v>
      </c>
      <c r="H209" s="122">
        <v>0</v>
      </c>
      <c r="I209" s="122">
        <v>0</v>
      </c>
      <c r="J209" s="122">
        <v>0</v>
      </c>
      <c r="K209" s="122">
        <v>0</v>
      </c>
      <c r="L209" s="122">
        <v>0</v>
      </c>
      <c r="M209" s="122">
        <v>0</v>
      </c>
      <c r="N209" s="122">
        <v>0</v>
      </c>
      <c r="O209" s="122">
        <v>0</v>
      </c>
      <c r="P209" s="122">
        <v>0</v>
      </c>
      <c r="Q209" s="122">
        <v>0</v>
      </c>
      <c r="R209" s="122">
        <v>0</v>
      </c>
      <c r="S209" s="122">
        <v>0</v>
      </c>
      <c r="T209" s="122">
        <v>0</v>
      </c>
      <c r="U209" s="122">
        <v>0</v>
      </c>
      <c r="V209" s="122">
        <v>0</v>
      </c>
      <c r="W209" s="122">
        <v>0</v>
      </c>
      <c r="X209" s="122">
        <v>0</v>
      </c>
      <c r="Y209" s="122">
        <v>0</v>
      </c>
      <c r="Z209" s="122">
        <v>0</v>
      </c>
      <c r="AA209" s="122">
        <v>0</v>
      </c>
      <c r="AB209" s="122">
        <v>0</v>
      </c>
      <c r="AC209" s="122">
        <v>0</v>
      </c>
      <c r="AD209" s="122">
        <v>0</v>
      </c>
      <c r="AE209" s="122">
        <v>0</v>
      </c>
      <c r="AF209" s="122">
        <v>0</v>
      </c>
      <c r="AG209" s="122">
        <v>0</v>
      </c>
      <c r="AH209" s="122">
        <v>0</v>
      </c>
      <c r="AI209" s="117">
        <f t="shared" si="4"/>
        <v>0</v>
      </c>
      <c r="AJ209" s="117">
        <f>SUM(F209:U209)</f>
        <v>0</v>
      </c>
      <c r="AK209" s="117">
        <f t="shared" si="5"/>
        <v>0</v>
      </c>
      <c r="AL209" s="23"/>
      <c r="AM209" s="127" t="b">
        <f>IF(INDEX($AO209:$BM209,0,$F$14)=1,TRUE,FALSE)</f>
        <v>1</v>
      </c>
      <c r="AN209" s="127" t="str">
        <f>IF(AM209,A209&amp;", "&amp;B209,"")</f>
        <v>System operator services, 2011/12</v>
      </c>
      <c r="AO209" s="129"/>
      <c r="AP209" s="129"/>
      <c r="AQ209" s="129">
        <v>1</v>
      </c>
      <c r="AR209" s="129">
        <v>1</v>
      </c>
      <c r="AS209" s="129">
        <v>1</v>
      </c>
      <c r="AT209" s="129">
        <v>1</v>
      </c>
      <c r="AU209" s="129">
        <v>1</v>
      </c>
      <c r="AV209" s="129">
        <v>1</v>
      </c>
      <c r="AW209" s="129">
        <v>1</v>
      </c>
      <c r="AX209" s="197">
        <v>1</v>
      </c>
      <c r="AY209" s="197">
        <v>1</v>
      </c>
      <c r="AZ209" s="197">
        <v>1</v>
      </c>
      <c r="BA209" s="197">
        <v>1</v>
      </c>
      <c r="BB209" s="129">
        <v>1</v>
      </c>
      <c r="BC209" s="129">
        <v>1</v>
      </c>
      <c r="BD209" s="129">
        <v>1</v>
      </c>
      <c r="BE209" s="129">
        <v>1</v>
      </c>
      <c r="BF209" s="129">
        <v>1</v>
      </c>
      <c r="BG209" s="129">
        <v>1</v>
      </c>
      <c r="BH209" s="129">
        <v>1</v>
      </c>
      <c r="BI209" s="129">
        <v>1</v>
      </c>
      <c r="BJ209" s="129">
        <v>1</v>
      </c>
      <c r="BK209" s="129">
        <v>1</v>
      </c>
      <c r="BL209" s="129">
        <v>1</v>
      </c>
      <c r="BM209" s="197">
        <v>1</v>
      </c>
    </row>
    <row r="210" spans="1:65" x14ac:dyDescent="0.25">
      <c r="A210" s="121" t="s">
        <v>147</v>
      </c>
      <c r="B210" s="121" t="s">
        <v>25</v>
      </c>
      <c r="C210" s="172" t="s">
        <v>222</v>
      </c>
      <c r="D210" s="161">
        <v>10</v>
      </c>
      <c r="E210" s="29" t="str">
        <f>INDEX(ra_ScName,MATCH(D210,ra_ScNumber,0))</f>
        <v>Disclosed nominal return (incl actual asset revaluations)</v>
      </c>
      <c r="F210" s="122">
        <v>0</v>
      </c>
      <c r="G210" s="122">
        <v>0</v>
      </c>
      <c r="H210" s="122">
        <v>0</v>
      </c>
      <c r="I210" s="122">
        <v>0</v>
      </c>
      <c r="J210" s="122">
        <v>0</v>
      </c>
      <c r="K210" s="122">
        <v>0</v>
      </c>
      <c r="L210" s="122">
        <v>0</v>
      </c>
      <c r="M210" s="122">
        <v>0</v>
      </c>
      <c r="N210" s="122">
        <v>0</v>
      </c>
      <c r="O210" s="122">
        <v>0</v>
      </c>
      <c r="P210" s="122">
        <v>0</v>
      </c>
      <c r="Q210" s="122">
        <v>0</v>
      </c>
      <c r="R210" s="122">
        <v>0</v>
      </c>
      <c r="S210" s="122">
        <v>0</v>
      </c>
      <c r="T210" s="122">
        <v>0</v>
      </c>
      <c r="U210" s="122">
        <v>0</v>
      </c>
      <c r="V210" s="122">
        <v>0</v>
      </c>
      <c r="W210" s="122">
        <v>0</v>
      </c>
      <c r="X210" s="122">
        <v>0</v>
      </c>
      <c r="Y210" s="122">
        <v>0</v>
      </c>
      <c r="Z210" s="122">
        <v>0</v>
      </c>
      <c r="AA210" s="122">
        <v>0</v>
      </c>
      <c r="AB210" s="122">
        <v>0</v>
      </c>
      <c r="AC210" s="122">
        <v>0</v>
      </c>
      <c r="AD210" s="122">
        <v>0</v>
      </c>
      <c r="AE210" s="122">
        <v>0</v>
      </c>
      <c r="AF210" s="122">
        <v>0</v>
      </c>
      <c r="AG210" s="122">
        <v>0</v>
      </c>
      <c r="AH210" s="122">
        <v>0</v>
      </c>
      <c r="AI210" s="117">
        <f t="shared" si="4"/>
        <v>0</v>
      </c>
      <c r="AJ210" s="117">
        <f>SUM(F210:U210)</f>
        <v>0</v>
      </c>
      <c r="AK210" s="117">
        <f t="shared" si="5"/>
        <v>0</v>
      </c>
      <c r="AL210" s="23"/>
      <c r="AM210" s="127" t="b">
        <f>IF(INDEX($AO210:$BM210,0,$F$14)=1,TRUE,FALSE)</f>
        <v>1</v>
      </c>
      <c r="AN210" s="127" t="str">
        <f>IF(AM210,A210&amp;", "&amp;B210,"")</f>
        <v>System operator services, 2012/13</v>
      </c>
      <c r="AO210" s="129"/>
      <c r="AP210" s="129"/>
      <c r="AQ210" s="129">
        <v>1</v>
      </c>
      <c r="AR210" s="129">
        <v>1</v>
      </c>
      <c r="AS210" s="129">
        <v>1</v>
      </c>
      <c r="AT210" s="129">
        <v>1</v>
      </c>
      <c r="AU210" s="129">
        <v>1</v>
      </c>
      <c r="AV210" s="129">
        <v>1</v>
      </c>
      <c r="AW210" s="129">
        <v>1</v>
      </c>
      <c r="AX210" s="197">
        <v>1</v>
      </c>
      <c r="AY210" s="197">
        <v>1</v>
      </c>
      <c r="AZ210" s="197">
        <v>1</v>
      </c>
      <c r="BA210" s="197">
        <v>1</v>
      </c>
      <c r="BB210" s="129">
        <v>1</v>
      </c>
      <c r="BC210" s="129">
        <v>1</v>
      </c>
      <c r="BD210" s="129">
        <v>1</v>
      </c>
      <c r="BE210" s="129">
        <v>1</v>
      </c>
      <c r="BF210" s="129">
        <v>1</v>
      </c>
      <c r="BG210" s="129">
        <v>1</v>
      </c>
      <c r="BH210" s="129">
        <v>1</v>
      </c>
      <c r="BI210" s="129">
        <v>1</v>
      </c>
      <c r="BJ210" s="129">
        <v>1</v>
      </c>
      <c r="BK210" s="129">
        <v>1</v>
      </c>
      <c r="BL210" s="129">
        <v>1</v>
      </c>
      <c r="BM210" s="197">
        <v>1</v>
      </c>
    </row>
    <row r="211" spans="1:65" x14ac:dyDescent="0.25">
      <c r="A211" s="121" t="s">
        <v>147</v>
      </c>
      <c r="B211" s="121" t="s">
        <v>26</v>
      </c>
      <c r="C211" s="172" t="s">
        <v>222</v>
      </c>
      <c r="D211" s="161">
        <v>10</v>
      </c>
      <c r="E211" s="29" t="str">
        <f>INDEX(ra_ScName,MATCH(D211,ra_ScNumber,0))</f>
        <v>Disclosed nominal return (incl actual asset revaluations)</v>
      </c>
      <c r="F211" s="122">
        <v>0</v>
      </c>
      <c r="G211" s="122">
        <v>0</v>
      </c>
      <c r="H211" s="122">
        <v>0</v>
      </c>
      <c r="I211" s="122">
        <v>0</v>
      </c>
      <c r="J211" s="122">
        <v>0</v>
      </c>
      <c r="K211" s="122">
        <v>0</v>
      </c>
      <c r="L211" s="122">
        <v>0</v>
      </c>
      <c r="M211" s="122">
        <v>0</v>
      </c>
      <c r="N211" s="122">
        <v>0</v>
      </c>
      <c r="O211" s="122">
        <v>0</v>
      </c>
      <c r="P211" s="122">
        <v>0</v>
      </c>
      <c r="Q211" s="122">
        <v>0</v>
      </c>
      <c r="R211" s="122">
        <v>0</v>
      </c>
      <c r="S211" s="122">
        <v>0</v>
      </c>
      <c r="T211" s="122">
        <v>0</v>
      </c>
      <c r="U211" s="122">
        <v>0</v>
      </c>
      <c r="V211" s="122">
        <v>0</v>
      </c>
      <c r="W211" s="122">
        <v>0</v>
      </c>
      <c r="X211" s="122">
        <v>0</v>
      </c>
      <c r="Y211" s="122">
        <v>0</v>
      </c>
      <c r="Z211" s="122">
        <v>0</v>
      </c>
      <c r="AA211" s="122">
        <v>0</v>
      </c>
      <c r="AB211" s="122">
        <v>0</v>
      </c>
      <c r="AC211" s="122">
        <v>0</v>
      </c>
      <c r="AD211" s="122">
        <v>0</v>
      </c>
      <c r="AE211" s="122">
        <v>0</v>
      </c>
      <c r="AF211" s="122">
        <v>0</v>
      </c>
      <c r="AG211" s="122">
        <v>0</v>
      </c>
      <c r="AH211" s="122">
        <v>0</v>
      </c>
      <c r="AI211" s="117">
        <f t="shared" si="4"/>
        <v>0</v>
      </c>
      <c r="AJ211" s="117">
        <f>SUM(F211:U211)</f>
        <v>0</v>
      </c>
      <c r="AK211" s="117">
        <f t="shared" si="5"/>
        <v>0</v>
      </c>
      <c r="AL211" s="23"/>
      <c r="AM211" s="127" t="b">
        <f>IF(INDEX($AO211:$BM211,0,$F$14)=1,TRUE,FALSE)</f>
        <v>1</v>
      </c>
      <c r="AN211" s="127" t="str">
        <f>IF(AM211,A211&amp;", "&amp;B211,"")</f>
        <v>System operator services, 2013/14</v>
      </c>
      <c r="AO211" s="129"/>
      <c r="AP211" s="129"/>
      <c r="AQ211" s="129">
        <v>1</v>
      </c>
      <c r="AR211" s="129">
        <v>1</v>
      </c>
      <c r="AS211" s="129">
        <v>1</v>
      </c>
      <c r="AT211" s="129">
        <v>1</v>
      </c>
      <c r="AU211" s="129">
        <v>1</v>
      </c>
      <c r="AV211" s="129">
        <v>1</v>
      </c>
      <c r="AW211" s="129">
        <v>1</v>
      </c>
      <c r="AX211" s="197">
        <v>1</v>
      </c>
      <c r="AY211" s="197">
        <v>1</v>
      </c>
      <c r="AZ211" s="197">
        <v>1</v>
      </c>
      <c r="BA211" s="197">
        <v>1</v>
      </c>
      <c r="BB211" s="129">
        <v>1</v>
      </c>
      <c r="BC211" s="129">
        <v>1</v>
      </c>
      <c r="BD211" s="129">
        <v>1</v>
      </c>
      <c r="BE211" s="129">
        <v>1</v>
      </c>
      <c r="BF211" s="129">
        <v>1</v>
      </c>
      <c r="BG211" s="129">
        <v>1</v>
      </c>
      <c r="BH211" s="129">
        <v>1</v>
      </c>
      <c r="BI211" s="129">
        <v>1</v>
      </c>
      <c r="BJ211" s="129">
        <v>1</v>
      </c>
      <c r="BK211" s="129">
        <v>1</v>
      </c>
      <c r="BL211" s="129">
        <v>1</v>
      </c>
      <c r="BM211" s="197">
        <v>1</v>
      </c>
    </row>
    <row r="212" spans="1:65" x14ac:dyDescent="0.25">
      <c r="A212" s="121" t="s">
        <v>147</v>
      </c>
      <c r="B212" s="121" t="s">
        <v>27</v>
      </c>
      <c r="C212" s="172" t="s">
        <v>209</v>
      </c>
      <c r="D212" s="161">
        <v>10</v>
      </c>
      <c r="E212" s="29" t="str">
        <f>INDEX(ra_ScName,MATCH(D212,ra_ScNumber,0))</f>
        <v>Disclosed nominal return (incl actual asset revaluations)</v>
      </c>
      <c r="F212" s="122">
        <v>0</v>
      </c>
      <c r="G212" s="122">
        <v>0</v>
      </c>
      <c r="H212" s="122">
        <v>0</v>
      </c>
      <c r="I212" s="122">
        <v>0</v>
      </c>
      <c r="J212" s="122">
        <v>0</v>
      </c>
      <c r="K212" s="122">
        <v>0</v>
      </c>
      <c r="L212" s="122">
        <v>0</v>
      </c>
      <c r="M212" s="122">
        <v>0</v>
      </c>
      <c r="N212" s="122">
        <v>0</v>
      </c>
      <c r="O212" s="122">
        <v>0</v>
      </c>
      <c r="P212" s="122">
        <v>0</v>
      </c>
      <c r="Q212" s="122">
        <v>0</v>
      </c>
      <c r="R212" s="122">
        <v>0</v>
      </c>
      <c r="S212" s="122">
        <v>0</v>
      </c>
      <c r="T212" s="122">
        <v>0</v>
      </c>
      <c r="U212" s="122">
        <v>136.88123999999999</v>
      </c>
      <c r="V212" s="122">
        <v>0</v>
      </c>
      <c r="W212" s="122">
        <v>0</v>
      </c>
      <c r="X212" s="122">
        <v>0</v>
      </c>
      <c r="Y212" s="122">
        <v>0</v>
      </c>
      <c r="Z212" s="122">
        <v>0</v>
      </c>
      <c r="AA212" s="122">
        <v>0</v>
      </c>
      <c r="AB212" s="122">
        <v>0</v>
      </c>
      <c r="AC212" s="122">
        <v>0</v>
      </c>
      <c r="AD212" s="122">
        <v>0</v>
      </c>
      <c r="AE212" s="122">
        <v>0</v>
      </c>
      <c r="AF212" s="122">
        <v>0</v>
      </c>
      <c r="AG212" s="122">
        <v>0</v>
      </c>
      <c r="AH212" s="122">
        <v>0</v>
      </c>
      <c r="AI212" s="117">
        <f t="shared" si="4"/>
        <v>136.88123999999999</v>
      </c>
      <c r="AJ212" s="117">
        <f>SUM(F212:U212)</f>
        <v>136.88123999999999</v>
      </c>
      <c r="AK212" s="117">
        <f t="shared" si="5"/>
        <v>0</v>
      </c>
      <c r="AL212" s="23"/>
      <c r="AM212" s="127" t="b">
        <f>IF(INDEX($AO212:$BM212,0,$F$14)=1,TRUE,FALSE)</f>
        <v>1</v>
      </c>
      <c r="AN212" s="127" t="str">
        <f>IF(AM212,A212&amp;", "&amp;B212,"")</f>
        <v>System operator services, 2014/15</v>
      </c>
      <c r="AO212" s="129"/>
      <c r="AP212" s="129"/>
      <c r="AQ212" s="129">
        <v>1</v>
      </c>
      <c r="AR212" s="129">
        <v>1</v>
      </c>
      <c r="AS212" s="129">
        <v>1</v>
      </c>
      <c r="AT212" s="129">
        <v>1</v>
      </c>
      <c r="AU212" s="129">
        <v>1</v>
      </c>
      <c r="AV212" s="129">
        <v>1</v>
      </c>
      <c r="AW212" s="129">
        <v>1</v>
      </c>
      <c r="AX212" s="197">
        <v>1</v>
      </c>
      <c r="AY212" s="197">
        <v>1</v>
      </c>
      <c r="AZ212" s="197">
        <v>1</v>
      </c>
      <c r="BA212" s="197">
        <v>1</v>
      </c>
      <c r="BB212" s="129">
        <v>1</v>
      </c>
      <c r="BC212" s="129">
        <v>1</v>
      </c>
      <c r="BD212" s="129">
        <v>1</v>
      </c>
      <c r="BE212" s="129">
        <v>1</v>
      </c>
      <c r="BF212" s="129">
        <v>1</v>
      </c>
      <c r="BG212" s="129">
        <v>1</v>
      </c>
      <c r="BH212" s="129">
        <v>1</v>
      </c>
      <c r="BI212" s="129">
        <v>1</v>
      </c>
      <c r="BJ212" s="129">
        <v>1</v>
      </c>
      <c r="BK212" s="129">
        <v>1</v>
      </c>
      <c r="BL212" s="129">
        <v>1</v>
      </c>
      <c r="BM212" s="197">
        <v>1</v>
      </c>
    </row>
    <row r="213" spans="1:65" x14ac:dyDescent="0.25">
      <c r="A213" s="121"/>
      <c r="B213" s="121"/>
      <c r="C213" s="172"/>
      <c r="D213" s="49"/>
      <c r="E213" s="49"/>
      <c r="F213" s="54"/>
      <c r="G213" s="54"/>
      <c r="H213" s="54"/>
      <c r="I213" s="54"/>
      <c r="J213" s="54"/>
      <c r="K213" s="54"/>
      <c r="L213" s="54"/>
      <c r="M213" s="54"/>
      <c r="N213" s="54"/>
      <c r="O213" s="54"/>
      <c r="P213" s="54"/>
      <c r="Q213" s="54"/>
      <c r="R213" s="54"/>
      <c r="S213" s="54"/>
      <c r="T213" s="54"/>
      <c r="U213" s="54"/>
      <c r="V213" s="54"/>
      <c r="W213" s="55"/>
      <c r="X213" s="55"/>
      <c r="Y213" s="55"/>
      <c r="Z213" s="55"/>
      <c r="AA213" s="55"/>
      <c r="AB213" s="55"/>
      <c r="AC213" s="55"/>
      <c r="AD213" s="55"/>
      <c r="AE213" s="55"/>
      <c r="AF213" s="55"/>
      <c r="AG213" s="55"/>
      <c r="AH213" s="55"/>
      <c r="AI213" s="54"/>
      <c r="AJ213" s="54"/>
      <c r="AK213" s="54"/>
      <c r="AL213" s="23"/>
      <c r="AM213" s="127"/>
      <c r="AN213" s="127"/>
      <c r="AO213" s="129"/>
      <c r="AP213" s="129"/>
      <c r="AQ213" s="129"/>
      <c r="AR213" s="129"/>
      <c r="AS213" s="129"/>
      <c r="AT213" s="129"/>
      <c r="AU213" s="129"/>
      <c r="AV213" s="129"/>
      <c r="AW213" s="129"/>
      <c r="AX213" s="197"/>
      <c r="AY213" s="197"/>
      <c r="AZ213" s="197"/>
      <c r="BA213" s="197"/>
      <c r="BB213" s="129"/>
      <c r="BC213" s="129"/>
      <c r="BD213" s="129"/>
      <c r="BE213" s="129"/>
      <c r="BF213" s="129"/>
      <c r="BG213" s="129"/>
      <c r="BH213" s="129"/>
      <c r="BI213" s="129"/>
      <c r="BJ213" s="129"/>
      <c r="BK213" s="129"/>
      <c r="BL213" s="129"/>
      <c r="BM213" s="197"/>
    </row>
    <row r="214" spans="1:65" x14ac:dyDescent="0.25">
      <c r="A214" s="121"/>
      <c r="B214" s="121"/>
      <c r="C214" s="172"/>
      <c r="D214" s="46"/>
      <c r="E214" s="46"/>
      <c r="F214" s="54"/>
      <c r="G214" s="54"/>
      <c r="H214" s="54"/>
      <c r="I214" s="54"/>
      <c r="J214" s="54"/>
      <c r="K214" s="54"/>
      <c r="L214" s="54"/>
      <c r="M214" s="54"/>
      <c r="N214" s="54"/>
      <c r="O214" s="54"/>
      <c r="P214" s="54"/>
      <c r="Q214" s="54"/>
      <c r="R214" s="54"/>
      <c r="S214" s="54"/>
      <c r="T214" s="54"/>
      <c r="U214" s="54"/>
      <c r="V214" s="54"/>
      <c r="W214" s="55"/>
      <c r="X214" s="55"/>
      <c r="Y214" s="55"/>
      <c r="Z214" s="55"/>
      <c r="AA214" s="55"/>
      <c r="AB214" s="55"/>
      <c r="AC214" s="55"/>
      <c r="AD214" s="55"/>
      <c r="AE214" s="55"/>
      <c r="AF214" s="55"/>
      <c r="AG214" s="55"/>
      <c r="AH214" s="55"/>
      <c r="AI214" s="54"/>
      <c r="AJ214" s="54"/>
      <c r="AK214" s="54"/>
      <c r="AL214" s="23"/>
      <c r="AM214" s="127"/>
      <c r="AN214" s="127"/>
      <c r="AO214" s="129"/>
      <c r="AP214" s="129"/>
      <c r="AQ214" s="129"/>
      <c r="AR214" s="129"/>
      <c r="AS214" s="129"/>
      <c r="AT214" s="129"/>
      <c r="AU214" s="129"/>
      <c r="AV214" s="129"/>
      <c r="AW214" s="129"/>
      <c r="AX214" s="197"/>
      <c r="AY214" s="197"/>
      <c r="AZ214" s="197"/>
      <c r="BA214" s="197"/>
      <c r="BB214" s="129"/>
      <c r="BC214" s="129"/>
      <c r="BD214" s="129"/>
      <c r="BE214" s="129"/>
      <c r="BF214" s="129"/>
      <c r="BG214" s="129"/>
      <c r="BH214" s="129"/>
      <c r="BI214" s="129"/>
      <c r="BJ214" s="129"/>
      <c r="BK214" s="129"/>
      <c r="BL214" s="129"/>
      <c r="BM214" s="197"/>
    </row>
    <row r="215" spans="1:65" x14ac:dyDescent="0.25">
      <c r="A215" s="121" t="s">
        <v>148</v>
      </c>
      <c r="B215" s="121" t="s">
        <v>23</v>
      </c>
      <c r="C215" s="172" t="s">
        <v>222</v>
      </c>
      <c r="D215" s="161">
        <v>1</v>
      </c>
      <c r="E215" s="29" t="str">
        <f>INDEX(ra_ScName,MATCH(D215,ra_ScNumber,0))</f>
        <v>Expected nominal return (incl forecast asset revaluations)</v>
      </c>
      <c r="F215" s="54"/>
      <c r="G215" s="54"/>
      <c r="H215" s="54"/>
      <c r="I215" s="54"/>
      <c r="J215" s="54"/>
      <c r="K215" s="54"/>
      <c r="L215" s="54"/>
      <c r="M215" s="54"/>
      <c r="N215" s="54"/>
      <c r="O215" s="54"/>
      <c r="P215" s="54"/>
      <c r="Q215" s="54"/>
      <c r="R215" s="54"/>
      <c r="S215" s="54"/>
      <c r="T215" s="54"/>
      <c r="U215" s="54"/>
      <c r="V215" s="54"/>
      <c r="W215" s="55"/>
      <c r="X215" s="55"/>
      <c r="Y215" s="55"/>
      <c r="Z215" s="55"/>
      <c r="AA215" s="55"/>
      <c r="AB215" s="55"/>
      <c r="AC215" s="55"/>
      <c r="AD215" s="55"/>
      <c r="AE215" s="55"/>
      <c r="AF215" s="55"/>
      <c r="AG215" s="55"/>
      <c r="AH215" s="55"/>
      <c r="AI215" s="117">
        <f t="shared" si="4"/>
        <v>0</v>
      </c>
      <c r="AJ215" s="117">
        <f>SUM(F215:U215)</f>
        <v>0</v>
      </c>
      <c r="AK215" s="117">
        <f t="shared" si="5"/>
        <v>0</v>
      </c>
      <c r="AL215" s="23"/>
      <c r="AM215" s="127" t="b">
        <f>IF(INDEX($AO215:$BM215,0,$F$14)=1,TRUE,FALSE)</f>
        <v>0</v>
      </c>
      <c r="AN215" s="127" t="str">
        <f>IF(AM215,A215&amp;", "&amp;B215,"")</f>
        <v/>
      </c>
      <c r="AO215" s="129">
        <v>1</v>
      </c>
      <c r="AP215" s="129">
        <v>1</v>
      </c>
      <c r="AQ215" s="129"/>
      <c r="AR215" s="129"/>
      <c r="AS215" s="129"/>
      <c r="AT215" s="129"/>
      <c r="AU215" s="129"/>
      <c r="AV215" s="129"/>
      <c r="AW215" s="129"/>
      <c r="AX215" s="197"/>
      <c r="AY215" s="197"/>
      <c r="AZ215" s="197"/>
      <c r="BA215" s="197"/>
      <c r="BB215" s="129"/>
      <c r="BC215" s="129"/>
      <c r="BD215" s="129"/>
      <c r="BE215" s="129"/>
      <c r="BF215" s="129"/>
      <c r="BG215" s="129"/>
      <c r="BH215" s="129"/>
      <c r="BI215" s="129"/>
      <c r="BJ215" s="129"/>
      <c r="BK215" s="129"/>
      <c r="BL215" s="129"/>
      <c r="BM215" s="197"/>
    </row>
    <row r="216" spans="1:65" x14ac:dyDescent="0.25">
      <c r="A216" s="121" t="s">
        <v>148</v>
      </c>
      <c r="B216" s="121" t="s">
        <v>24</v>
      </c>
      <c r="C216" s="172" t="s">
        <v>222</v>
      </c>
      <c r="D216" s="161">
        <v>1</v>
      </c>
      <c r="E216" s="29" t="str">
        <f>INDEX(ra_ScName,MATCH(D216,ra_ScNumber,0))</f>
        <v>Expected nominal return (incl forecast asset revaluations)</v>
      </c>
      <c r="F216" s="54"/>
      <c r="G216" s="54"/>
      <c r="H216" s="54"/>
      <c r="I216" s="54"/>
      <c r="J216" s="54"/>
      <c r="K216" s="54"/>
      <c r="L216" s="54"/>
      <c r="M216" s="54"/>
      <c r="N216" s="54"/>
      <c r="O216" s="54"/>
      <c r="P216" s="54"/>
      <c r="Q216" s="54"/>
      <c r="R216" s="54"/>
      <c r="S216" s="54"/>
      <c r="T216" s="54"/>
      <c r="U216" s="54"/>
      <c r="V216" s="54"/>
      <c r="W216" s="55"/>
      <c r="X216" s="55"/>
      <c r="Y216" s="55"/>
      <c r="Z216" s="55"/>
      <c r="AA216" s="55"/>
      <c r="AB216" s="55"/>
      <c r="AC216" s="55"/>
      <c r="AD216" s="55"/>
      <c r="AE216" s="55"/>
      <c r="AF216" s="55"/>
      <c r="AG216" s="55"/>
      <c r="AH216" s="55"/>
      <c r="AI216" s="117">
        <f t="shared" si="4"/>
        <v>0</v>
      </c>
      <c r="AJ216" s="117">
        <f>SUM(F216:U216)</f>
        <v>0</v>
      </c>
      <c r="AK216" s="117">
        <f t="shared" si="5"/>
        <v>0</v>
      </c>
      <c r="AL216" s="23"/>
      <c r="AM216" s="127" t="b">
        <f>IF(INDEX($AO216:$BM216,0,$F$14)=1,TRUE,FALSE)</f>
        <v>0</v>
      </c>
      <c r="AN216" s="127" t="str">
        <f>IF(AM216,A216&amp;", "&amp;B216,"")</f>
        <v/>
      </c>
      <c r="AO216" s="129">
        <v>1</v>
      </c>
      <c r="AP216" s="129">
        <v>1</v>
      </c>
      <c r="AQ216" s="129"/>
      <c r="AR216" s="129"/>
      <c r="AS216" s="129"/>
      <c r="AT216" s="129"/>
      <c r="AU216" s="129"/>
      <c r="AV216" s="129"/>
      <c r="AW216" s="129"/>
      <c r="AX216" s="197"/>
      <c r="AY216" s="197"/>
      <c r="AZ216" s="197"/>
      <c r="BA216" s="197"/>
      <c r="BB216" s="129"/>
      <c r="BC216" s="129"/>
      <c r="BD216" s="129"/>
      <c r="BE216" s="129"/>
      <c r="BF216" s="129"/>
      <c r="BG216" s="129"/>
      <c r="BH216" s="129"/>
      <c r="BI216" s="129"/>
      <c r="BJ216" s="129"/>
      <c r="BK216" s="129"/>
      <c r="BL216" s="129"/>
      <c r="BM216" s="197"/>
    </row>
    <row r="217" spans="1:65" x14ac:dyDescent="0.25">
      <c r="A217" s="121" t="s">
        <v>148</v>
      </c>
      <c r="B217" s="121" t="s">
        <v>25</v>
      </c>
      <c r="C217" s="172" t="s">
        <v>222</v>
      </c>
      <c r="D217" s="161">
        <v>1</v>
      </c>
      <c r="E217" s="29" t="str">
        <f>INDEX(ra_ScName,MATCH(D217,ra_ScNumber,0))</f>
        <v>Expected nominal return (incl forecast asset revaluations)</v>
      </c>
      <c r="F217" s="54"/>
      <c r="G217" s="54"/>
      <c r="H217" s="54"/>
      <c r="I217" s="54"/>
      <c r="J217" s="54"/>
      <c r="K217" s="54"/>
      <c r="L217" s="54"/>
      <c r="M217" s="54"/>
      <c r="N217" s="54"/>
      <c r="O217" s="54"/>
      <c r="P217" s="54"/>
      <c r="Q217" s="54"/>
      <c r="R217" s="54"/>
      <c r="S217" s="54"/>
      <c r="T217" s="54"/>
      <c r="U217" s="54"/>
      <c r="V217" s="54"/>
      <c r="W217" s="55"/>
      <c r="X217" s="55"/>
      <c r="Y217" s="55"/>
      <c r="Z217" s="55"/>
      <c r="AA217" s="55"/>
      <c r="AB217" s="55"/>
      <c r="AC217" s="55"/>
      <c r="AD217" s="55"/>
      <c r="AE217" s="55"/>
      <c r="AF217" s="55"/>
      <c r="AG217" s="55"/>
      <c r="AH217" s="55"/>
      <c r="AI217" s="117">
        <f t="shared" si="4"/>
        <v>0</v>
      </c>
      <c r="AJ217" s="117">
        <f>SUM(F217:U217)</f>
        <v>0</v>
      </c>
      <c r="AK217" s="117">
        <f t="shared" si="5"/>
        <v>0</v>
      </c>
      <c r="AL217" s="23"/>
      <c r="AM217" s="127" t="b">
        <f>IF(INDEX($AO217:$BM217,0,$F$14)=1,TRUE,FALSE)</f>
        <v>0</v>
      </c>
      <c r="AN217" s="127" t="str">
        <f>IF(AM217,A217&amp;", "&amp;B217,"")</f>
        <v/>
      </c>
      <c r="AO217" s="129">
        <v>1</v>
      </c>
      <c r="AP217" s="129">
        <v>1</v>
      </c>
      <c r="AQ217" s="129"/>
      <c r="AR217" s="129"/>
      <c r="AS217" s="129"/>
      <c r="AT217" s="129"/>
      <c r="AU217" s="129"/>
      <c r="AV217" s="129"/>
      <c r="AW217" s="129"/>
      <c r="AX217" s="197"/>
      <c r="AY217" s="197"/>
      <c r="AZ217" s="197"/>
      <c r="BA217" s="197"/>
      <c r="BB217" s="129"/>
      <c r="BC217" s="129"/>
      <c r="BD217" s="129"/>
      <c r="BE217" s="129"/>
      <c r="BF217" s="129"/>
      <c r="BG217" s="129"/>
      <c r="BH217" s="129"/>
      <c r="BI217" s="129"/>
      <c r="BJ217" s="129"/>
      <c r="BK217" s="129"/>
      <c r="BL217" s="129"/>
      <c r="BM217" s="197"/>
    </row>
    <row r="218" spans="1:65" x14ac:dyDescent="0.25">
      <c r="A218" s="121" t="s">
        <v>148</v>
      </c>
      <c r="B218" s="121" t="s">
        <v>26</v>
      </c>
      <c r="C218" s="172" t="s">
        <v>222</v>
      </c>
      <c r="D218" s="161">
        <v>1</v>
      </c>
      <c r="E218" s="29" t="str">
        <f>INDEX(ra_ScName,MATCH(D218,ra_ScNumber,0))</f>
        <v>Expected nominal return (incl forecast asset revaluations)</v>
      </c>
      <c r="F218" s="54"/>
      <c r="G218" s="54"/>
      <c r="H218" s="54"/>
      <c r="I218" s="54"/>
      <c r="J218" s="54"/>
      <c r="K218" s="54"/>
      <c r="L218" s="54"/>
      <c r="M218" s="54"/>
      <c r="N218" s="54"/>
      <c r="O218" s="54"/>
      <c r="P218" s="54"/>
      <c r="Q218" s="54"/>
      <c r="R218" s="54"/>
      <c r="S218" s="54"/>
      <c r="T218" s="54"/>
      <c r="U218" s="54"/>
      <c r="V218" s="54"/>
      <c r="W218" s="55"/>
      <c r="X218" s="55"/>
      <c r="Y218" s="55"/>
      <c r="Z218" s="55"/>
      <c r="AA218" s="55"/>
      <c r="AB218" s="55"/>
      <c r="AC218" s="55"/>
      <c r="AD218" s="55"/>
      <c r="AE218" s="55"/>
      <c r="AF218" s="55"/>
      <c r="AG218" s="55"/>
      <c r="AH218" s="55"/>
      <c r="AI218" s="117">
        <f t="shared" ref="AI218:AI281" si="6">SUM(F218:AH218)</f>
        <v>0</v>
      </c>
      <c r="AJ218" s="117">
        <f>SUM(F218:U218)</f>
        <v>0</v>
      </c>
      <c r="AK218" s="117">
        <f t="shared" ref="AK218:AK281" si="7">SUM(W218:AH218)</f>
        <v>0</v>
      </c>
      <c r="AL218" s="23"/>
      <c r="AM218" s="127" t="b">
        <f>IF(INDEX($AO218:$BM218,0,$F$14)=1,TRUE,FALSE)</f>
        <v>0</v>
      </c>
      <c r="AN218" s="127" t="str">
        <f>IF(AM218,A218&amp;", "&amp;B218,"")</f>
        <v/>
      </c>
      <c r="AO218" s="129">
        <v>1</v>
      </c>
      <c r="AP218" s="129">
        <v>1</v>
      </c>
      <c r="AQ218" s="129"/>
      <c r="AR218" s="129"/>
      <c r="AS218" s="129"/>
      <c r="AT218" s="129"/>
      <c r="AU218" s="129"/>
      <c r="AV218" s="129"/>
      <c r="AW218" s="129"/>
      <c r="AX218" s="197"/>
      <c r="AY218" s="197"/>
      <c r="AZ218" s="197"/>
      <c r="BA218" s="197"/>
      <c r="BB218" s="129"/>
      <c r="BC218" s="129"/>
      <c r="BD218" s="129"/>
      <c r="BE218" s="129"/>
      <c r="BF218" s="129"/>
      <c r="BG218" s="129"/>
      <c r="BH218" s="129"/>
      <c r="BI218" s="129"/>
      <c r="BJ218" s="129"/>
      <c r="BK218" s="129"/>
      <c r="BL218" s="129"/>
      <c r="BM218" s="197"/>
    </row>
    <row r="219" spans="1:65" x14ac:dyDescent="0.25">
      <c r="A219" s="121" t="s">
        <v>148</v>
      </c>
      <c r="B219" s="121" t="s">
        <v>27</v>
      </c>
      <c r="C219" s="172" t="s">
        <v>222</v>
      </c>
      <c r="D219" s="161">
        <v>1</v>
      </c>
      <c r="E219" s="29" t="str">
        <f>INDEX(ra_ScName,MATCH(D219,ra_ScNumber,0))</f>
        <v>Expected nominal return (incl forecast asset revaluations)</v>
      </c>
      <c r="F219" s="54"/>
      <c r="G219" s="54"/>
      <c r="H219" s="54"/>
      <c r="I219" s="54"/>
      <c r="J219" s="54"/>
      <c r="K219" s="54"/>
      <c r="L219" s="54"/>
      <c r="M219" s="54"/>
      <c r="N219" s="54"/>
      <c r="O219" s="54"/>
      <c r="P219" s="54"/>
      <c r="Q219" s="54"/>
      <c r="R219" s="54"/>
      <c r="S219" s="54"/>
      <c r="T219" s="54"/>
      <c r="U219" s="54"/>
      <c r="V219" s="54"/>
      <c r="W219" s="55"/>
      <c r="X219" s="55"/>
      <c r="Y219" s="55"/>
      <c r="Z219" s="55"/>
      <c r="AA219" s="55"/>
      <c r="AB219" s="55"/>
      <c r="AC219" s="55"/>
      <c r="AD219" s="55"/>
      <c r="AE219" s="55"/>
      <c r="AF219" s="55"/>
      <c r="AG219" s="55"/>
      <c r="AH219" s="55"/>
      <c r="AI219" s="117">
        <f t="shared" si="6"/>
        <v>0</v>
      </c>
      <c r="AJ219" s="117">
        <f>SUM(F219:U219)</f>
        <v>0</v>
      </c>
      <c r="AK219" s="117">
        <f t="shared" si="7"/>
        <v>0</v>
      </c>
      <c r="AL219" s="23"/>
      <c r="AM219" s="127" t="b">
        <f>IF(INDEX($AO219:$BM219,0,$F$14)=1,TRUE,FALSE)</f>
        <v>0</v>
      </c>
      <c r="AN219" s="127" t="str">
        <f>IF(AM219,A219&amp;", "&amp;B219,"")</f>
        <v/>
      </c>
      <c r="AO219" s="129">
        <v>1</v>
      </c>
      <c r="AP219" s="129">
        <v>1</v>
      </c>
      <c r="AQ219" s="129"/>
      <c r="AR219" s="129"/>
      <c r="AS219" s="129"/>
      <c r="AT219" s="129"/>
      <c r="AU219" s="129"/>
      <c r="AV219" s="129"/>
      <c r="AW219" s="129"/>
      <c r="AX219" s="197"/>
      <c r="AY219" s="197"/>
      <c r="AZ219" s="197"/>
      <c r="BA219" s="197"/>
      <c r="BB219" s="129"/>
      <c r="BC219" s="129"/>
      <c r="BD219" s="129"/>
      <c r="BE219" s="129"/>
      <c r="BF219" s="129"/>
      <c r="BG219" s="129"/>
      <c r="BH219" s="129"/>
      <c r="BI219" s="129"/>
      <c r="BJ219" s="129"/>
      <c r="BK219" s="129"/>
      <c r="BL219" s="129"/>
      <c r="BM219" s="197"/>
    </row>
    <row r="220" spans="1:65" x14ac:dyDescent="0.25">
      <c r="A220" s="121"/>
      <c r="B220" s="121"/>
      <c r="C220" s="172"/>
      <c r="D220" s="49"/>
      <c r="E220" s="49"/>
      <c r="F220" s="54"/>
      <c r="G220" s="54"/>
      <c r="H220" s="54"/>
      <c r="I220" s="54"/>
      <c r="J220" s="54"/>
      <c r="K220" s="54"/>
      <c r="L220" s="54"/>
      <c r="M220" s="54"/>
      <c r="N220" s="54"/>
      <c r="O220" s="54"/>
      <c r="P220" s="54"/>
      <c r="Q220" s="54"/>
      <c r="R220" s="54"/>
      <c r="S220" s="54"/>
      <c r="T220" s="54"/>
      <c r="U220" s="54"/>
      <c r="V220" s="54"/>
      <c r="W220" s="54"/>
      <c r="X220" s="54"/>
      <c r="Y220" s="54"/>
      <c r="Z220" s="54"/>
      <c r="AA220" s="54"/>
      <c r="AB220" s="54"/>
      <c r="AC220" s="54"/>
      <c r="AD220" s="54"/>
      <c r="AE220" s="54"/>
      <c r="AF220" s="54"/>
      <c r="AG220" s="54"/>
      <c r="AH220" s="54"/>
      <c r="AI220" s="54"/>
      <c r="AJ220" s="54"/>
      <c r="AK220" s="54"/>
      <c r="AL220" s="23"/>
      <c r="AM220" s="127"/>
      <c r="AN220" s="127"/>
      <c r="AO220" s="129"/>
      <c r="AP220" s="129"/>
      <c r="AQ220" s="129"/>
      <c r="AR220" s="129"/>
      <c r="AS220" s="129"/>
      <c r="AT220" s="129"/>
      <c r="AU220" s="129"/>
      <c r="AV220" s="129"/>
      <c r="AW220" s="129"/>
      <c r="AX220" s="197"/>
      <c r="AY220" s="197"/>
      <c r="AZ220" s="197"/>
      <c r="BA220" s="197"/>
      <c r="BB220" s="129"/>
      <c r="BC220" s="129"/>
      <c r="BD220" s="129"/>
      <c r="BE220" s="129"/>
      <c r="BF220" s="129"/>
      <c r="BG220" s="129"/>
      <c r="BH220" s="129"/>
      <c r="BI220" s="129"/>
      <c r="BJ220" s="129"/>
      <c r="BK220" s="129"/>
      <c r="BL220" s="129"/>
      <c r="BM220" s="197"/>
    </row>
    <row r="221" spans="1:65" x14ac:dyDescent="0.25">
      <c r="A221" s="121"/>
      <c r="B221" s="121"/>
      <c r="C221" s="172"/>
      <c r="D221" s="46"/>
      <c r="E221" s="46"/>
      <c r="F221" s="54"/>
      <c r="G221" s="54"/>
      <c r="H221" s="54"/>
      <c r="I221" s="54"/>
      <c r="J221" s="54"/>
      <c r="K221" s="54"/>
      <c r="L221" s="54"/>
      <c r="M221" s="54"/>
      <c r="N221" s="54"/>
      <c r="O221" s="54"/>
      <c r="P221" s="54"/>
      <c r="Q221" s="54"/>
      <c r="R221" s="54"/>
      <c r="S221" s="54"/>
      <c r="T221" s="54"/>
      <c r="U221" s="54"/>
      <c r="V221" s="54"/>
      <c r="W221" s="55"/>
      <c r="X221" s="55"/>
      <c r="Y221" s="55"/>
      <c r="Z221" s="55"/>
      <c r="AA221" s="55"/>
      <c r="AB221" s="55"/>
      <c r="AC221" s="55"/>
      <c r="AD221" s="55"/>
      <c r="AE221" s="55"/>
      <c r="AF221" s="55"/>
      <c r="AG221" s="55"/>
      <c r="AH221" s="55"/>
      <c r="AI221" s="54"/>
      <c r="AJ221" s="54"/>
      <c r="AK221" s="54"/>
      <c r="AL221" s="23"/>
      <c r="AM221" s="127"/>
      <c r="AN221" s="127"/>
      <c r="AO221" s="129"/>
      <c r="AP221" s="129"/>
      <c r="AQ221" s="129"/>
      <c r="AR221" s="129"/>
      <c r="AS221" s="129"/>
      <c r="AT221" s="129"/>
      <c r="AU221" s="129"/>
      <c r="AV221" s="129"/>
      <c r="AW221" s="129"/>
      <c r="AX221" s="197"/>
      <c r="AY221" s="197"/>
      <c r="AZ221" s="197"/>
      <c r="BA221" s="197"/>
      <c r="BB221" s="129"/>
      <c r="BC221" s="129"/>
      <c r="BD221" s="129"/>
      <c r="BE221" s="129"/>
      <c r="BF221" s="129"/>
      <c r="BG221" s="129"/>
      <c r="BH221" s="129"/>
      <c r="BI221" s="129"/>
      <c r="BJ221" s="129"/>
      <c r="BK221" s="129"/>
      <c r="BL221" s="129"/>
      <c r="BM221" s="197"/>
    </row>
    <row r="222" spans="1:65" x14ac:dyDescent="0.25">
      <c r="A222" s="121" t="s">
        <v>148</v>
      </c>
      <c r="B222" s="121" t="s">
        <v>23</v>
      </c>
      <c r="C222" s="172" t="s">
        <v>222</v>
      </c>
      <c r="D222" s="161">
        <v>10</v>
      </c>
      <c r="E222" s="29" t="str">
        <f>INDEX(ra_ScName,MATCH(D222,ra_ScNumber,0))</f>
        <v>Disclosed nominal return (incl actual asset revaluations)</v>
      </c>
      <c r="F222" s="122">
        <v>0</v>
      </c>
      <c r="G222" s="122">
        <v>0</v>
      </c>
      <c r="H222" s="122">
        <v>0</v>
      </c>
      <c r="I222" s="122">
        <v>0</v>
      </c>
      <c r="J222" s="122">
        <v>0</v>
      </c>
      <c r="K222" s="122">
        <v>0</v>
      </c>
      <c r="L222" s="122">
        <v>0</v>
      </c>
      <c r="M222" s="122">
        <v>0</v>
      </c>
      <c r="N222" s="122">
        <v>0</v>
      </c>
      <c r="O222" s="122">
        <v>0</v>
      </c>
      <c r="P222" s="122">
        <v>0</v>
      </c>
      <c r="Q222" s="122">
        <v>0</v>
      </c>
      <c r="R222" s="122">
        <v>0</v>
      </c>
      <c r="S222" s="122">
        <v>0</v>
      </c>
      <c r="T222" s="122">
        <v>0</v>
      </c>
      <c r="U222" s="122">
        <v>0</v>
      </c>
      <c r="V222" s="122">
        <v>0</v>
      </c>
      <c r="W222" s="122">
        <v>0</v>
      </c>
      <c r="X222" s="122">
        <v>0</v>
      </c>
      <c r="Y222" s="122">
        <v>0</v>
      </c>
      <c r="Z222" s="122">
        <v>0</v>
      </c>
      <c r="AA222" s="122">
        <v>0</v>
      </c>
      <c r="AB222" s="122">
        <v>0</v>
      </c>
      <c r="AC222" s="122">
        <v>0</v>
      </c>
      <c r="AD222" s="122">
        <v>0</v>
      </c>
      <c r="AE222" s="122">
        <v>0</v>
      </c>
      <c r="AF222" s="122">
        <v>0</v>
      </c>
      <c r="AG222" s="122">
        <v>0</v>
      </c>
      <c r="AH222" s="122">
        <v>0</v>
      </c>
      <c r="AI222" s="117">
        <f t="shared" si="6"/>
        <v>0</v>
      </c>
      <c r="AJ222" s="117">
        <f>SUM(F222:U222)</f>
        <v>0</v>
      </c>
      <c r="AK222" s="117">
        <f t="shared" si="7"/>
        <v>0</v>
      </c>
      <c r="AL222" s="23"/>
      <c r="AM222" s="127" t="b">
        <f>IF(INDEX($AO222:$BM222,0,$F$14)=1,TRUE,FALSE)</f>
        <v>1</v>
      </c>
      <c r="AN222" s="127" t="str">
        <f>IF(AM222,A222&amp;", "&amp;B222,"")</f>
        <v>Distributed generation allowance, 2010/11</v>
      </c>
      <c r="AO222" s="129"/>
      <c r="AP222" s="129"/>
      <c r="AQ222" s="129">
        <v>1</v>
      </c>
      <c r="AR222" s="129">
        <v>1</v>
      </c>
      <c r="AS222" s="129">
        <v>1</v>
      </c>
      <c r="AT222" s="129">
        <v>1</v>
      </c>
      <c r="AU222" s="129">
        <v>1</v>
      </c>
      <c r="AV222" s="129">
        <v>1</v>
      </c>
      <c r="AW222" s="129">
        <v>1</v>
      </c>
      <c r="AX222" s="197">
        <v>1</v>
      </c>
      <c r="AY222" s="197">
        <v>1</v>
      </c>
      <c r="AZ222" s="197">
        <v>1</v>
      </c>
      <c r="BA222" s="197">
        <v>1</v>
      </c>
      <c r="BB222" s="129">
        <v>1</v>
      </c>
      <c r="BC222" s="129">
        <v>1</v>
      </c>
      <c r="BD222" s="129">
        <v>1</v>
      </c>
      <c r="BE222" s="129">
        <v>1</v>
      </c>
      <c r="BF222" s="129">
        <v>1</v>
      </c>
      <c r="BG222" s="129">
        <v>1</v>
      </c>
      <c r="BH222" s="129">
        <v>1</v>
      </c>
      <c r="BI222" s="129">
        <v>1</v>
      </c>
      <c r="BJ222" s="129">
        <v>1</v>
      </c>
      <c r="BK222" s="129">
        <v>1</v>
      </c>
      <c r="BL222" s="129">
        <v>1</v>
      </c>
      <c r="BM222" s="197">
        <v>1</v>
      </c>
    </row>
    <row r="223" spans="1:65" x14ac:dyDescent="0.25">
      <c r="A223" s="121" t="s">
        <v>148</v>
      </c>
      <c r="B223" s="121" t="s">
        <v>24</v>
      </c>
      <c r="C223" s="172" t="s">
        <v>222</v>
      </c>
      <c r="D223" s="161">
        <v>10</v>
      </c>
      <c r="E223" s="29" t="str">
        <f>INDEX(ra_ScName,MATCH(D223,ra_ScNumber,0))</f>
        <v>Disclosed nominal return (incl actual asset revaluations)</v>
      </c>
      <c r="F223" s="122">
        <v>0</v>
      </c>
      <c r="G223" s="122">
        <v>0</v>
      </c>
      <c r="H223" s="122">
        <v>0</v>
      </c>
      <c r="I223" s="122">
        <v>0</v>
      </c>
      <c r="J223" s="122">
        <v>0</v>
      </c>
      <c r="K223" s="122">
        <v>0</v>
      </c>
      <c r="L223" s="122">
        <v>0</v>
      </c>
      <c r="M223" s="122">
        <v>0</v>
      </c>
      <c r="N223" s="122">
        <v>0</v>
      </c>
      <c r="O223" s="122">
        <v>0</v>
      </c>
      <c r="P223" s="122">
        <v>0</v>
      </c>
      <c r="Q223" s="122">
        <v>0</v>
      </c>
      <c r="R223" s="122">
        <v>0</v>
      </c>
      <c r="S223" s="122">
        <v>0</v>
      </c>
      <c r="T223" s="122">
        <v>0</v>
      </c>
      <c r="U223" s="122">
        <v>0</v>
      </c>
      <c r="V223" s="122">
        <v>0</v>
      </c>
      <c r="W223" s="122">
        <v>0</v>
      </c>
      <c r="X223" s="122">
        <v>0</v>
      </c>
      <c r="Y223" s="122">
        <v>0</v>
      </c>
      <c r="Z223" s="122">
        <v>0</v>
      </c>
      <c r="AA223" s="122">
        <v>0</v>
      </c>
      <c r="AB223" s="122">
        <v>0</v>
      </c>
      <c r="AC223" s="122">
        <v>0</v>
      </c>
      <c r="AD223" s="122">
        <v>0</v>
      </c>
      <c r="AE223" s="122">
        <v>0</v>
      </c>
      <c r="AF223" s="122">
        <v>0</v>
      </c>
      <c r="AG223" s="122">
        <v>0</v>
      </c>
      <c r="AH223" s="122">
        <v>0</v>
      </c>
      <c r="AI223" s="117">
        <f t="shared" si="6"/>
        <v>0</v>
      </c>
      <c r="AJ223" s="117">
        <f>SUM(F223:U223)</f>
        <v>0</v>
      </c>
      <c r="AK223" s="117">
        <f t="shared" si="7"/>
        <v>0</v>
      </c>
      <c r="AL223" s="23"/>
      <c r="AM223" s="127" t="b">
        <f>IF(INDEX($AO223:$BM223,0,$F$14)=1,TRUE,FALSE)</f>
        <v>1</v>
      </c>
      <c r="AN223" s="127" t="str">
        <f>IF(AM223,A223&amp;", "&amp;B223,"")</f>
        <v>Distributed generation allowance, 2011/12</v>
      </c>
      <c r="AO223" s="129"/>
      <c r="AP223" s="129"/>
      <c r="AQ223" s="129">
        <v>1</v>
      </c>
      <c r="AR223" s="129">
        <v>1</v>
      </c>
      <c r="AS223" s="129">
        <v>1</v>
      </c>
      <c r="AT223" s="129">
        <v>1</v>
      </c>
      <c r="AU223" s="129">
        <v>1</v>
      </c>
      <c r="AV223" s="129">
        <v>1</v>
      </c>
      <c r="AW223" s="129">
        <v>1</v>
      </c>
      <c r="AX223" s="197">
        <v>1</v>
      </c>
      <c r="AY223" s="197">
        <v>1</v>
      </c>
      <c r="AZ223" s="197">
        <v>1</v>
      </c>
      <c r="BA223" s="197">
        <v>1</v>
      </c>
      <c r="BB223" s="129">
        <v>1</v>
      </c>
      <c r="BC223" s="129">
        <v>1</v>
      </c>
      <c r="BD223" s="129">
        <v>1</v>
      </c>
      <c r="BE223" s="129">
        <v>1</v>
      </c>
      <c r="BF223" s="129">
        <v>1</v>
      </c>
      <c r="BG223" s="129">
        <v>1</v>
      </c>
      <c r="BH223" s="129">
        <v>1</v>
      </c>
      <c r="BI223" s="129">
        <v>1</v>
      </c>
      <c r="BJ223" s="129">
        <v>1</v>
      </c>
      <c r="BK223" s="129">
        <v>1</v>
      </c>
      <c r="BL223" s="129">
        <v>1</v>
      </c>
      <c r="BM223" s="197">
        <v>1</v>
      </c>
    </row>
    <row r="224" spans="1:65" x14ac:dyDescent="0.25">
      <c r="A224" s="121" t="s">
        <v>148</v>
      </c>
      <c r="B224" s="121" t="s">
        <v>25</v>
      </c>
      <c r="C224" s="172" t="s">
        <v>222</v>
      </c>
      <c r="D224" s="161">
        <v>10</v>
      </c>
      <c r="E224" s="29" t="str">
        <f>INDEX(ra_ScName,MATCH(D224,ra_ScNumber,0))</f>
        <v>Disclosed nominal return (incl actual asset revaluations)</v>
      </c>
      <c r="F224" s="122">
        <v>0</v>
      </c>
      <c r="G224" s="122">
        <v>0</v>
      </c>
      <c r="H224" s="122">
        <v>0</v>
      </c>
      <c r="I224" s="122">
        <v>0</v>
      </c>
      <c r="J224" s="122">
        <v>0</v>
      </c>
      <c r="K224" s="122">
        <v>0</v>
      </c>
      <c r="L224" s="122">
        <v>0</v>
      </c>
      <c r="M224" s="122">
        <v>0</v>
      </c>
      <c r="N224" s="122">
        <v>0</v>
      </c>
      <c r="O224" s="122">
        <v>0</v>
      </c>
      <c r="P224" s="122">
        <v>0</v>
      </c>
      <c r="Q224" s="122">
        <v>0</v>
      </c>
      <c r="R224" s="122">
        <v>0</v>
      </c>
      <c r="S224" s="122">
        <v>0</v>
      </c>
      <c r="T224" s="122">
        <v>0</v>
      </c>
      <c r="U224" s="122">
        <v>0</v>
      </c>
      <c r="V224" s="122">
        <v>0</v>
      </c>
      <c r="W224" s="122">
        <v>0</v>
      </c>
      <c r="X224" s="122">
        <v>0</v>
      </c>
      <c r="Y224" s="122">
        <v>0</v>
      </c>
      <c r="Z224" s="122">
        <v>0</v>
      </c>
      <c r="AA224" s="122">
        <v>0</v>
      </c>
      <c r="AB224" s="122">
        <v>0</v>
      </c>
      <c r="AC224" s="122">
        <v>0</v>
      </c>
      <c r="AD224" s="122">
        <v>0</v>
      </c>
      <c r="AE224" s="122">
        <v>0</v>
      </c>
      <c r="AF224" s="122">
        <v>0</v>
      </c>
      <c r="AG224" s="122">
        <v>0</v>
      </c>
      <c r="AH224" s="122">
        <v>0</v>
      </c>
      <c r="AI224" s="117">
        <f t="shared" si="6"/>
        <v>0</v>
      </c>
      <c r="AJ224" s="117">
        <f>SUM(F224:U224)</f>
        <v>0</v>
      </c>
      <c r="AK224" s="117">
        <f t="shared" si="7"/>
        <v>0</v>
      </c>
      <c r="AL224" s="23"/>
      <c r="AM224" s="127" t="b">
        <f>IF(INDEX($AO224:$BM224,0,$F$14)=1,TRUE,FALSE)</f>
        <v>1</v>
      </c>
      <c r="AN224" s="127" t="str">
        <f>IF(AM224,A224&amp;", "&amp;B224,"")</f>
        <v>Distributed generation allowance, 2012/13</v>
      </c>
      <c r="AO224" s="129"/>
      <c r="AP224" s="129"/>
      <c r="AQ224" s="129">
        <v>1</v>
      </c>
      <c r="AR224" s="129">
        <v>1</v>
      </c>
      <c r="AS224" s="129">
        <v>1</v>
      </c>
      <c r="AT224" s="129">
        <v>1</v>
      </c>
      <c r="AU224" s="129">
        <v>1</v>
      </c>
      <c r="AV224" s="129">
        <v>1</v>
      </c>
      <c r="AW224" s="129">
        <v>1</v>
      </c>
      <c r="AX224" s="197">
        <v>1</v>
      </c>
      <c r="AY224" s="197">
        <v>1</v>
      </c>
      <c r="AZ224" s="197">
        <v>1</v>
      </c>
      <c r="BA224" s="197">
        <v>1</v>
      </c>
      <c r="BB224" s="129">
        <v>1</v>
      </c>
      <c r="BC224" s="129">
        <v>1</v>
      </c>
      <c r="BD224" s="129">
        <v>1</v>
      </c>
      <c r="BE224" s="129">
        <v>1</v>
      </c>
      <c r="BF224" s="129">
        <v>1</v>
      </c>
      <c r="BG224" s="129">
        <v>1</v>
      </c>
      <c r="BH224" s="129">
        <v>1</v>
      </c>
      <c r="BI224" s="129">
        <v>1</v>
      </c>
      <c r="BJ224" s="129">
        <v>1</v>
      </c>
      <c r="BK224" s="129">
        <v>1</v>
      </c>
      <c r="BL224" s="129">
        <v>1</v>
      </c>
      <c r="BM224" s="197">
        <v>1</v>
      </c>
    </row>
    <row r="225" spans="1:65" x14ac:dyDescent="0.25">
      <c r="A225" s="121" t="s">
        <v>148</v>
      </c>
      <c r="B225" s="121" t="s">
        <v>26</v>
      </c>
      <c r="C225" s="172" t="s">
        <v>222</v>
      </c>
      <c r="D225" s="161">
        <v>10</v>
      </c>
      <c r="E225" s="29" t="str">
        <f>INDEX(ra_ScName,MATCH(D225,ra_ScNumber,0))</f>
        <v>Disclosed nominal return (incl actual asset revaluations)</v>
      </c>
      <c r="F225" s="122">
        <v>0</v>
      </c>
      <c r="G225" s="122">
        <v>0</v>
      </c>
      <c r="H225" s="122">
        <v>0</v>
      </c>
      <c r="I225" s="122">
        <v>0</v>
      </c>
      <c r="J225" s="122">
        <v>0</v>
      </c>
      <c r="K225" s="122">
        <v>0</v>
      </c>
      <c r="L225" s="122">
        <v>0</v>
      </c>
      <c r="M225" s="122">
        <v>0</v>
      </c>
      <c r="N225" s="122">
        <v>0</v>
      </c>
      <c r="O225" s="122">
        <v>0</v>
      </c>
      <c r="P225" s="122">
        <v>0</v>
      </c>
      <c r="Q225" s="122">
        <v>0</v>
      </c>
      <c r="R225" s="122">
        <v>0</v>
      </c>
      <c r="S225" s="122">
        <v>0</v>
      </c>
      <c r="T225" s="122">
        <v>0</v>
      </c>
      <c r="U225" s="122">
        <v>0</v>
      </c>
      <c r="V225" s="122">
        <v>0</v>
      </c>
      <c r="W225" s="122">
        <v>0</v>
      </c>
      <c r="X225" s="122">
        <v>0</v>
      </c>
      <c r="Y225" s="122">
        <v>0</v>
      </c>
      <c r="Z225" s="122">
        <v>0</v>
      </c>
      <c r="AA225" s="122">
        <v>0</v>
      </c>
      <c r="AB225" s="122">
        <v>0</v>
      </c>
      <c r="AC225" s="122">
        <v>0</v>
      </c>
      <c r="AD225" s="122">
        <v>0</v>
      </c>
      <c r="AE225" s="122">
        <v>0</v>
      </c>
      <c r="AF225" s="122">
        <v>0</v>
      </c>
      <c r="AG225" s="122">
        <v>0</v>
      </c>
      <c r="AH225" s="122">
        <v>0</v>
      </c>
      <c r="AI225" s="117">
        <f t="shared" si="6"/>
        <v>0</v>
      </c>
      <c r="AJ225" s="117">
        <f>SUM(F225:U225)</f>
        <v>0</v>
      </c>
      <c r="AK225" s="117">
        <f t="shared" si="7"/>
        <v>0</v>
      </c>
      <c r="AL225" s="23"/>
      <c r="AM225" s="127" t="b">
        <f>IF(INDEX($AO225:$BM225,0,$F$14)=1,TRUE,FALSE)</f>
        <v>1</v>
      </c>
      <c r="AN225" s="127" t="str">
        <f>IF(AM225,A225&amp;", "&amp;B225,"")</f>
        <v>Distributed generation allowance, 2013/14</v>
      </c>
      <c r="AO225" s="129"/>
      <c r="AP225" s="129"/>
      <c r="AQ225" s="129">
        <v>1</v>
      </c>
      <c r="AR225" s="129">
        <v>1</v>
      </c>
      <c r="AS225" s="129">
        <v>1</v>
      </c>
      <c r="AT225" s="129">
        <v>1</v>
      </c>
      <c r="AU225" s="129">
        <v>1</v>
      </c>
      <c r="AV225" s="129">
        <v>1</v>
      </c>
      <c r="AW225" s="129">
        <v>1</v>
      </c>
      <c r="AX225" s="197">
        <v>1</v>
      </c>
      <c r="AY225" s="197">
        <v>1</v>
      </c>
      <c r="AZ225" s="197">
        <v>1</v>
      </c>
      <c r="BA225" s="197">
        <v>1</v>
      </c>
      <c r="BB225" s="129">
        <v>1</v>
      </c>
      <c r="BC225" s="129">
        <v>1</v>
      </c>
      <c r="BD225" s="129">
        <v>1</v>
      </c>
      <c r="BE225" s="129">
        <v>1</v>
      </c>
      <c r="BF225" s="129">
        <v>1</v>
      </c>
      <c r="BG225" s="129">
        <v>1</v>
      </c>
      <c r="BH225" s="129">
        <v>1</v>
      </c>
      <c r="BI225" s="129">
        <v>1</v>
      </c>
      <c r="BJ225" s="129">
        <v>1</v>
      </c>
      <c r="BK225" s="129">
        <v>1</v>
      </c>
      <c r="BL225" s="129">
        <v>1</v>
      </c>
      <c r="BM225" s="197">
        <v>1</v>
      </c>
    </row>
    <row r="226" spans="1:65" x14ac:dyDescent="0.25">
      <c r="A226" s="121" t="s">
        <v>148</v>
      </c>
      <c r="B226" s="121" t="s">
        <v>27</v>
      </c>
      <c r="C226" s="172" t="s">
        <v>209</v>
      </c>
      <c r="D226" s="161">
        <v>10</v>
      </c>
      <c r="E226" s="29" t="str">
        <f>INDEX(ra_ScName,MATCH(D226,ra_ScNumber,0))</f>
        <v>Disclosed nominal return (incl actual asset revaluations)</v>
      </c>
      <c r="F226" s="122">
        <v>0</v>
      </c>
      <c r="G226" s="122">
        <v>6656</v>
      </c>
      <c r="H226" s="122">
        <v>0</v>
      </c>
      <c r="I226" s="122">
        <v>2574.2511199999999</v>
      </c>
      <c r="J226" s="122">
        <v>980</v>
      </c>
      <c r="K226" s="122">
        <v>0</v>
      </c>
      <c r="L226" s="122">
        <v>4526.2213200000015</v>
      </c>
      <c r="M226" s="122">
        <v>0</v>
      </c>
      <c r="N226" s="122">
        <v>790</v>
      </c>
      <c r="O226" s="122">
        <v>0</v>
      </c>
      <c r="P226" s="122">
        <v>9836.022210000001</v>
      </c>
      <c r="Q226" s="122">
        <v>1585</v>
      </c>
      <c r="R226" s="122">
        <v>2719.0249883333331</v>
      </c>
      <c r="S226" s="122">
        <v>5951.19506</v>
      </c>
      <c r="T226" s="122">
        <v>10519</v>
      </c>
      <c r="U226" s="122">
        <v>0</v>
      </c>
      <c r="V226" s="122">
        <v>214.17</v>
      </c>
      <c r="W226" s="122">
        <v>102.74369</v>
      </c>
      <c r="X226" s="122">
        <v>0</v>
      </c>
      <c r="Y226" s="122">
        <v>0</v>
      </c>
      <c r="Z226" s="122">
        <v>0</v>
      </c>
      <c r="AA226" s="122">
        <v>261</v>
      </c>
      <c r="AB226" s="122">
        <v>0</v>
      </c>
      <c r="AC226" s="122">
        <v>0</v>
      </c>
      <c r="AD226" s="122">
        <v>0</v>
      </c>
      <c r="AE226" s="122">
        <v>0</v>
      </c>
      <c r="AF226" s="122">
        <v>0</v>
      </c>
      <c r="AG226" s="122">
        <v>3289.3605100000004</v>
      </c>
      <c r="AH226" s="122">
        <v>2171</v>
      </c>
      <c r="AI226" s="117">
        <f t="shared" si="6"/>
        <v>52174.988898333337</v>
      </c>
      <c r="AJ226" s="117">
        <f>SUM(F226:U226)</f>
        <v>46136.714698333337</v>
      </c>
      <c r="AK226" s="117">
        <f t="shared" si="7"/>
        <v>5824.1042000000007</v>
      </c>
      <c r="AL226" s="23"/>
      <c r="AM226" s="127" t="b">
        <f>IF(INDEX($AO226:$BM226,0,$F$14)=1,TRUE,FALSE)</f>
        <v>1</v>
      </c>
      <c r="AN226" s="127" t="str">
        <f>IF(AM226,A226&amp;", "&amp;B226,"")</f>
        <v>Distributed generation allowance, 2014/15</v>
      </c>
      <c r="AO226" s="129"/>
      <c r="AP226" s="129"/>
      <c r="AQ226" s="129">
        <v>1</v>
      </c>
      <c r="AR226" s="129">
        <v>1</v>
      </c>
      <c r="AS226" s="129">
        <v>1</v>
      </c>
      <c r="AT226" s="129">
        <v>1</v>
      </c>
      <c r="AU226" s="129">
        <v>1</v>
      </c>
      <c r="AV226" s="129">
        <v>1</v>
      </c>
      <c r="AW226" s="129">
        <v>1</v>
      </c>
      <c r="AX226" s="197">
        <v>1</v>
      </c>
      <c r="AY226" s="197">
        <v>1</v>
      </c>
      <c r="AZ226" s="197">
        <v>1</v>
      </c>
      <c r="BA226" s="197">
        <v>1</v>
      </c>
      <c r="BB226" s="129">
        <v>1</v>
      </c>
      <c r="BC226" s="129">
        <v>1</v>
      </c>
      <c r="BD226" s="129">
        <v>1</v>
      </c>
      <c r="BE226" s="129">
        <v>1</v>
      </c>
      <c r="BF226" s="129">
        <v>1</v>
      </c>
      <c r="BG226" s="129">
        <v>1</v>
      </c>
      <c r="BH226" s="129">
        <v>1</v>
      </c>
      <c r="BI226" s="129">
        <v>1</v>
      </c>
      <c r="BJ226" s="129">
        <v>1</v>
      </c>
      <c r="BK226" s="129">
        <v>1</v>
      </c>
      <c r="BL226" s="129">
        <v>1</v>
      </c>
      <c r="BM226" s="197">
        <v>1</v>
      </c>
    </row>
    <row r="227" spans="1:65" x14ac:dyDescent="0.25">
      <c r="A227" s="121"/>
      <c r="B227" s="121"/>
      <c r="C227" s="172"/>
      <c r="D227" s="49"/>
      <c r="E227" s="49"/>
      <c r="F227" s="54"/>
      <c r="G227" s="54"/>
      <c r="H227" s="54"/>
      <c r="I227" s="54"/>
      <c r="J227" s="54"/>
      <c r="K227" s="54"/>
      <c r="L227" s="54"/>
      <c r="M227" s="54"/>
      <c r="N227" s="54"/>
      <c r="O227" s="54"/>
      <c r="P227" s="54"/>
      <c r="Q227" s="54"/>
      <c r="R227" s="54"/>
      <c r="S227" s="54"/>
      <c r="T227" s="54"/>
      <c r="U227" s="54"/>
      <c r="V227" s="54"/>
      <c r="W227" s="54"/>
      <c r="X227" s="54"/>
      <c r="Y227" s="54"/>
      <c r="Z227" s="54"/>
      <c r="AA227" s="54"/>
      <c r="AB227" s="54"/>
      <c r="AC227" s="54"/>
      <c r="AD227" s="54"/>
      <c r="AE227" s="54"/>
      <c r="AF227" s="54"/>
      <c r="AG227" s="54"/>
      <c r="AH227" s="54"/>
      <c r="AI227" s="54"/>
      <c r="AJ227" s="54"/>
      <c r="AK227" s="54"/>
      <c r="AL227" s="23"/>
      <c r="AM227" s="127"/>
      <c r="AN227" s="127"/>
      <c r="AO227" s="129"/>
      <c r="AP227" s="129"/>
      <c r="AQ227" s="129"/>
      <c r="AR227" s="129"/>
      <c r="AS227" s="129"/>
      <c r="AT227" s="129"/>
      <c r="AU227" s="129"/>
      <c r="AV227" s="129"/>
      <c r="AW227" s="129"/>
      <c r="AX227" s="197"/>
      <c r="AY227" s="197"/>
      <c r="AZ227" s="197"/>
      <c r="BA227" s="197"/>
      <c r="BB227" s="129"/>
      <c r="BC227" s="129"/>
      <c r="BD227" s="129"/>
      <c r="BE227" s="129"/>
      <c r="BF227" s="129"/>
      <c r="BG227" s="129"/>
      <c r="BH227" s="129"/>
      <c r="BI227" s="129"/>
      <c r="BJ227" s="129"/>
      <c r="BK227" s="129"/>
      <c r="BL227" s="129"/>
      <c r="BM227" s="197"/>
    </row>
    <row r="228" spans="1:65" x14ac:dyDescent="0.25">
      <c r="A228" s="121"/>
      <c r="B228" s="121"/>
      <c r="C228" s="172"/>
      <c r="D228" s="46"/>
      <c r="E228" s="46"/>
      <c r="F228" s="54"/>
      <c r="G228" s="54"/>
      <c r="H228" s="54"/>
      <c r="I228" s="54"/>
      <c r="J228" s="54"/>
      <c r="K228" s="54"/>
      <c r="L228" s="54"/>
      <c r="M228" s="54"/>
      <c r="N228" s="54"/>
      <c r="O228" s="54"/>
      <c r="P228" s="54"/>
      <c r="Q228" s="54"/>
      <c r="R228" s="54"/>
      <c r="S228" s="54"/>
      <c r="T228" s="54"/>
      <c r="U228" s="54"/>
      <c r="V228" s="54"/>
      <c r="W228" s="54"/>
      <c r="X228" s="54"/>
      <c r="Y228" s="54"/>
      <c r="Z228" s="54"/>
      <c r="AA228" s="54"/>
      <c r="AB228" s="54"/>
      <c r="AC228" s="54"/>
      <c r="AD228" s="54"/>
      <c r="AE228" s="54"/>
      <c r="AF228" s="54"/>
      <c r="AG228" s="54"/>
      <c r="AH228" s="54"/>
      <c r="AI228" s="54"/>
      <c r="AJ228" s="54"/>
      <c r="AK228" s="54"/>
      <c r="AL228" s="23"/>
      <c r="AM228" s="127"/>
      <c r="AN228" s="127"/>
      <c r="AO228" s="129"/>
      <c r="AP228" s="129"/>
      <c r="AQ228" s="129"/>
      <c r="AR228" s="129"/>
      <c r="AS228" s="129"/>
      <c r="AT228" s="129"/>
      <c r="AU228" s="129"/>
      <c r="AV228" s="129"/>
      <c r="AW228" s="129"/>
      <c r="AX228" s="197"/>
      <c r="AY228" s="197"/>
      <c r="AZ228" s="197"/>
      <c r="BA228" s="197"/>
      <c r="BB228" s="129"/>
      <c r="BC228" s="129"/>
      <c r="BD228" s="129"/>
      <c r="BE228" s="129"/>
      <c r="BF228" s="129"/>
      <c r="BG228" s="129"/>
      <c r="BH228" s="129"/>
      <c r="BI228" s="129"/>
      <c r="BJ228" s="129"/>
      <c r="BK228" s="129"/>
      <c r="BL228" s="129"/>
      <c r="BM228" s="197"/>
    </row>
    <row r="229" spans="1:65" x14ac:dyDescent="0.25">
      <c r="A229" s="121" t="s">
        <v>149</v>
      </c>
      <c r="B229" s="121" t="s">
        <v>23</v>
      </c>
      <c r="C229" s="172" t="s">
        <v>222</v>
      </c>
      <c r="D229" s="161">
        <v>1</v>
      </c>
      <c r="E229" s="29" t="str">
        <f>INDEX(ra_ScName,MATCH(D229,ra_ScNumber,0))</f>
        <v>Expected nominal return (incl forecast asset revaluations)</v>
      </c>
      <c r="F229" s="54"/>
      <c r="G229" s="54"/>
      <c r="H229" s="54"/>
      <c r="I229" s="54"/>
      <c r="J229" s="54"/>
      <c r="K229" s="54"/>
      <c r="L229" s="54"/>
      <c r="M229" s="54"/>
      <c r="N229" s="54"/>
      <c r="O229" s="54"/>
      <c r="P229" s="54"/>
      <c r="Q229" s="54"/>
      <c r="R229" s="54"/>
      <c r="S229" s="54"/>
      <c r="T229" s="54"/>
      <c r="U229" s="54"/>
      <c r="V229" s="54"/>
      <c r="W229" s="54"/>
      <c r="X229" s="54"/>
      <c r="Y229" s="54"/>
      <c r="Z229" s="54"/>
      <c r="AA229" s="54"/>
      <c r="AB229" s="54"/>
      <c r="AC229" s="54"/>
      <c r="AD229" s="54"/>
      <c r="AE229" s="54"/>
      <c r="AF229" s="54"/>
      <c r="AG229" s="54"/>
      <c r="AH229" s="54"/>
      <c r="AI229" s="117">
        <f t="shared" si="6"/>
        <v>0</v>
      </c>
      <c r="AJ229" s="117">
        <f>SUM(F229:U229)</f>
        <v>0</v>
      </c>
      <c r="AK229" s="117">
        <f t="shared" si="7"/>
        <v>0</v>
      </c>
      <c r="AL229" s="23"/>
      <c r="AM229" s="127" t="b">
        <f>IF(INDEX($AO229:$BM229,0,$F$14)=1,TRUE,FALSE)</f>
        <v>0</v>
      </c>
      <c r="AN229" s="127" t="str">
        <f>IF(AM229,A229&amp;", "&amp;B229,"")</f>
        <v/>
      </c>
      <c r="AO229" s="129">
        <v>1</v>
      </c>
      <c r="AP229" s="129">
        <v>1</v>
      </c>
      <c r="AQ229" s="129"/>
      <c r="AR229" s="129"/>
      <c r="AS229" s="129"/>
      <c r="AT229" s="129"/>
      <c r="AU229" s="129"/>
      <c r="AV229" s="129"/>
      <c r="AW229" s="129"/>
      <c r="AX229" s="197"/>
      <c r="AY229" s="197"/>
      <c r="AZ229" s="197"/>
      <c r="BA229" s="197"/>
      <c r="BB229" s="129"/>
      <c r="BC229" s="129"/>
      <c r="BD229" s="129"/>
      <c r="BE229" s="129"/>
      <c r="BF229" s="129"/>
      <c r="BG229" s="129"/>
      <c r="BH229" s="129"/>
      <c r="BI229" s="129"/>
      <c r="BJ229" s="129"/>
      <c r="BK229" s="129"/>
      <c r="BL229" s="129"/>
      <c r="BM229" s="197"/>
    </row>
    <row r="230" spans="1:65" x14ac:dyDescent="0.25">
      <c r="A230" s="121" t="s">
        <v>149</v>
      </c>
      <c r="B230" s="121" t="s">
        <v>24</v>
      </c>
      <c r="C230" s="172" t="s">
        <v>222</v>
      </c>
      <c r="D230" s="161">
        <v>1</v>
      </c>
      <c r="E230" s="29" t="str">
        <f>INDEX(ra_ScName,MATCH(D230,ra_ScNumber,0))</f>
        <v>Expected nominal return (incl forecast asset revaluations)</v>
      </c>
      <c r="F230" s="54"/>
      <c r="G230" s="54"/>
      <c r="H230" s="54"/>
      <c r="I230" s="54"/>
      <c r="J230" s="54"/>
      <c r="K230" s="54"/>
      <c r="L230" s="54"/>
      <c r="M230" s="54"/>
      <c r="N230" s="54"/>
      <c r="O230" s="54"/>
      <c r="P230" s="54"/>
      <c r="Q230" s="54"/>
      <c r="R230" s="54"/>
      <c r="S230" s="54"/>
      <c r="T230" s="54"/>
      <c r="U230" s="54"/>
      <c r="V230" s="54"/>
      <c r="W230" s="54"/>
      <c r="X230" s="54"/>
      <c r="Y230" s="54"/>
      <c r="Z230" s="54"/>
      <c r="AA230" s="54"/>
      <c r="AB230" s="54"/>
      <c r="AC230" s="54"/>
      <c r="AD230" s="54"/>
      <c r="AE230" s="54"/>
      <c r="AF230" s="54"/>
      <c r="AG230" s="54"/>
      <c r="AH230" s="54"/>
      <c r="AI230" s="117">
        <f t="shared" si="6"/>
        <v>0</v>
      </c>
      <c r="AJ230" s="117">
        <f>SUM(F230:U230)</f>
        <v>0</v>
      </c>
      <c r="AK230" s="117">
        <f t="shared" si="7"/>
        <v>0</v>
      </c>
      <c r="AL230" s="23"/>
      <c r="AM230" s="127" t="b">
        <f>IF(INDEX($AO230:$BM230,0,$F$14)=1,TRUE,FALSE)</f>
        <v>0</v>
      </c>
      <c r="AN230" s="127" t="str">
        <f>IF(AM230,A230&amp;", "&amp;B230,"")</f>
        <v/>
      </c>
      <c r="AO230" s="129">
        <v>1</v>
      </c>
      <c r="AP230" s="129">
        <v>1</v>
      </c>
      <c r="AQ230" s="129"/>
      <c r="AR230" s="129"/>
      <c r="AS230" s="129"/>
      <c r="AT230" s="129"/>
      <c r="AU230" s="129"/>
      <c r="AV230" s="129"/>
      <c r="AW230" s="129"/>
      <c r="AX230" s="197"/>
      <c r="AY230" s="197"/>
      <c r="AZ230" s="197"/>
      <c r="BA230" s="197"/>
      <c r="BB230" s="129"/>
      <c r="BC230" s="129"/>
      <c r="BD230" s="129"/>
      <c r="BE230" s="129"/>
      <c r="BF230" s="129"/>
      <c r="BG230" s="129"/>
      <c r="BH230" s="129"/>
      <c r="BI230" s="129"/>
      <c r="BJ230" s="129"/>
      <c r="BK230" s="129"/>
      <c r="BL230" s="129"/>
      <c r="BM230" s="197"/>
    </row>
    <row r="231" spans="1:65" x14ac:dyDescent="0.25">
      <c r="A231" s="121" t="s">
        <v>149</v>
      </c>
      <c r="B231" s="121" t="s">
        <v>25</v>
      </c>
      <c r="C231" s="172" t="s">
        <v>222</v>
      </c>
      <c r="D231" s="161">
        <v>1</v>
      </c>
      <c r="E231" s="29" t="str">
        <f>INDEX(ra_ScName,MATCH(D231,ra_ScNumber,0))</f>
        <v>Expected nominal return (incl forecast asset revaluations)</v>
      </c>
      <c r="F231" s="54"/>
      <c r="G231" s="54"/>
      <c r="H231" s="54"/>
      <c r="I231" s="54"/>
      <c r="J231" s="54"/>
      <c r="K231" s="54"/>
      <c r="L231" s="54"/>
      <c r="M231" s="54"/>
      <c r="N231" s="54"/>
      <c r="O231" s="54"/>
      <c r="P231" s="54"/>
      <c r="Q231" s="54"/>
      <c r="R231" s="54"/>
      <c r="S231" s="54"/>
      <c r="T231" s="54"/>
      <c r="U231" s="54"/>
      <c r="V231" s="54"/>
      <c r="W231" s="54"/>
      <c r="X231" s="54"/>
      <c r="Y231" s="54"/>
      <c r="Z231" s="54"/>
      <c r="AA231" s="54"/>
      <c r="AB231" s="54"/>
      <c r="AC231" s="54"/>
      <c r="AD231" s="54"/>
      <c r="AE231" s="54"/>
      <c r="AF231" s="54"/>
      <c r="AG231" s="54"/>
      <c r="AH231" s="54"/>
      <c r="AI231" s="117">
        <f t="shared" si="6"/>
        <v>0</v>
      </c>
      <c r="AJ231" s="117">
        <f>SUM(F231:U231)</f>
        <v>0</v>
      </c>
      <c r="AK231" s="117">
        <f t="shared" si="7"/>
        <v>0</v>
      </c>
      <c r="AL231" s="23"/>
      <c r="AM231" s="127" t="b">
        <f>IF(INDEX($AO231:$BM231,0,$F$14)=1,TRUE,FALSE)</f>
        <v>0</v>
      </c>
      <c r="AN231" s="127" t="str">
        <f>IF(AM231,A231&amp;", "&amp;B231,"")</f>
        <v/>
      </c>
      <c r="AO231" s="129">
        <v>1</v>
      </c>
      <c r="AP231" s="129">
        <v>1</v>
      </c>
      <c r="AQ231" s="129"/>
      <c r="AR231" s="129"/>
      <c r="AS231" s="129"/>
      <c r="AT231" s="129"/>
      <c r="AU231" s="129"/>
      <c r="AV231" s="129"/>
      <c r="AW231" s="129"/>
      <c r="AX231" s="197"/>
      <c r="AY231" s="197"/>
      <c r="AZ231" s="197"/>
      <c r="BA231" s="197"/>
      <c r="BB231" s="129"/>
      <c r="BC231" s="129"/>
      <c r="BD231" s="129"/>
      <c r="BE231" s="129"/>
      <c r="BF231" s="129"/>
      <c r="BG231" s="129"/>
      <c r="BH231" s="129"/>
      <c r="BI231" s="129"/>
      <c r="BJ231" s="129"/>
      <c r="BK231" s="129"/>
      <c r="BL231" s="129"/>
      <c r="BM231" s="197"/>
    </row>
    <row r="232" spans="1:65" x14ac:dyDescent="0.25">
      <c r="A232" s="121" t="s">
        <v>149</v>
      </c>
      <c r="B232" s="121" t="s">
        <v>26</v>
      </c>
      <c r="C232" s="172" t="s">
        <v>222</v>
      </c>
      <c r="D232" s="161">
        <v>1</v>
      </c>
      <c r="E232" s="29" t="str">
        <f>INDEX(ra_ScName,MATCH(D232,ra_ScNumber,0))</f>
        <v>Expected nominal return (incl forecast asset revaluations)</v>
      </c>
      <c r="F232" s="54"/>
      <c r="G232" s="54"/>
      <c r="H232" s="54"/>
      <c r="I232" s="54"/>
      <c r="J232" s="54"/>
      <c r="K232" s="54"/>
      <c r="L232" s="54"/>
      <c r="M232" s="54"/>
      <c r="N232" s="54"/>
      <c r="O232" s="54"/>
      <c r="P232" s="54"/>
      <c r="Q232" s="54"/>
      <c r="R232" s="54"/>
      <c r="S232" s="54"/>
      <c r="T232" s="54"/>
      <c r="U232" s="54"/>
      <c r="V232" s="54"/>
      <c r="W232" s="54"/>
      <c r="X232" s="54"/>
      <c r="Y232" s="54"/>
      <c r="Z232" s="54"/>
      <c r="AA232" s="54"/>
      <c r="AB232" s="54"/>
      <c r="AC232" s="54"/>
      <c r="AD232" s="54"/>
      <c r="AE232" s="54"/>
      <c r="AF232" s="54"/>
      <c r="AG232" s="54"/>
      <c r="AH232" s="54"/>
      <c r="AI232" s="117">
        <f t="shared" si="6"/>
        <v>0</v>
      </c>
      <c r="AJ232" s="117">
        <f>SUM(F232:U232)</f>
        <v>0</v>
      </c>
      <c r="AK232" s="117">
        <f t="shared" si="7"/>
        <v>0</v>
      </c>
      <c r="AL232" s="23"/>
      <c r="AM232" s="127" t="b">
        <f>IF(INDEX($AO232:$BM232,0,$F$14)=1,TRUE,FALSE)</f>
        <v>0</v>
      </c>
      <c r="AN232" s="127" t="str">
        <f>IF(AM232,A232&amp;", "&amp;B232,"")</f>
        <v/>
      </c>
      <c r="AO232" s="129">
        <v>1</v>
      </c>
      <c r="AP232" s="129">
        <v>1</v>
      </c>
      <c r="AQ232" s="129"/>
      <c r="AR232" s="129"/>
      <c r="AS232" s="129"/>
      <c r="AT232" s="129"/>
      <c r="AU232" s="129"/>
      <c r="AV232" s="129"/>
      <c r="AW232" s="129"/>
      <c r="AX232" s="197"/>
      <c r="AY232" s="197"/>
      <c r="AZ232" s="197"/>
      <c r="BA232" s="197"/>
      <c r="BB232" s="129"/>
      <c r="BC232" s="129"/>
      <c r="BD232" s="129"/>
      <c r="BE232" s="129"/>
      <c r="BF232" s="129"/>
      <c r="BG232" s="129"/>
      <c r="BH232" s="129"/>
      <c r="BI232" s="129"/>
      <c r="BJ232" s="129"/>
      <c r="BK232" s="129"/>
      <c r="BL232" s="129"/>
      <c r="BM232" s="197"/>
    </row>
    <row r="233" spans="1:65" x14ac:dyDescent="0.25">
      <c r="A233" s="121" t="s">
        <v>149</v>
      </c>
      <c r="B233" s="121" t="s">
        <v>27</v>
      </c>
      <c r="C233" s="172" t="s">
        <v>222</v>
      </c>
      <c r="D233" s="161">
        <v>1</v>
      </c>
      <c r="E233" s="29" t="str">
        <f>INDEX(ra_ScName,MATCH(D233,ra_ScNumber,0))</f>
        <v>Expected nominal return (incl forecast asset revaluations)</v>
      </c>
      <c r="F233" s="54"/>
      <c r="G233" s="54"/>
      <c r="H233" s="54"/>
      <c r="I233" s="54"/>
      <c r="J233" s="54"/>
      <c r="K233" s="54"/>
      <c r="L233" s="54"/>
      <c r="M233" s="54"/>
      <c r="N233" s="54"/>
      <c r="O233" s="54"/>
      <c r="P233" s="54"/>
      <c r="Q233" s="54"/>
      <c r="R233" s="54"/>
      <c r="S233" s="54"/>
      <c r="T233" s="54"/>
      <c r="U233" s="54"/>
      <c r="V233" s="54"/>
      <c r="W233" s="54"/>
      <c r="X233" s="54"/>
      <c r="Y233" s="54"/>
      <c r="Z233" s="54"/>
      <c r="AA233" s="54"/>
      <c r="AB233" s="54"/>
      <c r="AC233" s="54"/>
      <c r="AD233" s="54"/>
      <c r="AE233" s="54"/>
      <c r="AF233" s="54"/>
      <c r="AG233" s="54"/>
      <c r="AH233" s="54"/>
      <c r="AI233" s="117">
        <f t="shared" si="6"/>
        <v>0</v>
      </c>
      <c r="AJ233" s="117">
        <f>SUM(F233:U233)</f>
        <v>0</v>
      </c>
      <c r="AK233" s="117">
        <f t="shared" si="7"/>
        <v>0</v>
      </c>
      <c r="AL233" s="23"/>
      <c r="AM233" s="127" t="b">
        <f>IF(INDEX($AO233:$BM233,0,$F$14)=1,TRUE,FALSE)</f>
        <v>0</v>
      </c>
      <c r="AN233" s="127" t="str">
        <f>IF(AM233,A233&amp;", "&amp;B233,"")</f>
        <v/>
      </c>
      <c r="AO233" s="129">
        <v>1</v>
      </c>
      <c r="AP233" s="129">
        <v>1</v>
      </c>
      <c r="AQ233" s="129"/>
      <c r="AR233" s="129"/>
      <c r="AS233" s="129"/>
      <c r="AT233" s="129"/>
      <c r="AU233" s="129"/>
      <c r="AV233" s="129"/>
      <c r="AW233" s="129"/>
      <c r="AX233" s="197"/>
      <c r="AY233" s="197"/>
      <c r="AZ233" s="197"/>
      <c r="BA233" s="197"/>
      <c r="BB233" s="129"/>
      <c r="BC233" s="129"/>
      <c r="BD233" s="129"/>
      <c r="BE233" s="129"/>
      <c r="BF233" s="129"/>
      <c r="BG233" s="129"/>
      <c r="BH233" s="129"/>
      <c r="BI233" s="129"/>
      <c r="BJ233" s="129"/>
      <c r="BK233" s="129"/>
      <c r="BL233" s="129"/>
      <c r="BM233" s="197"/>
    </row>
    <row r="234" spans="1:65" x14ac:dyDescent="0.25">
      <c r="A234" s="121"/>
      <c r="B234" s="121"/>
      <c r="C234" s="172"/>
      <c r="D234" s="49"/>
      <c r="E234" s="49"/>
      <c r="F234" s="54"/>
      <c r="G234" s="54"/>
      <c r="H234" s="54"/>
      <c r="I234" s="54"/>
      <c r="J234" s="54"/>
      <c r="K234" s="54"/>
      <c r="L234" s="54"/>
      <c r="M234" s="54"/>
      <c r="N234" s="54"/>
      <c r="O234" s="54"/>
      <c r="P234" s="54"/>
      <c r="Q234" s="54"/>
      <c r="R234" s="54"/>
      <c r="S234" s="54"/>
      <c r="T234" s="54"/>
      <c r="U234" s="54"/>
      <c r="V234" s="54"/>
      <c r="W234" s="54"/>
      <c r="X234" s="54"/>
      <c r="Y234" s="54"/>
      <c r="Z234" s="54"/>
      <c r="AA234" s="54"/>
      <c r="AB234" s="54"/>
      <c r="AC234" s="54"/>
      <c r="AD234" s="54"/>
      <c r="AE234" s="54"/>
      <c r="AF234" s="54"/>
      <c r="AG234" s="54"/>
      <c r="AH234" s="54"/>
      <c r="AI234" s="54"/>
      <c r="AJ234" s="54"/>
      <c r="AK234" s="54"/>
      <c r="AL234" s="23"/>
      <c r="AM234" s="127"/>
      <c r="AN234" s="127"/>
      <c r="AO234" s="129"/>
      <c r="AP234" s="129"/>
      <c r="AQ234" s="129"/>
      <c r="AR234" s="129"/>
      <c r="AS234" s="129"/>
      <c r="AT234" s="129"/>
      <c r="AU234" s="129"/>
      <c r="AV234" s="129"/>
      <c r="AW234" s="129"/>
      <c r="AX234" s="197"/>
      <c r="AY234" s="197"/>
      <c r="AZ234" s="197"/>
      <c r="BA234" s="197"/>
      <c r="BB234" s="129"/>
      <c r="BC234" s="129"/>
      <c r="BD234" s="129"/>
      <c r="BE234" s="129"/>
      <c r="BF234" s="129"/>
      <c r="BG234" s="129"/>
      <c r="BH234" s="129"/>
      <c r="BI234" s="129"/>
      <c r="BJ234" s="129"/>
      <c r="BK234" s="129"/>
      <c r="BL234" s="129"/>
      <c r="BM234" s="197"/>
    </row>
    <row r="235" spans="1:65" x14ac:dyDescent="0.25">
      <c r="A235" s="121"/>
      <c r="B235" s="121"/>
      <c r="C235" s="172"/>
      <c r="D235" s="46"/>
      <c r="E235" s="46"/>
      <c r="F235" s="54"/>
      <c r="G235" s="54"/>
      <c r="H235" s="54"/>
      <c r="I235" s="54"/>
      <c r="J235" s="54"/>
      <c r="K235" s="54"/>
      <c r="L235" s="54"/>
      <c r="M235" s="54"/>
      <c r="N235" s="54"/>
      <c r="O235" s="54"/>
      <c r="P235" s="54"/>
      <c r="Q235" s="54"/>
      <c r="R235" s="54"/>
      <c r="S235" s="54"/>
      <c r="T235" s="54"/>
      <c r="U235" s="54"/>
      <c r="V235" s="54"/>
      <c r="W235" s="54"/>
      <c r="X235" s="54"/>
      <c r="Y235" s="54"/>
      <c r="Z235" s="54"/>
      <c r="AA235" s="54"/>
      <c r="AB235" s="54"/>
      <c r="AC235" s="54"/>
      <c r="AD235" s="54"/>
      <c r="AE235" s="54"/>
      <c r="AF235" s="54"/>
      <c r="AG235" s="54"/>
      <c r="AH235" s="54"/>
      <c r="AI235" s="54"/>
      <c r="AJ235" s="54"/>
      <c r="AK235" s="54"/>
      <c r="AL235" s="23"/>
      <c r="AM235" s="127"/>
      <c r="AN235" s="127"/>
      <c r="AO235" s="129"/>
      <c r="AP235" s="129"/>
      <c r="AQ235" s="129"/>
      <c r="AR235" s="129"/>
      <c r="AS235" s="129"/>
      <c r="AT235" s="129"/>
      <c r="AU235" s="129"/>
      <c r="AV235" s="129"/>
      <c r="AW235" s="129"/>
      <c r="AX235" s="197"/>
      <c r="AY235" s="197"/>
      <c r="AZ235" s="197"/>
      <c r="BA235" s="197"/>
      <c r="BB235" s="129"/>
      <c r="BC235" s="129"/>
      <c r="BD235" s="129"/>
      <c r="BE235" s="129"/>
      <c r="BF235" s="129"/>
      <c r="BG235" s="129"/>
      <c r="BH235" s="129"/>
      <c r="BI235" s="129"/>
      <c r="BJ235" s="129"/>
      <c r="BK235" s="129"/>
      <c r="BL235" s="129"/>
      <c r="BM235" s="197"/>
    </row>
    <row r="236" spans="1:65" x14ac:dyDescent="0.25">
      <c r="A236" s="121" t="s">
        <v>149</v>
      </c>
      <c r="B236" s="121" t="s">
        <v>23</v>
      </c>
      <c r="C236" s="172" t="s">
        <v>222</v>
      </c>
      <c r="D236" s="161">
        <v>10</v>
      </c>
      <c r="E236" s="29" t="str">
        <f>INDEX(ra_ScName,MATCH(D236,ra_ScNumber,0))</f>
        <v>Disclosed nominal return (incl actual asset revaluations)</v>
      </c>
      <c r="F236" s="122">
        <v>0</v>
      </c>
      <c r="G236" s="122">
        <v>0</v>
      </c>
      <c r="H236" s="122">
        <v>0</v>
      </c>
      <c r="I236" s="122">
        <v>0</v>
      </c>
      <c r="J236" s="122">
        <v>0</v>
      </c>
      <c r="K236" s="122">
        <v>0</v>
      </c>
      <c r="L236" s="122">
        <v>0</v>
      </c>
      <c r="M236" s="122">
        <v>0</v>
      </c>
      <c r="N236" s="122">
        <v>0</v>
      </c>
      <c r="O236" s="122">
        <v>0</v>
      </c>
      <c r="P236" s="122">
        <v>0</v>
      </c>
      <c r="Q236" s="122">
        <v>0</v>
      </c>
      <c r="R236" s="122">
        <v>0</v>
      </c>
      <c r="S236" s="122">
        <v>0</v>
      </c>
      <c r="T236" s="122">
        <v>0</v>
      </c>
      <c r="U236" s="122">
        <v>0</v>
      </c>
      <c r="V236" s="122">
        <v>0</v>
      </c>
      <c r="W236" s="122">
        <v>0</v>
      </c>
      <c r="X236" s="122">
        <v>0</v>
      </c>
      <c r="Y236" s="122">
        <v>0</v>
      </c>
      <c r="Z236" s="122">
        <v>0</v>
      </c>
      <c r="AA236" s="122">
        <v>0</v>
      </c>
      <c r="AB236" s="122">
        <v>0</v>
      </c>
      <c r="AC236" s="122">
        <v>0</v>
      </c>
      <c r="AD236" s="122">
        <v>0</v>
      </c>
      <c r="AE236" s="122">
        <v>0</v>
      </c>
      <c r="AF236" s="122">
        <v>0</v>
      </c>
      <c r="AG236" s="122">
        <v>0</v>
      </c>
      <c r="AH236" s="122">
        <v>0</v>
      </c>
      <c r="AI236" s="117">
        <f t="shared" si="6"/>
        <v>0</v>
      </c>
      <c r="AJ236" s="117">
        <f>SUM(F236:U236)</f>
        <v>0</v>
      </c>
      <c r="AK236" s="117">
        <f t="shared" si="7"/>
        <v>0</v>
      </c>
      <c r="AL236" s="23"/>
      <c r="AM236" s="127" t="b">
        <f>IF(INDEX($AO236:$BM236,0,$F$14)=1,TRUE,FALSE)</f>
        <v>1</v>
      </c>
      <c r="AN236" s="127" t="str">
        <f>IF(AM236,A236&amp;", "&amp;B236,"")</f>
        <v>Extended reserves allowance, 2010/11</v>
      </c>
      <c r="AO236" s="129"/>
      <c r="AP236" s="129"/>
      <c r="AQ236" s="129">
        <v>1</v>
      </c>
      <c r="AR236" s="129">
        <v>1</v>
      </c>
      <c r="AS236" s="129">
        <v>1</v>
      </c>
      <c r="AT236" s="129">
        <v>1</v>
      </c>
      <c r="AU236" s="129">
        <v>1</v>
      </c>
      <c r="AV236" s="129">
        <v>1</v>
      </c>
      <c r="AW236" s="129">
        <v>1</v>
      </c>
      <c r="AX236" s="197">
        <v>1</v>
      </c>
      <c r="AY236" s="197">
        <v>1</v>
      </c>
      <c r="AZ236" s="197">
        <v>1</v>
      </c>
      <c r="BA236" s="197">
        <v>1</v>
      </c>
      <c r="BB236" s="129">
        <v>1</v>
      </c>
      <c r="BC236" s="129">
        <v>1</v>
      </c>
      <c r="BD236" s="129">
        <v>1</v>
      </c>
      <c r="BE236" s="129">
        <v>1</v>
      </c>
      <c r="BF236" s="129">
        <v>1</v>
      </c>
      <c r="BG236" s="129">
        <v>1</v>
      </c>
      <c r="BH236" s="129">
        <v>1</v>
      </c>
      <c r="BI236" s="129">
        <v>1</v>
      </c>
      <c r="BJ236" s="129">
        <v>1</v>
      </c>
      <c r="BK236" s="129">
        <v>1</v>
      </c>
      <c r="BL236" s="129">
        <v>1</v>
      </c>
      <c r="BM236" s="197">
        <v>1</v>
      </c>
    </row>
    <row r="237" spans="1:65" x14ac:dyDescent="0.25">
      <c r="A237" s="121" t="s">
        <v>149</v>
      </c>
      <c r="B237" s="121" t="s">
        <v>24</v>
      </c>
      <c r="C237" s="172" t="s">
        <v>222</v>
      </c>
      <c r="D237" s="161">
        <v>10</v>
      </c>
      <c r="E237" s="29" t="str">
        <f>INDEX(ra_ScName,MATCH(D237,ra_ScNumber,0))</f>
        <v>Disclosed nominal return (incl actual asset revaluations)</v>
      </c>
      <c r="F237" s="122">
        <v>0</v>
      </c>
      <c r="G237" s="122">
        <v>0</v>
      </c>
      <c r="H237" s="122">
        <v>0</v>
      </c>
      <c r="I237" s="122">
        <v>0</v>
      </c>
      <c r="J237" s="122">
        <v>0</v>
      </c>
      <c r="K237" s="122">
        <v>0</v>
      </c>
      <c r="L237" s="122">
        <v>0</v>
      </c>
      <c r="M237" s="122">
        <v>0</v>
      </c>
      <c r="N237" s="122">
        <v>0</v>
      </c>
      <c r="O237" s="122">
        <v>0</v>
      </c>
      <c r="P237" s="122">
        <v>0</v>
      </c>
      <c r="Q237" s="122">
        <v>0</v>
      </c>
      <c r="R237" s="122">
        <v>0</v>
      </c>
      <c r="S237" s="122">
        <v>0</v>
      </c>
      <c r="T237" s="122">
        <v>0</v>
      </c>
      <c r="U237" s="122">
        <v>0</v>
      </c>
      <c r="V237" s="122">
        <v>0</v>
      </c>
      <c r="W237" s="122">
        <v>0</v>
      </c>
      <c r="X237" s="122">
        <v>0</v>
      </c>
      <c r="Y237" s="122">
        <v>0</v>
      </c>
      <c r="Z237" s="122">
        <v>0</v>
      </c>
      <c r="AA237" s="122">
        <v>0</v>
      </c>
      <c r="AB237" s="122">
        <v>0</v>
      </c>
      <c r="AC237" s="122">
        <v>0</v>
      </c>
      <c r="AD237" s="122">
        <v>0</v>
      </c>
      <c r="AE237" s="122">
        <v>0</v>
      </c>
      <c r="AF237" s="122">
        <v>0</v>
      </c>
      <c r="AG237" s="122">
        <v>0</v>
      </c>
      <c r="AH237" s="122">
        <v>0</v>
      </c>
      <c r="AI237" s="117">
        <f t="shared" si="6"/>
        <v>0</v>
      </c>
      <c r="AJ237" s="117">
        <f>SUM(F237:U237)</f>
        <v>0</v>
      </c>
      <c r="AK237" s="117">
        <f t="shared" si="7"/>
        <v>0</v>
      </c>
      <c r="AL237" s="23"/>
      <c r="AM237" s="127" t="b">
        <f>IF(INDEX($AO237:$BM237,0,$F$14)=1,TRUE,FALSE)</f>
        <v>1</v>
      </c>
      <c r="AN237" s="127" t="str">
        <f>IF(AM237,A237&amp;", "&amp;B237,"")</f>
        <v>Extended reserves allowance, 2011/12</v>
      </c>
      <c r="AO237" s="129"/>
      <c r="AP237" s="129"/>
      <c r="AQ237" s="129">
        <v>1</v>
      </c>
      <c r="AR237" s="129">
        <v>1</v>
      </c>
      <c r="AS237" s="129">
        <v>1</v>
      </c>
      <c r="AT237" s="129">
        <v>1</v>
      </c>
      <c r="AU237" s="129">
        <v>1</v>
      </c>
      <c r="AV237" s="129">
        <v>1</v>
      </c>
      <c r="AW237" s="129">
        <v>1</v>
      </c>
      <c r="AX237" s="197">
        <v>1</v>
      </c>
      <c r="AY237" s="197">
        <v>1</v>
      </c>
      <c r="AZ237" s="197">
        <v>1</v>
      </c>
      <c r="BA237" s="197">
        <v>1</v>
      </c>
      <c r="BB237" s="129">
        <v>1</v>
      </c>
      <c r="BC237" s="129">
        <v>1</v>
      </c>
      <c r="BD237" s="129">
        <v>1</v>
      </c>
      <c r="BE237" s="129">
        <v>1</v>
      </c>
      <c r="BF237" s="129">
        <v>1</v>
      </c>
      <c r="BG237" s="129">
        <v>1</v>
      </c>
      <c r="BH237" s="129">
        <v>1</v>
      </c>
      <c r="BI237" s="129">
        <v>1</v>
      </c>
      <c r="BJ237" s="129">
        <v>1</v>
      </c>
      <c r="BK237" s="129">
        <v>1</v>
      </c>
      <c r="BL237" s="129">
        <v>1</v>
      </c>
      <c r="BM237" s="197">
        <v>1</v>
      </c>
    </row>
    <row r="238" spans="1:65" x14ac:dyDescent="0.25">
      <c r="A238" s="121" t="s">
        <v>149</v>
      </c>
      <c r="B238" s="121" t="s">
        <v>25</v>
      </c>
      <c r="C238" s="172" t="s">
        <v>222</v>
      </c>
      <c r="D238" s="161">
        <v>10</v>
      </c>
      <c r="E238" s="29" t="str">
        <f>INDEX(ra_ScName,MATCH(D238,ra_ScNumber,0))</f>
        <v>Disclosed nominal return (incl actual asset revaluations)</v>
      </c>
      <c r="F238" s="122">
        <v>0</v>
      </c>
      <c r="G238" s="122">
        <v>0</v>
      </c>
      <c r="H238" s="122">
        <v>0</v>
      </c>
      <c r="I238" s="122">
        <v>0</v>
      </c>
      <c r="J238" s="122">
        <v>0</v>
      </c>
      <c r="K238" s="122">
        <v>0</v>
      </c>
      <c r="L238" s="122">
        <v>0</v>
      </c>
      <c r="M238" s="122">
        <v>0</v>
      </c>
      <c r="N238" s="122">
        <v>0</v>
      </c>
      <c r="O238" s="122">
        <v>0</v>
      </c>
      <c r="P238" s="122">
        <v>0</v>
      </c>
      <c r="Q238" s="122">
        <v>0</v>
      </c>
      <c r="R238" s="122">
        <v>0</v>
      </c>
      <c r="S238" s="122">
        <v>0</v>
      </c>
      <c r="T238" s="122">
        <v>0</v>
      </c>
      <c r="U238" s="122">
        <v>0</v>
      </c>
      <c r="V238" s="122">
        <v>0</v>
      </c>
      <c r="W238" s="122">
        <v>0</v>
      </c>
      <c r="X238" s="122">
        <v>0</v>
      </c>
      <c r="Y238" s="122">
        <v>0</v>
      </c>
      <c r="Z238" s="122">
        <v>0</v>
      </c>
      <c r="AA238" s="122">
        <v>0</v>
      </c>
      <c r="AB238" s="122">
        <v>0</v>
      </c>
      <c r="AC238" s="122">
        <v>0</v>
      </c>
      <c r="AD238" s="122">
        <v>0</v>
      </c>
      <c r="AE238" s="122">
        <v>0</v>
      </c>
      <c r="AF238" s="122">
        <v>0</v>
      </c>
      <c r="AG238" s="122">
        <v>0</v>
      </c>
      <c r="AH238" s="122">
        <v>0</v>
      </c>
      <c r="AI238" s="117">
        <f t="shared" si="6"/>
        <v>0</v>
      </c>
      <c r="AJ238" s="117">
        <f>SUM(F238:U238)</f>
        <v>0</v>
      </c>
      <c r="AK238" s="117">
        <f t="shared" si="7"/>
        <v>0</v>
      </c>
      <c r="AL238" s="23"/>
      <c r="AM238" s="127" t="b">
        <f>IF(INDEX($AO238:$BM238,0,$F$14)=1,TRUE,FALSE)</f>
        <v>1</v>
      </c>
      <c r="AN238" s="127" t="str">
        <f>IF(AM238,A238&amp;", "&amp;B238,"")</f>
        <v>Extended reserves allowance, 2012/13</v>
      </c>
      <c r="AO238" s="129"/>
      <c r="AP238" s="129"/>
      <c r="AQ238" s="129">
        <v>1</v>
      </c>
      <c r="AR238" s="129">
        <v>1</v>
      </c>
      <c r="AS238" s="129">
        <v>1</v>
      </c>
      <c r="AT238" s="129">
        <v>1</v>
      </c>
      <c r="AU238" s="129">
        <v>1</v>
      </c>
      <c r="AV238" s="129">
        <v>1</v>
      </c>
      <c r="AW238" s="129">
        <v>1</v>
      </c>
      <c r="AX238" s="197">
        <v>1</v>
      </c>
      <c r="AY238" s="197">
        <v>1</v>
      </c>
      <c r="AZ238" s="197">
        <v>1</v>
      </c>
      <c r="BA238" s="197">
        <v>1</v>
      </c>
      <c r="BB238" s="129">
        <v>1</v>
      </c>
      <c r="BC238" s="129">
        <v>1</v>
      </c>
      <c r="BD238" s="129">
        <v>1</v>
      </c>
      <c r="BE238" s="129">
        <v>1</v>
      </c>
      <c r="BF238" s="129">
        <v>1</v>
      </c>
      <c r="BG238" s="129">
        <v>1</v>
      </c>
      <c r="BH238" s="129">
        <v>1</v>
      </c>
      <c r="BI238" s="129">
        <v>1</v>
      </c>
      <c r="BJ238" s="129">
        <v>1</v>
      </c>
      <c r="BK238" s="129">
        <v>1</v>
      </c>
      <c r="BL238" s="129">
        <v>1</v>
      </c>
      <c r="BM238" s="197">
        <v>1</v>
      </c>
    </row>
    <row r="239" spans="1:65" x14ac:dyDescent="0.25">
      <c r="A239" s="121" t="s">
        <v>149</v>
      </c>
      <c r="B239" s="121" t="s">
        <v>26</v>
      </c>
      <c r="C239" s="172" t="s">
        <v>222</v>
      </c>
      <c r="D239" s="161">
        <v>10</v>
      </c>
      <c r="E239" s="29" t="str">
        <f>INDEX(ra_ScName,MATCH(D239,ra_ScNumber,0))</f>
        <v>Disclosed nominal return (incl actual asset revaluations)</v>
      </c>
      <c r="F239" s="122">
        <v>0</v>
      </c>
      <c r="G239" s="122">
        <v>0</v>
      </c>
      <c r="H239" s="122">
        <v>0</v>
      </c>
      <c r="I239" s="122">
        <v>0</v>
      </c>
      <c r="J239" s="122">
        <v>0</v>
      </c>
      <c r="K239" s="122">
        <v>0</v>
      </c>
      <c r="L239" s="122">
        <v>0</v>
      </c>
      <c r="M239" s="122">
        <v>0</v>
      </c>
      <c r="N239" s="122">
        <v>0</v>
      </c>
      <c r="O239" s="122">
        <v>0</v>
      </c>
      <c r="P239" s="122">
        <v>0</v>
      </c>
      <c r="Q239" s="122">
        <v>0</v>
      </c>
      <c r="R239" s="122">
        <v>0</v>
      </c>
      <c r="S239" s="122">
        <v>0</v>
      </c>
      <c r="T239" s="122">
        <v>0</v>
      </c>
      <c r="U239" s="122">
        <v>0</v>
      </c>
      <c r="V239" s="122">
        <v>0</v>
      </c>
      <c r="W239" s="122">
        <v>0</v>
      </c>
      <c r="X239" s="122">
        <v>0</v>
      </c>
      <c r="Y239" s="122">
        <v>0</v>
      </c>
      <c r="Z239" s="122">
        <v>0</v>
      </c>
      <c r="AA239" s="122">
        <v>0</v>
      </c>
      <c r="AB239" s="122">
        <v>0</v>
      </c>
      <c r="AC239" s="122">
        <v>0</v>
      </c>
      <c r="AD239" s="122">
        <v>0</v>
      </c>
      <c r="AE239" s="122">
        <v>0</v>
      </c>
      <c r="AF239" s="122">
        <v>0</v>
      </c>
      <c r="AG239" s="122">
        <v>0</v>
      </c>
      <c r="AH239" s="122">
        <v>0</v>
      </c>
      <c r="AI239" s="117">
        <f t="shared" si="6"/>
        <v>0</v>
      </c>
      <c r="AJ239" s="117">
        <f>SUM(F239:U239)</f>
        <v>0</v>
      </c>
      <c r="AK239" s="117">
        <f t="shared" si="7"/>
        <v>0</v>
      </c>
      <c r="AL239" s="23"/>
      <c r="AM239" s="127" t="b">
        <f>IF(INDEX($AO239:$BM239,0,$F$14)=1,TRUE,FALSE)</f>
        <v>1</v>
      </c>
      <c r="AN239" s="127" t="str">
        <f>IF(AM239,A239&amp;", "&amp;B239,"")</f>
        <v>Extended reserves allowance, 2013/14</v>
      </c>
      <c r="AO239" s="129"/>
      <c r="AP239" s="129"/>
      <c r="AQ239" s="129">
        <v>1</v>
      </c>
      <c r="AR239" s="129">
        <v>1</v>
      </c>
      <c r="AS239" s="129">
        <v>1</v>
      </c>
      <c r="AT239" s="129">
        <v>1</v>
      </c>
      <c r="AU239" s="129">
        <v>1</v>
      </c>
      <c r="AV239" s="129">
        <v>1</v>
      </c>
      <c r="AW239" s="129">
        <v>1</v>
      </c>
      <c r="AX239" s="197">
        <v>1</v>
      </c>
      <c r="AY239" s="197">
        <v>1</v>
      </c>
      <c r="AZ239" s="197">
        <v>1</v>
      </c>
      <c r="BA239" s="197">
        <v>1</v>
      </c>
      <c r="BB239" s="129">
        <v>1</v>
      </c>
      <c r="BC239" s="129">
        <v>1</v>
      </c>
      <c r="BD239" s="129">
        <v>1</v>
      </c>
      <c r="BE239" s="129">
        <v>1</v>
      </c>
      <c r="BF239" s="129">
        <v>1</v>
      </c>
      <c r="BG239" s="129">
        <v>1</v>
      </c>
      <c r="BH239" s="129">
        <v>1</v>
      </c>
      <c r="BI239" s="129">
        <v>1</v>
      </c>
      <c r="BJ239" s="129">
        <v>1</v>
      </c>
      <c r="BK239" s="129">
        <v>1</v>
      </c>
      <c r="BL239" s="129">
        <v>1</v>
      </c>
      <c r="BM239" s="197">
        <v>1</v>
      </c>
    </row>
    <row r="240" spans="1:65" x14ac:dyDescent="0.25">
      <c r="A240" s="121" t="s">
        <v>149</v>
      </c>
      <c r="B240" s="121" t="s">
        <v>27</v>
      </c>
      <c r="C240" s="172" t="s">
        <v>222</v>
      </c>
      <c r="D240" s="161">
        <v>10</v>
      </c>
      <c r="E240" s="29" t="str">
        <f>INDEX(ra_ScName,MATCH(D240,ra_ScNumber,0))</f>
        <v>Disclosed nominal return (incl actual asset revaluations)</v>
      </c>
      <c r="F240" s="122">
        <v>0</v>
      </c>
      <c r="G240" s="122">
        <v>0</v>
      </c>
      <c r="H240" s="122">
        <v>0</v>
      </c>
      <c r="I240" s="122">
        <v>0</v>
      </c>
      <c r="J240" s="122">
        <v>0</v>
      </c>
      <c r="K240" s="122">
        <v>0</v>
      </c>
      <c r="L240" s="122">
        <v>0</v>
      </c>
      <c r="M240" s="122">
        <v>0</v>
      </c>
      <c r="N240" s="122">
        <v>0</v>
      </c>
      <c r="O240" s="122">
        <v>0</v>
      </c>
      <c r="P240" s="122">
        <v>0</v>
      </c>
      <c r="Q240" s="122">
        <v>0</v>
      </c>
      <c r="R240" s="122">
        <v>0</v>
      </c>
      <c r="S240" s="122">
        <v>0</v>
      </c>
      <c r="T240" s="122">
        <v>0</v>
      </c>
      <c r="U240" s="122">
        <v>0</v>
      </c>
      <c r="V240" s="122">
        <v>0</v>
      </c>
      <c r="W240" s="122">
        <v>0</v>
      </c>
      <c r="X240" s="122">
        <v>0</v>
      </c>
      <c r="Y240" s="122">
        <v>0</v>
      </c>
      <c r="Z240" s="122">
        <v>0</v>
      </c>
      <c r="AA240" s="122">
        <v>0</v>
      </c>
      <c r="AB240" s="122">
        <v>0</v>
      </c>
      <c r="AC240" s="122">
        <v>0</v>
      </c>
      <c r="AD240" s="122">
        <v>0</v>
      </c>
      <c r="AE240" s="122">
        <v>0</v>
      </c>
      <c r="AF240" s="122">
        <v>0</v>
      </c>
      <c r="AG240" s="122">
        <v>0</v>
      </c>
      <c r="AH240" s="122">
        <v>0</v>
      </c>
      <c r="AI240" s="117">
        <f t="shared" si="6"/>
        <v>0</v>
      </c>
      <c r="AJ240" s="117">
        <f>SUM(F240:U240)</f>
        <v>0</v>
      </c>
      <c r="AK240" s="117">
        <f t="shared" si="7"/>
        <v>0</v>
      </c>
      <c r="AL240" s="23"/>
      <c r="AM240" s="127" t="b">
        <f>IF(INDEX($AO240:$BM240,0,$F$14)=1,TRUE,FALSE)</f>
        <v>1</v>
      </c>
      <c r="AN240" s="127" t="str">
        <f>IF(AM240,A240&amp;", "&amp;B240,"")</f>
        <v>Extended reserves allowance, 2014/15</v>
      </c>
      <c r="AO240" s="129"/>
      <c r="AP240" s="129"/>
      <c r="AQ240" s="129">
        <v>1</v>
      </c>
      <c r="AR240" s="129">
        <v>1</v>
      </c>
      <c r="AS240" s="129">
        <v>1</v>
      </c>
      <c r="AT240" s="129">
        <v>1</v>
      </c>
      <c r="AU240" s="129">
        <v>1</v>
      </c>
      <c r="AV240" s="129">
        <v>1</v>
      </c>
      <c r="AW240" s="129">
        <v>1</v>
      </c>
      <c r="AX240" s="197">
        <v>1</v>
      </c>
      <c r="AY240" s="197">
        <v>1</v>
      </c>
      <c r="AZ240" s="197">
        <v>1</v>
      </c>
      <c r="BA240" s="197">
        <v>1</v>
      </c>
      <c r="BB240" s="129">
        <v>1</v>
      </c>
      <c r="BC240" s="129">
        <v>1</v>
      </c>
      <c r="BD240" s="129">
        <v>1</v>
      </c>
      <c r="BE240" s="129">
        <v>1</v>
      </c>
      <c r="BF240" s="129">
        <v>1</v>
      </c>
      <c r="BG240" s="129">
        <v>1</v>
      </c>
      <c r="BH240" s="129">
        <v>1</v>
      </c>
      <c r="BI240" s="129">
        <v>1</v>
      </c>
      <c r="BJ240" s="129">
        <v>1</v>
      </c>
      <c r="BK240" s="129">
        <v>1</v>
      </c>
      <c r="BL240" s="129">
        <v>1</v>
      </c>
      <c r="BM240" s="197">
        <v>1</v>
      </c>
    </row>
    <row r="241" spans="1:65" x14ac:dyDescent="0.25">
      <c r="A241" s="121"/>
      <c r="B241" s="121"/>
      <c r="C241" s="172"/>
      <c r="D241" s="49"/>
      <c r="E241" s="49"/>
      <c r="F241" s="54"/>
      <c r="G241" s="54"/>
      <c r="H241" s="54"/>
      <c r="I241" s="54"/>
      <c r="J241" s="54"/>
      <c r="K241" s="54"/>
      <c r="L241" s="54"/>
      <c r="M241" s="54"/>
      <c r="N241" s="54"/>
      <c r="O241" s="54"/>
      <c r="P241" s="54"/>
      <c r="Q241" s="54"/>
      <c r="R241" s="54"/>
      <c r="S241" s="54"/>
      <c r="T241" s="54"/>
      <c r="U241" s="54"/>
      <c r="V241" s="54"/>
      <c r="W241" s="54"/>
      <c r="X241" s="54"/>
      <c r="Y241" s="54"/>
      <c r="Z241" s="54"/>
      <c r="AA241" s="54"/>
      <c r="AB241" s="54"/>
      <c r="AC241" s="54"/>
      <c r="AD241" s="54"/>
      <c r="AE241" s="54"/>
      <c r="AF241" s="54"/>
      <c r="AG241" s="54"/>
      <c r="AH241" s="54"/>
      <c r="AI241" s="54"/>
      <c r="AJ241" s="54"/>
      <c r="AK241" s="54"/>
      <c r="AL241" s="23"/>
      <c r="AM241" s="127"/>
      <c r="AN241" s="127"/>
      <c r="AO241" s="129"/>
      <c r="AP241" s="129"/>
      <c r="AQ241" s="129"/>
      <c r="AR241" s="129"/>
      <c r="AS241" s="129"/>
      <c r="AT241" s="129"/>
      <c r="AU241" s="129"/>
      <c r="AV241" s="129"/>
      <c r="AW241" s="129"/>
      <c r="AX241" s="197"/>
      <c r="AY241" s="197"/>
      <c r="AZ241" s="197"/>
      <c r="BA241" s="197"/>
      <c r="BB241" s="129"/>
      <c r="BC241" s="129"/>
      <c r="BD241" s="129"/>
      <c r="BE241" s="129"/>
      <c r="BF241" s="129"/>
      <c r="BG241" s="129"/>
      <c r="BH241" s="129"/>
      <c r="BI241" s="129"/>
      <c r="BJ241" s="129"/>
      <c r="BK241" s="129"/>
      <c r="BL241" s="129"/>
      <c r="BM241" s="197"/>
    </row>
    <row r="242" spans="1:65" x14ac:dyDescent="0.25">
      <c r="A242" s="121"/>
      <c r="B242" s="121"/>
      <c r="C242" s="172"/>
      <c r="D242" s="46"/>
      <c r="E242" s="46"/>
      <c r="F242" s="54"/>
      <c r="G242" s="54"/>
      <c r="H242" s="54"/>
      <c r="I242" s="54"/>
      <c r="J242" s="54"/>
      <c r="K242" s="54"/>
      <c r="L242" s="54"/>
      <c r="M242" s="54"/>
      <c r="N242" s="54"/>
      <c r="O242" s="54"/>
      <c r="P242" s="54"/>
      <c r="Q242" s="54"/>
      <c r="R242" s="54"/>
      <c r="S242" s="54"/>
      <c r="T242" s="54"/>
      <c r="U242" s="54"/>
      <c r="V242" s="54"/>
      <c r="W242" s="54"/>
      <c r="X242" s="54"/>
      <c r="Y242" s="54"/>
      <c r="Z242" s="54"/>
      <c r="AA242" s="54"/>
      <c r="AB242" s="54"/>
      <c r="AC242" s="54"/>
      <c r="AD242" s="54"/>
      <c r="AE242" s="54"/>
      <c r="AF242" s="54"/>
      <c r="AG242" s="54"/>
      <c r="AH242" s="54"/>
      <c r="AI242" s="54"/>
      <c r="AJ242" s="54"/>
      <c r="AK242" s="54"/>
      <c r="AL242" s="23"/>
      <c r="AM242" s="127"/>
      <c r="AN242" s="127"/>
      <c r="AO242" s="129"/>
      <c r="AP242" s="129"/>
      <c r="AQ242" s="129"/>
      <c r="AR242" s="129"/>
      <c r="AS242" s="129"/>
      <c r="AT242" s="129"/>
      <c r="AU242" s="129"/>
      <c r="AV242" s="129"/>
      <c r="AW242" s="129"/>
      <c r="AX242" s="197"/>
      <c r="AY242" s="197"/>
      <c r="AZ242" s="197"/>
      <c r="BA242" s="197"/>
      <c r="BB242" s="129"/>
      <c r="BC242" s="129"/>
      <c r="BD242" s="129"/>
      <c r="BE242" s="129"/>
      <c r="BF242" s="129"/>
      <c r="BG242" s="129"/>
      <c r="BH242" s="129"/>
      <c r="BI242" s="129"/>
      <c r="BJ242" s="129"/>
      <c r="BK242" s="129"/>
      <c r="BL242" s="129"/>
      <c r="BM242" s="197"/>
    </row>
    <row r="243" spans="1:65" x14ac:dyDescent="0.25">
      <c r="A243" s="121" t="s">
        <v>150</v>
      </c>
      <c r="B243" s="121" t="s">
        <v>23</v>
      </c>
      <c r="C243" s="172" t="s">
        <v>222</v>
      </c>
      <c r="D243" s="161">
        <v>1</v>
      </c>
      <c r="E243" s="29" t="str">
        <f>INDEX(ra_ScName,MATCH(D243,ra_ScNumber,0))</f>
        <v>Expected nominal return (incl forecast asset revaluations)</v>
      </c>
      <c r="F243" s="54"/>
      <c r="G243" s="54"/>
      <c r="H243" s="54"/>
      <c r="I243" s="54"/>
      <c r="J243" s="54"/>
      <c r="K243" s="54"/>
      <c r="L243" s="54"/>
      <c r="M243" s="54"/>
      <c r="N243" s="54"/>
      <c r="O243" s="54"/>
      <c r="P243" s="54"/>
      <c r="Q243" s="54"/>
      <c r="R243" s="54"/>
      <c r="S243" s="54"/>
      <c r="T243" s="54"/>
      <c r="U243" s="54"/>
      <c r="V243" s="54"/>
      <c r="W243" s="54"/>
      <c r="X243" s="54"/>
      <c r="Y243" s="54"/>
      <c r="Z243" s="54"/>
      <c r="AA243" s="54"/>
      <c r="AB243" s="54"/>
      <c r="AC243" s="54"/>
      <c r="AD243" s="54"/>
      <c r="AE243" s="54"/>
      <c r="AF243" s="54"/>
      <c r="AG243" s="54"/>
      <c r="AH243" s="54"/>
      <c r="AI243" s="117">
        <f t="shared" si="6"/>
        <v>0</v>
      </c>
      <c r="AJ243" s="117">
        <f>SUM(F243:U243)</f>
        <v>0</v>
      </c>
      <c r="AK243" s="117">
        <f t="shared" si="7"/>
        <v>0</v>
      </c>
      <c r="AL243" s="23"/>
      <c r="AM243" s="127" t="b">
        <f>IF(INDEX($AO243:$BM243,0,$F$14)=1,TRUE,FALSE)</f>
        <v>0</v>
      </c>
      <c r="AN243" s="127" t="str">
        <f>IF(AM243,A243&amp;", "&amp;B243,"")</f>
        <v/>
      </c>
      <c r="AO243" s="129">
        <v>1</v>
      </c>
      <c r="AP243" s="129">
        <v>1</v>
      </c>
      <c r="AQ243" s="129"/>
      <c r="AR243" s="129"/>
      <c r="AS243" s="129"/>
      <c r="AT243" s="129"/>
      <c r="AU243" s="129"/>
      <c r="AV243" s="129"/>
      <c r="AW243" s="129"/>
      <c r="AX243" s="197"/>
      <c r="AY243" s="197"/>
      <c r="AZ243" s="197"/>
      <c r="BA243" s="197"/>
      <c r="BB243" s="129"/>
      <c r="BC243" s="129"/>
      <c r="BD243" s="129"/>
      <c r="BE243" s="129"/>
      <c r="BF243" s="129"/>
      <c r="BG243" s="129"/>
      <c r="BH243" s="129"/>
      <c r="BI243" s="129"/>
      <c r="BJ243" s="129"/>
      <c r="BK243" s="129"/>
      <c r="BL243" s="129"/>
      <c r="BM243" s="197"/>
    </row>
    <row r="244" spans="1:65" x14ac:dyDescent="0.25">
      <c r="A244" s="121" t="s">
        <v>150</v>
      </c>
      <c r="B244" s="121" t="s">
        <v>24</v>
      </c>
      <c r="C244" s="172" t="s">
        <v>222</v>
      </c>
      <c r="D244" s="161">
        <v>1</v>
      </c>
      <c r="E244" s="29" t="str">
        <f>INDEX(ra_ScName,MATCH(D244,ra_ScNumber,0))</f>
        <v>Expected nominal return (incl forecast asset revaluations)</v>
      </c>
      <c r="F244" s="54"/>
      <c r="G244" s="54"/>
      <c r="H244" s="54"/>
      <c r="I244" s="54"/>
      <c r="J244" s="54"/>
      <c r="K244" s="54"/>
      <c r="L244" s="54"/>
      <c r="M244" s="54"/>
      <c r="N244" s="54"/>
      <c r="O244" s="54"/>
      <c r="P244" s="54"/>
      <c r="Q244" s="54"/>
      <c r="R244" s="54"/>
      <c r="S244" s="54"/>
      <c r="T244" s="54"/>
      <c r="U244" s="54"/>
      <c r="V244" s="54"/>
      <c r="W244" s="54"/>
      <c r="X244" s="54"/>
      <c r="Y244" s="54"/>
      <c r="Z244" s="54"/>
      <c r="AA244" s="54"/>
      <c r="AB244" s="54"/>
      <c r="AC244" s="54"/>
      <c r="AD244" s="54"/>
      <c r="AE244" s="54"/>
      <c r="AF244" s="54"/>
      <c r="AG244" s="54"/>
      <c r="AH244" s="54"/>
      <c r="AI244" s="117">
        <f t="shared" si="6"/>
        <v>0</v>
      </c>
      <c r="AJ244" s="117">
        <f>SUM(F244:U244)</f>
        <v>0</v>
      </c>
      <c r="AK244" s="117">
        <f t="shared" si="7"/>
        <v>0</v>
      </c>
      <c r="AL244" s="23"/>
      <c r="AM244" s="127" t="b">
        <f>IF(INDEX($AO244:$BM244,0,$F$14)=1,TRUE,FALSE)</f>
        <v>0</v>
      </c>
      <c r="AN244" s="127" t="str">
        <f>IF(AM244,A244&amp;", "&amp;B244,"")</f>
        <v/>
      </c>
      <c r="AO244" s="129">
        <v>1</v>
      </c>
      <c r="AP244" s="129">
        <v>1</v>
      </c>
      <c r="AQ244" s="129"/>
      <c r="AR244" s="129"/>
      <c r="AS244" s="129"/>
      <c r="AT244" s="129"/>
      <c r="AU244" s="129"/>
      <c r="AV244" s="129"/>
      <c r="AW244" s="129"/>
      <c r="AX244" s="197"/>
      <c r="AY244" s="197"/>
      <c r="AZ244" s="197"/>
      <c r="BA244" s="197"/>
      <c r="BB244" s="129"/>
      <c r="BC244" s="129"/>
      <c r="BD244" s="129"/>
      <c r="BE244" s="129"/>
      <c r="BF244" s="129"/>
      <c r="BG244" s="129"/>
      <c r="BH244" s="129"/>
      <c r="BI244" s="129"/>
      <c r="BJ244" s="129"/>
      <c r="BK244" s="129"/>
      <c r="BL244" s="129"/>
      <c r="BM244" s="197"/>
    </row>
    <row r="245" spans="1:65" x14ac:dyDescent="0.25">
      <c r="A245" s="121" t="s">
        <v>150</v>
      </c>
      <c r="B245" s="121" t="s">
        <v>25</v>
      </c>
      <c r="C245" s="172" t="s">
        <v>222</v>
      </c>
      <c r="D245" s="161">
        <v>1</v>
      </c>
      <c r="E245" s="29" t="str">
        <f>INDEX(ra_ScName,MATCH(D245,ra_ScNumber,0))</f>
        <v>Expected nominal return (incl forecast asset revaluations)</v>
      </c>
      <c r="F245" s="54"/>
      <c r="G245" s="54"/>
      <c r="H245" s="54"/>
      <c r="I245" s="54"/>
      <c r="J245" s="54"/>
      <c r="K245" s="54"/>
      <c r="L245" s="54"/>
      <c r="M245" s="54"/>
      <c r="N245" s="54"/>
      <c r="O245" s="54"/>
      <c r="P245" s="54"/>
      <c r="Q245" s="54"/>
      <c r="R245" s="54"/>
      <c r="S245" s="54"/>
      <c r="T245" s="54"/>
      <c r="U245" s="54"/>
      <c r="V245" s="54"/>
      <c r="W245" s="54"/>
      <c r="X245" s="54"/>
      <c r="Y245" s="54"/>
      <c r="Z245" s="54"/>
      <c r="AA245" s="54"/>
      <c r="AB245" s="54"/>
      <c r="AC245" s="54"/>
      <c r="AD245" s="54"/>
      <c r="AE245" s="54"/>
      <c r="AF245" s="54"/>
      <c r="AG245" s="54"/>
      <c r="AH245" s="54"/>
      <c r="AI245" s="117">
        <f t="shared" si="6"/>
        <v>0</v>
      </c>
      <c r="AJ245" s="117">
        <f>SUM(F245:U245)</f>
        <v>0</v>
      </c>
      <c r="AK245" s="117">
        <f t="shared" si="7"/>
        <v>0</v>
      </c>
      <c r="AL245" s="23"/>
      <c r="AM245" s="127" t="b">
        <f>IF(INDEX($AO245:$BM245,0,$F$14)=1,TRUE,FALSE)</f>
        <v>0</v>
      </c>
      <c r="AN245" s="127" t="str">
        <f>IF(AM245,A245&amp;", "&amp;B245,"")</f>
        <v/>
      </c>
      <c r="AO245" s="129">
        <v>1</v>
      </c>
      <c r="AP245" s="129">
        <v>1</v>
      </c>
      <c r="AQ245" s="129"/>
      <c r="AR245" s="129"/>
      <c r="AS245" s="129"/>
      <c r="AT245" s="129"/>
      <c r="AU245" s="129"/>
      <c r="AV245" s="129"/>
      <c r="AW245" s="129"/>
      <c r="AX245" s="197"/>
      <c r="AY245" s="197"/>
      <c r="AZ245" s="197"/>
      <c r="BA245" s="197"/>
      <c r="BB245" s="129"/>
      <c r="BC245" s="129"/>
      <c r="BD245" s="129"/>
      <c r="BE245" s="129"/>
      <c r="BF245" s="129"/>
      <c r="BG245" s="129"/>
      <c r="BH245" s="129"/>
      <c r="BI245" s="129"/>
      <c r="BJ245" s="129"/>
      <c r="BK245" s="129"/>
      <c r="BL245" s="129"/>
      <c r="BM245" s="197"/>
    </row>
    <row r="246" spans="1:65" x14ac:dyDescent="0.25">
      <c r="A246" s="121" t="s">
        <v>150</v>
      </c>
      <c r="B246" s="121" t="s">
        <v>26</v>
      </c>
      <c r="C246" s="172" t="s">
        <v>222</v>
      </c>
      <c r="D246" s="161">
        <v>1</v>
      </c>
      <c r="E246" s="29" t="str">
        <f>INDEX(ra_ScName,MATCH(D246,ra_ScNumber,0))</f>
        <v>Expected nominal return (incl forecast asset revaluations)</v>
      </c>
      <c r="F246" s="54"/>
      <c r="G246" s="54"/>
      <c r="H246" s="54"/>
      <c r="I246" s="54"/>
      <c r="J246" s="54"/>
      <c r="K246" s="54"/>
      <c r="L246" s="54"/>
      <c r="M246" s="54"/>
      <c r="N246" s="54"/>
      <c r="O246" s="54"/>
      <c r="P246" s="54"/>
      <c r="Q246" s="54"/>
      <c r="R246" s="54"/>
      <c r="S246" s="54"/>
      <c r="T246" s="54"/>
      <c r="U246" s="54"/>
      <c r="V246" s="54"/>
      <c r="W246" s="54"/>
      <c r="X246" s="54"/>
      <c r="Y246" s="54"/>
      <c r="Z246" s="54"/>
      <c r="AA246" s="54"/>
      <c r="AB246" s="54"/>
      <c r="AC246" s="54"/>
      <c r="AD246" s="54"/>
      <c r="AE246" s="54"/>
      <c r="AF246" s="54"/>
      <c r="AG246" s="54"/>
      <c r="AH246" s="54"/>
      <c r="AI246" s="117">
        <f t="shared" si="6"/>
        <v>0</v>
      </c>
      <c r="AJ246" s="117">
        <f>SUM(F246:U246)</f>
        <v>0</v>
      </c>
      <c r="AK246" s="117">
        <f t="shared" si="7"/>
        <v>0</v>
      </c>
      <c r="AL246" s="23"/>
      <c r="AM246" s="127" t="b">
        <f>IF(INDEX($AO246:$BM246,0,$F$14)=1,TRUE,FALSE)</f>
        <v>0</v>
      </c>
      <c r="AN246" s="127" t="str">
        <f>IF(AM246,A246&amp;", "&amp;B246,"")</f>
        <v/>
      </c>
      <c r="AO246" s="129">
        <v>1</v>
      </c>
      <c r="AP246" s="129">
        <v>1</v>
      </c>
      <c r="AQ246" s="129"/>
      <c r="AR246" s="129"/>
      <c r="AS246" s="129"/>
      <c r="AT246" s="129"/>
      <c r="AU246" s="129"/>
      <c r="AV246" s="129"/>
      <c r="AW246" s="129"/>
      <c r="AX246" s="197"/>
      <c r="AY246" s="197"/>
      <c r="AZ246" s="197"/>
      <c r="BA246" s="197"/>
      <c r="BB246" s="129"/>
      <c r="BC246" s="129"/>
      <c r="BD246" s="129"/>
      <c r="BE246" s="129"/>
      <c r="BF246" s="129"/>
      <c r="BG246" s="129"/>
      <c r="BH246" s="129"/>
      <c r="BI246" s="129"/>
      <c r="BJ246" s="129"/>
      <c r="BK246" s="129"/>
      <c r="BL246" s="129"/>
      <c r="BM246" s="197"/>
    </row>
    <row r="247" spans="1:65" x14ac:dyDescent="0.25">
      <c r="A247" s="121" t="s">
        <v>150</v>
      </c>
      <c r="B247" s="121" t="s">
        <v>27</v>
      </c>
      <c r="C247" s="172" t="s">
        <v>222</v>
      </c>
      <c r="D247" s="161">
        <v>1</v>
      </c>
      <c r="E247" s="29" t="str">
        <f>INDEX(ra_ScName,MATCH(D247,ra_ScNumber,0))</f>
        <v>Expected nominal return (incl forecast asset revaluations)</v>
      </c>
      <c r="F247" s="54"/>
      <c r="G247" s="54"/>
      <c r="H247" s="54"/>
      <c r="I247" s="54"/>
      <c r="J247" s="54"/>
      <c r="K247" s="54"/>
      <c r="L247" s="54"/>
      <c r="M247" s="54"/>
      <c r="N247" s="54"/>
      <c r="O247" s="54"/>
      <c r="P247" s="54"/>
      <c r="Q247" s="54"/>
      <c r="R247" s="54"/>
      <c r="S247" s="54"/>
      <c r="T247" s="54"/>
      <c r="U247" s="54"/>
      <c r="V247" s="54"/>
      <c r="W247" s="54"/>
      <c r="X247" s="54"/>
      <c r="Y247" s="54"/>
      <c r="Z247" s="54"/>
      <c r="AA247" s="54"/>
      <c r="AB247" s="54"/>
      <c r="AC247" s="54"/>
      <c r="AD247" s="54"/>
      <c r="AE247" s="54"/>
      <c r="AF247" s="54"/>
      <c r="AG247" s="54"/>
      <c r="AH247" s="54"/>
      <c r="AI247" s="117">
        <f t="shared" si="6"/>
        <v>0</v>
      </c>
      <c r="AJ247" s="117">
        <f>SUM(F247:U247)</f>
        <v>0</v>
      </c>
      <c r="AK247" s="117">
        <f t="shared" si="7"/>
        <v>0</v>
      </c>
      <c r="AL247" s="23"/>
      <c r="AM247" s="127" t="b">
        <f>IF(INDEX($AO247:$BM247,0,$F$14)=1,TRUE,FALSE)</f>
        <v>0</v>
      </c>
      <c r="AN247" s="127" t="str">
        <f>IF(AM247,A247&amp;", "&amp;B247,"")</f>
        <v/>
      </c>
      <c r="AO247" s="129">
        <v>1</v>
      </c>
      <c r="AP247" s="129">
        <v>1</v>
      </c>
      <c r="AQ247" s="129"/>
      <c r="AR247" s="129"/>
      <c r="AS247" s="129"/>
      <c r="AT247" s="129"/>
      <c r="AU247" s="129"/>
      <c r="AV247" s="129"/>
      <c r="AW247" s="129"/>
      <c r="AX247" s="197"/>
      <c r="AY247" s="197"/>
      <c r="AZ247" s="197"/>
      <c r="BA247" s="197"/>
      <c r="BB247" s="129"/>
      <c r="BC247" s="129"/>
      <c r="BD247" s="129"/>
      <c r="BE247" s="129"/>
      <c r="BF247" s="129"/>
      <c r="BG247" s="129"/>
      <c r="BH247" s="129"/>
      <c r="BI247" s="129"/>
      <c r="BJ247" s="129"/>
      <c r="BK247" s="129"/>
      <c r="BL247" s="129"/>
      <c r="BM247" s="197"/>
    </row>
    <row r="248" spans="1:65" x14ac:dyDescent="0.25">
      <c r="A248" s="121"/>
      <c r="B248" s="121"/>
      <c r="C248" s="172"/>
      <c r="D248" s="49"/>
      <c r="E248" s="49"/>
      <c r="F248" s="54"/>
      <c r="G248" s="54"/>
      <c r="H248" s="54"/>
      <c r="I248" s="54"/>
      <c r="J248" s="54"/>
      <c r="K248" s="54"/>
      <c r="L248" s="54"/>
      <c r="M248" s="54"/>
      <c r="N248" s="54"/>
      <c r="O248" s="54"/>
      <c r="P248" s="54"/>
      <c r="Q248" s="54"/>
      <c r="R248" s="54"/>
      <c r="S248" s="54"/>
      <c r="T248" s="54"/>
      <c r="U248" s="54"/>
      <c r="V248" s="54"/>
      <c r="W248" s="55"/>
      <c r="X248" s="55"/>
      <c r="Y248" s="55"/>
      <c r="Z248" s="55"/>
      <c r="AA248" s="55"/>
      <c r="AB248" s="55"/>
      <c r="AC248" s="55"/>
      <c r="AD248" s="55"/>
      <c r="AE248" s="55"/>
      <c r="AF248" s="55"/>
      <c r="AG248" s="55"/>
      <c r="AH248" s="55"/>
      <c r="AI248" s="54"/>
      <c r="AJ248" s="54"/>
      <c r="AK248" s="54"/>
      <c r="AL248" s="23"/>
      <c r="AM248" s="127"/>
      <c r="AN248" s="127"/>
      <c r="AO248" s="129"/>
      <c r="AP248" s="129"/>
      <c r="AQ248" s="129"/>
      <c r="AR248" s="129"/>
      <c r="AS248" s="129"/>
      <c r="AT248" s="129"/>
      <c r="AU248" s="129"/>
      <c r="AV248" s="129"/>
      <c r="AW248" s="129"/>
      <c r="AX248" s="197"/>
      <c r="AY248" s="197"/>
      <c r="AZ248" s="197"/>
      <c r="BA248" s="197"/>
      <c r="BB248" s="129"/>
      <c r="BC248" s="129"/>
      <c r="BD248" s="129"/>
      <c r="BE248" s="129"/>
      <c r="BF248" s="129"/>
      <c r="BG248" s="129"/>
      <c r="BH248" s="129"/>
      <c r="BI248" s="129"/>
      <c r="BJ248" s="129"/>
      <c r="BK248" s="129"/>
      <c r="BL248" s="129"/>
      <c r="BM248" s="197"/>
    </row>
    <row r="249" spans="1:65" x14ac:dyDescent="0.25">
      <c r="A249" s="121"/>
      <c r="B249" s="121"/>
      <c r="C249" s="172"/>
      <c r="D249" s="46"/>
      <c r="E249" s="46"/>
      <c r="F249" s="54"/>
      <c r="G249" s="54"/>
      <c r="H249" s="54"/>
      <c r="I249" s="54"/>
      <c r="J249" s="54"/>
      <c r="K249" s="54"/>
      <c r="L249" s="54"/>
      <c r="M249" s="54"/>
      <c r="N249" s="54"/>
      <c r="O249" s="54"/>
      <c r="P249" s="54"/>
      <c r="Q249" s="54"/>
      <c r="R249" s="54"/>
      <c r="S249" s="54"/>
      <c r="T249" s="54"/>
      <c r="U249" s="54"/>
      <c r="V249" s="54"/>
      <c r="W249" s="54"/>
      <c r="X249" s="54"/>
      <c r="Y249" s="54"/>
      <c r="Z249" s="54"/>
      <c r="AA249" s="54"/>
      <c r="AB249" s="54"/>
      <c r="AC249" s="54"/>
      <c r="AD249" s="54"/>
      <c r="AE249" s="54"/>
      <c r="AF249" s="54"/>
      <c r="AG249" s="54"/>
      <c r="AH249" s="54"/>
      <c r="AI249" s="54"/>
      <c r="AJ249" s="54"/>
      <c r="AK249" s="54"/>
      <c r="AL249" s="23"/>
      <c r="AM249" s="127"/>
      <c r="AN249" s="127"/>
      <c r="AO249" s="129"/>
      <c r="AP249" s="129"/>
      <c r="AQ249" s="129"/>
      <c r="AR249" s="129"/>
      <c r="AS249" s="129"/>
      <c r="AT249" s="129"/>
      <c r="AU249" s="129"/>
      <c r="AV249" s="129"/>
      <c r="AW249" s="129"/>
      <c r="AX249" s="197"/>
      <c r="AY249" s="197"/>
      <c r="AZ249" s="197"/>
      <c r="BA249" s="197"/>
      <c r="BB249" s="129"/>
      <c r="BC249" s="129"/>
      <c r="BD249" s="129"/>
      <c r="BE249" s="129"/>
      <c r="BF249" s="129"/>
      <c r="BG249" s="129"/>
      <c r="BH249" s="129"/>
      <c r="BI249" s="129"/>
      <c r="BJ249" s="129"/>
      <c r="BK249" s="129"/>
      <c r="BL249" s="129"/>
      <c r="BM249" s="197"/>
    </row>
    <row r="250" spans="1:65" x14ac:dyDescent="0.25">
      <c r="A250" s="121" t="s">
        <v>150</v>
      </c>
      <c r="B250" s="121" t="s">
        <v>23</v>
      </c>
      <c r="C250" s="172" t="s">
        <v>209</v>
      </c>
      <c r="D250" s="161">
        <v>10</v>
      </c>
      <c r="E250" s="29" t="str">
        <f>INDEX(ra_ScName,MATCH(D250,ra_ScNumber,0))</f>
        <v>Disclosed nominal return (incl actual asset revaluations)</v>
      </c>
      <c r="F250" s="122">
        <v>9847.0619999999999</v>
      </c>
      <c r="G250" s="122">
        <v>20409</v>
      </c>
      <c r="H250" s="122">
        <v>2325</v>
      </c>
      <c r="I250" s="122">
        <v>9308</v>
      </c>
      <c r="J250" s="122">
        <v>4842</v>
      </c>
      <c r="K250" s="122">
        <v>4483</v>
      </c>
      <c r="L250" s="122">
        <v>8089.1815900000001</v>
      </c>
      <c r="M250" s="122">
        <v>2453</v>
      </c>
      <c r="N250" s="122">
        <v>12252.464389999999</v>
      </c>
      <c r="O250" s="122">
        <v>6168</v>
      </c>
      <c r="P250" s="122">
        <v>75651.640199999994</v>
      </c>
      <c r="Q250" s="122">
        <v>5356.4344799999999</v>
      </c>
      <c r="R250" s="122">
        <v>5732.402</v>
      </c>
      <c r="S250" s="122">
        <v>27304.362729999997</v>
      </c>
      <c r="T250" s="122">
        <v>149299</v>
      </c>
      <c r="U250" s="122">
        <v>47499.38682</v>
      </c>
      <c r="V250" s="122">
        <v>53705</v>
      </c>
      <c r="W250" s="122">
        <v>1095.52637</v>
      </c>
      <c r="X250" s="122">
        <v>8022</v>
      </c>
      <c r="Y250" s="122">
        <v>7075</v>
      </c>
      <c r="Z250" s="122">
        <v>10027</v>
      </c>
      <c r="AA250" s="122">
        <v>5340</v>
      </c>
      <c r="AB250" s="122">
        <v>4220.3090000000002</v>
      </c>
      <c r="AC250" s="122">
        <v>15145</v>
      </c>
      <c r="AD250" s="122">
        <v>1774</v>
      </c>
      <c r="AE250" s="122">
        <v>10523</v>
      </c>
      <c r="AF250" s="122">
        <v>5632.3612899999998</v>
      </c>
      <c r="AG250" s="122">
        <v>21042</v>
      </c>
      <c r="AH250" s="122">
        <v>3813</v>
      </c>
      <c r="AI250" s="117">
        <f t="shared" si="6"/>
        <v>538434.13086999999</v>
      </c>
      <c r="AJ250" s="117">
        <f>SUM(F250:U250)</f>
        <v>391019.93420999998</v>
      </c>
      <c r="AK250" s="117">
        <f t="shared" si="7"/>
        <v>93709.196660000001</v>
      </c>
      <c r="AL250" s="23"/>
      <c r="AM250" s="127" t="b">
        <f>IF(INDEX($AO250:$BM250,0,$F$14)=1,TRUE,FALSE)</f>
        <v>1</v>
      </c>
      <c r="AN250" s="127" t="str">
        <f>IF(AM250,A250&amp;", "&amp;B250,"")</f>
        <v>Other recoverable costs excluding financial incentives and wash-ups, 2010/11</v>
      </c>
      <c r="AO250" s="129"/>
      <c r="AP250" s="129"/>
      <c r="AQ250" s="129">
        <v>1</v>
      </c>
      <c r="AR250" s="129">
        <v>1</v>
      </c>
      <c r="AS250" s="129">
        <v>1</v>
      </c>
      <c r="AT250" s="129">
        <v>1</v>
      </c>
      <c r="AU250" s="129">
        <v>1</v>
      </c>
      <c r="AV250" s="129">
        <v>1</v>
      </c>
      <c r="AW250" s="129">
        <v>1</v>
      </c>
      <c r="AX250" s="197">
        <v>1</v>
      </c>
      <c r="AY250" s="197">
        <v>1</v>
      </c>
      <c r="AZ250" s="197">
        <v>1</v>
      </c>
      <c r="BA250" s="197">
        <v>1</v>
      </c>
      <c r="BB250" s="129">
        <v>1</v>
      </c>
      <c r="BC250" s="129">
        <v>1</v>
      </c>
      <c r="BD250" s="129">
        <v>1</v>
      </c>
      <c r="BE250" s="129">
        <v>1</v>
      </c>
      <c r="BF250" s="129">
        <v>1</v>
      </c>
      <c r="BG250" s="129">
        <v>1</v>
      </c>
      <c r="BH250" s="129">
        <v>1</v>
      </c>
      <c r="BI250" s="129">
        <v>1</v>
      </c>
      <c r="BJ250" s="129">
        <v>1</v>
      </c>
      <c r="BK250" s="129">
        <v>1</v>
      </c>
      <c r="BL250" s="129">
        <v>1</v>
      </c>
      <c r="BM250" s="197">
        <v>1</v>
      </c>
    </row>
    <row r="251" spans="1:65" x14ac:dyDescent="0.25">
      <c r="A251" s="121" t="s">
        <v>150</v>
      </c>
      <c r="B251" s="121" t="s">
        <v>24</v>
      </c>
      <c r="C251" s="172" t="s">
        <v>209</v>
      </c>
      <c r="D251" s="161">
        <v>10</v>
      </c>
      <c r="E251" s="29" t="str">
        <f>INDEX(ra_ScName,MATCH(D251,ra_ScNumber,0))</f>
        <v>Disclosed nominal return (incl actual asset revaluations)</v>
      </c>
      <c r="F251" s="122">
        <v>9871.7729999999992</v>
      </c>
      <c r="G251" s="122">
        <v>25225</v>
      </c>
      <c r="H251" s="122">
        <v>2374</v>
      </c>
      <c r="I251" s="122">
        <v>9805.4938199999997</v>
      </c>
      <c r="J251" s="122">
        <v>4826</v>
      </c>
      <c r="K251" s="122">
        <v>4776.53</v>
      </c>
      <c r="L251" s="122">
        <v>8069.1021700000001</v>
      </c>
      <c r="M251" s="122">
        <v>2475</v>
      </c>
      <c r="N251" s="122">
        <v>10693</v>
      </c>
      <c r="O251" s="122">
        <v>6400.9430000000002</v>
      </c>
      <c r="P251" s="122">
        <v>80927.338778086094</v>
      </c>
      <c r="Q251" s="122">
        <v>5437.6970099999999</v>
      </c>
      <c r="R251" s="95">
        <v>7582</v>
      </c>
      <c r="S251" s="122">
        <v>28784.699000000001</v>
      </c>
      <c r="T251" s="122">
        <v>149627</v>
      </c>
      <c r="U251" s="122">
        <v>50619.55257</v>
      </c>
      <c r="V251" s="122">
        <v>57835.303999999996</v>
      </c>
      <c r="W251" s="122">
        <v>53.848790000000008</v>
      </c>
      <c r="X251" s="122">
        <v>8640.0280000000002</v>
      </c>
      <c r="Y251" s="122">
        <v>7672.7075999999997</v>
      </c>
      <c r="Z251" s="122">
        <v>9738</v>
      </c>
      <c r="AA251" s="122">
        <v>5392.96</v>
      </c>
      <c r="AB251" s="122">
        <v>3831.5371402000001</v>
      </c>
      <c r="AC251" s="122">
        <v>16121</v>
      </c>
      <c r="AD251" s="122">
        <v>2025</v>
      </c>
      <c r="AE251" s="122">
        <v>10701.209000000001</v>
      </c>
      <c r="AF251" s="122">
        <v>5912</v>
      </c>
      <c r="AG251" s="122">
        <v>21745.320489999998</v>
      </c>
      <c r="AH251" s="122">
        <v>4069</v>
      </c>
      <c r="AI251" s="117">
        <f t="shared" si="6"/>
        <v>561233.04436828615</v>
      </c>
      <c r="AJ251" s="117">
        <f>SUM(F251:U251)</f>
        <v>407495.12934808613</v>
      </c>
      <c r="AK251" s="117">
        <f t="shared" si="7"/>
        <v>95902.611020199998</v>
      </c>
      <c r="AL251" s="23"/>
      <c r="AM251" s="127" t="b">
        <f>IF(INDEX($AO251:$BM251,0,$F$14)=1,TRUE,FALSE)</f>
        <v>1</v>
      </c>
      <c r="AN251" s="127" t="str">
        <f>IF(AM251,A251&amp;", "&amp;B251,"")</f>
        <v>Other recoverable costs excluding financial incentives and wash-ups, 2011/12</v>
      </c>
      <c r="AO251" s="129"/>
      <c r="AP251" s="129"/>
      <c r="AQ251" s="129">
        <v>1</v>
      </c>
      <c r="AR251" s="129">
        <v>1</v>
      </c>
      <c r="AS251" s="129">
        <v>1</v>
      </c>
      <c r="AT251" s="129">
        <v>1</v>
      </c>
      <c r="AU251" s="129">
        <v>1</v>
      </c>
      <c r="AV251" s="129">
        <v>1</v>
      </c>
      <c r="AW251" s="129">
        <v>1</v>
      </c>
      <c r="AX251" s="197">
        <v>1</v>
      </c>
      <c r="AY251" s="197">
        <v>1</v>
      </c>
      <c r="AZ251" s="197">
        <v>1</v>
      </c>
      <c r="BA251" s="197">
        <v>1</v>
      </c>
      <c r="BB251" s="129">
        <v>1</v>
      </c>
      <c r="BC251" s="129">
        <v>1</v>
      </c>
      <c r="BD251" s="129">
        <v>1</v>
      </c>
      <c r="BE251" s="129">
        <v>1</v>
      </c>
      <c r="BF251" s="129">
        <v>1</v>
      </c>
      <c r="BG251" s="129">
        <v>1</v>
      </c>
      <c r="BH251" s="129">
        <v>1</v>
      </c>
      <c r="BI251" s="129">
        <v>1</v>
      </c>
      <c r="BJ251" s="129">
        <v>1</v>
      </c>
      <c r="BK251" s="129">
        <v>1</v>
      </c>
      <c r="BL251" s="129">
        <v>1</v>
      </c>
      <c r="BM251" s="197">
        <v>1</v>
      </c>
    </row>
    <row r="252" spans="1:65" x14ac:dyDescent="0.25">
      <c r="A252" s="121" t="s">
        <v>150</v>
      </c>
      <c r="B252" s="121" t="s">
        <v>25</v>
      </c>
      <c r="C252" s="172" t="s">
        <v>209</v>
      </c>
      <c r="D252" s="161">
        <v>10</v>
      </c>
      <c r="E252" s="29" t="str">
        <f>INDEX(ra_ScName,MATCH(D252,ra_ScNumber,0))</f>
        <v>Disclosed nominal return (incl actual asset revaluations)</v>
      </c>
      <c r="F252" s="122">
        <v>12744.85839365217</v>
      </c>
      <c r="G252" s="122">
        <v>31387</v>
      </c>
      <c r="H252" s="122">
        <v>0</v>
      </c>
      <c r="I252" s="122">
        <v>10789.287679999999</v>
      </c>
      <c r="J252" s="122">
        <v>6705</v>
      </c>
      <c r="K252" s="122">
        <v>5740.2979999999998</v>
      </c>
      <c r="L252" s="122">
        <v>8978.4391700000015</v>
      </c>
      <c r="M252" s="122">
        <v>2761.9180000000001</v>
      </c>
      <c r="N252" s="122">
        <v>11470.30826</v>
      </c>
      <c r="O252" s="122">
        <v>7291.4009999999998</v>
      </c>
      <c r="P252" s="95">
        <v>94339.815719999999</v>
      </c>
      <c r="Q252" s="122">
        <v>6250.9754499999999</v>
      </c>
      <c r="R252" s="95">
        <v>7055</v>
      </c>
      <c r="S252" s="95">
        <v>33737</v>
      </c>
      <c r="T252" s="122">
        <v>188980</v>
      </c>
      <c r="U252" s="122">
        <v>60089.51468</v>
      </c>
      <c r="V252" s="122">
        <v>68026</v>
      </c>
      <c r="W252" s="122">
        <v>49.093760000000003</v>
      </c>
      <c r="X252" s="122">
        <v>9811.17</v>
      </c>
      <c r="Y252" s="122">
        <v>8414.5259999999998</v>
      </c>
      <c r="Z252" s="122">
        <v>0</v>
      </c>
      <c r="AA252" s="122">
        <v>5679.8559999999998</v>
      </c>
      <c r="AB252" s="122">
        <v>5103</v>
      </c>
      <c r="AC252" s="122">
        <v>19337</v>
      </c>
      <c r="AD252" s="122">
        <v>2325.2220400000001</v>
      </c>
      <c r="AE252" s="122">
        <v>0</v>
      </c>
      <c r="AF252" s="122">
        <v>7163.2019899999996</v>
      </c>
      <c r="AG252" s="122">
        <v>25703.871760000002</v>
      </c>
      <c r="AH252" s="122">
        <v>3985</v>
      </c>
      <c r="AI252" s="117">
        <f t="shared" si="6"/>
        <v>643918.75790365215</v>
      </c>
      <c r="AJ252" s="117">
        <f>SUM(F252:U252)</f>
        <v>488320.81635365216</v>
      </c>
      <c r="AK252" s="117">
        <f t="shared" si="7"/>
        <v>87571.941550000003</v>
      </c>
      <c r="AL252" s="23"/>
      <c r="AM252" s="127" t="b">
        <f>IF(INDEX($AO252:$BM252,0,$F$14)=1,TRUE,FALSE)</f>
        <v>1</v>
      </c>
      <c r="AN252" s="127" t="str">
        <f>IF(AM252,A252&amp;", "&amp;B252,"")</f>
        <v>Other recoverable costs excluding financial incentives and wash-ups, 2012/13</v>
      </c>
      <c r="AO252" s="129"/>
      <c r="AP252" s="129"/>
      <c r="AQ252" s="129">
        <v>1</v>
      </c>
      <c r="AR252" s="129">
        <v>1</v>
      </c>
      <c r="AS252" s="129">
        <v>1</v>
      </c>
      <c r="AT252" s="129">
        <v>1</v>
      </c>
      <c r="AU252" s="129">
        <v>1</v>
      </c>
      <c r="AV252" s="129">
        <v>1</v>
      </c>
      <c r="AW252" s="129">
        <v>1</v>
      </c>
      <c r="AX252" s="197">
        <v>1</v>
      </c>
      <c r="AY252" s="197">
        <v>1</v>
      </c>
      <c r="AZ252" s="197">
        <v>1</v>
      </c>
      <c r="BA252" s="197">
        <v>1</v>
      </c>
      <c r="BB252" s="129">
        <v>1</v>
      </c>
      <c r="BC252" s="129">
        <v>1</v>
      </c>
      <c r="BD252" s="129">
        <v>1</v>
      </c>
      <c r="BE252" s="129">
        <v>1</v>
      </c>
      <c r="BF252" s="129">
        <v>1</v>
      </c>
      <c r="BG252" s="129">
        <v>1</v>
      </c>
      <c r="BH252" s="129">
        <v>1</v>
      </c>
      <c r="BI252" s="129">
        <v>1</v>
      </c>
      <c r="BJ252" s="129">
        <v>1</v>
      </c>
      <c r="BK252" s="129">
        <v>1</v>
      </c>
      <c r="BL252" s="129">
        <v>1</v>
      </c>
      <c r="BM252" s="197">
        <v>1</v>
      </c>
    </row>
    <row r="253" spans="1:65" x14ac:dyDescent="0.25">
      <c r="A253" s="121" t="s">
        <v>150</v>
      </c>
      <c r="B253" s="121" t="s">
        <v>26</v>
      </c>
      <c r="C253" s="172" t="s">
        <v>209</v>
      </c>
      <c r="D253" s="161">
        <v>10</v>
      </c>
      <c r="E253" s="29" t="str">
        <f>INDEX(ra_ScName,MATCH(D253,ra_ScNumber,0))</f>
        <v>Disclosed nominal return (incl actual asset revaluations)</v>
      </c>
      <c r="F253" s="122">
        <v>12953.077938</v>
      </c>
      <c r="G253" s="122">
        <v>29712</v>
      </c>
      <c r="H253" s="122">
        <v>0</v>
      </c>
      <c r="I253" s="122">
        <v>11507.423290000001</v>
      </c>
      <c r="J253" s="122">
        <v>5987</v>
      </c>
      <c r="K253" s="122">
        <v>5272.7469999999994</v>
      </c>
      <c r="L253" s="122">
        <v>8882</v>
      </c>
      <c r="M253" s="122">
        <v>3201</v>
      </c>
      <c r="N253" s="122">
        <v>14143</v>
      </c>
      <c r="O253" s="122">
        <v>8203</v>
      </c>
      <c r="P253" s="95">
        <v>103163.95779</v>
      </c>
      <c r="Q253" s="122">
        <v>7042</v>
      </c>
      <c r="R253" s="95">
        <v>7816</v>
      </c>
      <c r="S253" s="95">
        <v>36289</v>
      </c>
      <c r="T253" s="122">
        <v>192508</v>
      </c>
      <c r="U253" s="122">
        <v>62143.689279999999</v>
      </c>
      <c r="V253" s="122">
        <v>74146</v>
      </c>
      <c r="W253" s="122">
        <v>1517</v>
      </c>
      <c r="X253" s="122">
        <v>10496.262360000001</v>
      </c>
      <c r="Y253" s="122">
        <v>8882.3629600000004</v>
      </c>
      <c r="Z253" s="122">
        <v>0</v>
      </c>
      <c r="AA253" s="122">
        <v>7446.1260000000002</v>
      </c>
      <c r="AB253" s="122">
        <v>4880.9659300000003</v>
      </c>
      <c r="AC253" s="122">
        <v>23496</v>
      </c>
      <c r="AD253" s="122">
        <v>2334.8695400000001</v>
      </c>
      <c r="AE253" s="122">
        <v>0</v>
      </c>
      <c r="AF253" s="122">
        <v>7556.0290000000005</v>
      </c>
      <c r="AG253" s="122">
        <v>27102.849890000001</v>
      </c>
      <c r="AH253" s="122">
        <v>4526</v>
      </c>
      <c r="AI253" s="117">
        <f t="shared" si="6"/>
        <v>681208.36097799998</v>
      </c>
      <c r="AJ253" s="117">
        <f>SUM(F253:U253)</f>
        <v>508823.89529800002</v>
      </c>
      <c r="AK253" s="117">
        <f t="shared" si="7"/>
        <v>98238.465679999994</v>
      </c>
      <c r="AL253" s="23"/>
      <c r="AM253" s="127" t="b">
        <f>IF(INDEX($AO253:$BM253,0,$F$14)=1,TRUE,FALSE)</f>
        <v>1</v>
      </c>
      <c r="AN253" s="127" t="str">
        <f>IF(AM253,A253&amp;", "&amp;B253,"")</f>
        <v>Other recoverable costs excluding financial incentives and wash-ups, 2013/14</v>
      </c>
      <c r="AO253" s="129"/>
      <c r="AP253" s="129"/>
      <c r="AQ253" s="129">
        <v>1</v>
      </c>
      <c r="AR253" s="129">
        <v>1</v>
      </c>
      <c r="AS253" s="129">
        <v>1</v>
      </c>
      <c r="AT253" s="129">
        <v>1</v>
      </c>
      <c r="AU253" s="129">
        <v>1</v>
      </c>
      <c r="AV253" s="129">
        <v>1</v>
      </c>
      <c r="AW253" s="129">
        <v>1</v>
      </c>
      <c r="AX253" s="197">
        <v>1</v>
      </c>
      <c r="AY253" s="197">
        <v>1</v>
      </c>
      <c r="AZ253" s="197">
        <v>1</v>
      </c>
      <c r="BA253" s="197">
        <v>1</v>
      </c>
      <c r="BB253" s="129">
        <v>1</v>
      </c>
      <c r="BC253" s="129">
        <v>1</v>
      </c>
      <c r="BD253" s="129">
        <v>1</v>
      </c>
      <c r="BE253" s="129">
        <v>1</v>
      </c>
      <c r="BF253" s="129">
        <v>1</v>
      </c>
      <c r="BG253" s="129">
        <v>1</v>
      </c>
      <c r="BH253" s="129">
        <v>1</v>
      </c>
      <c r="BI253" s="129">
        <v>1</v>
      </c>
      <c r="BJ253" s="129">
        <v>1</v>
      </c>
      <c r="BK253" s="129">
        <v>1</v>
      </c>
      <c r="BL253" s="129">
        <v>1</v>
      </c>
      <c r="BM253" s="197">
        <v>1</v>
      </c>
    </row>
    <row r="254" spans="1:65" x14ac:dyDescent="0.25">
      <c r="A254" s="121" t="s">
        <v>150</v>
      </c>
      <c r="B254" s="121" t="s">
        <v>27</v>
      </c>
      <c r="C254" s="172" t="s">
        <v>209</v>
      </c>
      <c r="D254" s="161">
        <v>10</v>
      </c>
      <c r="E254" s="29" t="str">
        <f>INDEX(ra_ScName,MATCH(D254,ra_ScNumber,0))</f>
        <v>Disclosed nominal return (incl actual asset revaluations)</v>
      </c>
      <c r="F254" s="122">
        <v>0</v>
      </c>
      <c r="G254" s="122">
        <v>796</v>
      </c>
      <c r="H254" s="122">
        <v>0</v>
      </c>
      <c r="I254" s="122">
        <v>0</v>
      </c>
      <c r="J254" s="122">
        <v>0</v>
      </c>
      <c r="K254" s="122">
        <v>0</v>
      </c>
      <c r="L254" s="122">
        <v>0</v>
      </c>
      <c r="M254" s="122">
        <v>0</v>
      </c>
      <c r="N254" s="122">
        <v>0</v>
      </c>
      <c r="O254" s="122">
        <v>0</v>
      </c>
      <c r="P254" s="95">
        <v>3.9999999999054126E-3</v>
      </c>
      <c r="Q254" s="122">
        <v>0</v>
      </c>
      <c r="R254" s="95">
        <v>0</v>
      </c>
      <c r="S254" s="95">
        <v>0</v>
      </c>
      <c r="T254" s="122">
        <v>0</v>
      </c>
      <c r="U254" s="122">
        <v>0</v>
      </c>
      <c r="V254" s="122">
        <v>0</v>
      </c>
      <c r="W254" s="122">
        <v>0</v>
      </c>
      <c r="X254" s="122">
        <v>0</v>
      </c>
      <c r="Y254" s="122">
        <v>1759.415</v>
      </c>
      <c r="Z254" s="122">
        <v>0</v>
      </c>
      <c r="AA254" s="122">
        <v>0</v>
      </c>
      <c r="AB254" s="122">
        <v>0</v>
      </c>
      <c r="AC254" s="122">
        <v>1250</v>
      </c>
      <c r="AD254" s="122">
        <v>0</v>
      </c>
      <c r="AE254" s="122">
        <v>0</v>
      </c>
      <c r="AF254" s="122">
        <v>0</v>
      </c>
      <c r="AG254" s="122">
        <v>0</v>
      </c>
      <c r="AH254" s="122">
        <v>0</v>
      </c>
      <c r="AI254" s="117">
        <f t="shared" si="6"/>
        <v>3805.4189999999999</v>
      </c>
      <c r="AJ254" s="117">
        <f>SUM(F254:U254)</f>
        <v>796.00399999999991</v>
      </c>
      <c r="AK254" s="117">
        <f t="shared" si="7"/>
        <v>3009.415</v>
      </c>
      <c r="AL254" s="23"/>
      <c r="AM254" s="127" t="b">
        <f>IF(INDEX($AO254:$BM254,0,$F$14)=1,TRUE,FALSE)</f>
        <v>1</v>
      </c>
      <c r="AN254" s="127" t="str">
        <f>IF(AM254,A254&amp;", "&amp;B254,"")</f>
        <v>Other recoverable costs excluding financial incentives and wash-ups, 2014/15</v>
      </c>
      <c r="AO254" s="129"/>
      <c r="AP254" s="129"/>
      <c r="AQ254" s="129">
        <v>1</v>
      </c>
      <c r="AR254" s="129">
        <v>1</v>
      </c>
      <c r="AS254" s="129">
        <v>1</v>
      </c>
      <c r="AT254" s="129">
        <v>1</v>
      </c>
      <c r="AU254" s="129">
        <v>1</v>
      </c>
      <c r="AV254" s="129">
        <v>1</v>
      </c>
      <c r="AW254" s="129">
        <v>1</v>
      </c>
      <c r="AX254" s="197">
        <v>1</v>
      </c>
      <c r="AY254" s="197">
        <v>1</v>
      </c>
      <c r="AZ254" s="197">
        <v>1</v>
      </c>
      <c r="BA254" s="197">
        <v>1</v>
      </c>
      <c r="BB254" s="129">
        <v>1</v>
      </c>
      <c r="BC254" s="129">
        <v>1</v>
      </c>
      <c r="BD254" s="129">
        <v>1</v>
      </c>
      <c r="BE254" s="129">
        <v>1</v>
      </c>
      <c r="BF254" s="129">
        <v>1</v>
      </c>
      <c r="BG254" s="129">
        <v>1</v>
      </c>
      <c r="BH254" s="129">
        <v>1</v>
      </c>
      <c r="BI254" s="129">
        <v>1</v>
      </c>
      <c r="BJ254" s="129">
        <v>1</v>
      </c>
      <c r="BK254" s="129">
        <v>1</v>
      </c>
      <c r="BL254" s="129">
        <v>1</v>
      </c>
      <c r="BM254" s="197">
        <v>1</v>
      </c>
    </row>
    <row r="255" spans="1:65" x14ac:dyDescent="0.25">
      <c r="A255" s="121"/>
      <c r="B255" s="121"/>
      <c r="C255" s="172"/>
      <c r="D255" s="49"/>
      <c r="E255" s="49"/>
      <c r="F255" s="54"/>
      <c r="G255" s="54"/>
      <c r="H255" s="54"/>
      <c r="I255" s="54"/>
      <c r="J255" s="54"/>
      <c r="K255" s="54"/>
      <c r="L255" s="54"/>
      <c r="M255" s="54"/>
      <c r="N255" s="54"/>
      <c r="O255" s="54"/>
      <c r="P255" s="54"/>
      <c r="Q255" s="54"/>
      <c r="R255" s="54"/>
      <c r="S255" s="54"/>
      <c r="T255" s="54"/>
      <c r="U255" s="54"/>
      <c r="V255" s="54"/>
      <c r="W255" s="55"/>
      <c r="X255" s="55"/>
      <c r="Y255" s="55"/>
      <c r="Z255" s="55"/>
      <c r="AA255" s="55"/>
      <c r="AB255" s="55"/>
      <c r="AC255" s="55"/>
      <c r="AD255" s="55"/>
      <c r="AE255" s="55"/>
      <c r="AF255" s="55"/>
      <c r="AG255" s="55"/>
      <c r="AH255" s="55"/>
      <c r="AI255" s="54"/>
      <c r="AJ255" s="54"/>
      <c r="AK255" s="54"/>
      <c r="AL255" s="23"/>
      <c r="AM255" s="127"/>
      <c r="AN255" s="127"/>
      <c r="AO255" s="129"/>
      <c r="AP255" s="129"/>
      <c r="AQ255" s="129"/>
      <c r="AR255" s="129"/>
      <c r="AS255" s="129"/>
      <c r="AT255" s="129"/>
      <c r="AU255" s="129"/>
      <c r="AV255" s="129"/>
      <c r="AW255" s="129"/>
      <c r="AX255" s="197"/>
      <c r="AY255" s="197"/>
      <c r="AZ255" s="197"/>
      <c r="BA255" s="197"/>
      <c r="BB255" s="129"/>
      <c r="BC255" s="129"/>
      <c r="BD255" s="129"/>
      <c r="BE255" s="129"/>
      <c r="BF255" s="129"/>
      <c r="BG255" s="129"/>
      <c r="BH255" s="129"/>
      <c r="BI255" s="129"/>
      <c r="BJ255" s="129"/>
      <c r="BK255" s="129"/>
      <c r="BL255" s="129"/>
      <c r="BM255" s="197"/>
    </row>
    <row r="256" spans="1:65" x14ac:dyDescent="0.25">
      <c r="A256" s="121"/>
      <c r="B256" s="121"/>
      <c r="C256" s="172"/>
      <c r="D256" s="46"/>
      <c r="E256" s="46"/>
      <c r="F256" s="54"/>
      <c r="G256" s="54"/>
      <c r="H256" s="54"/>
      <c r="I256" s="54"/>
      <c r="J256" s="54"/>
      <c r="K256" s="54"/>
      <c r="L256" s="54"/>
      <c r="M256" s="54"/>
      <c r="N256" s="54"/>
      <c r="O256" s="54"/>
      <c r="P256" s="54"/>
      <c r="Q256" s="54"/>
      <c r="R256" s="54"/>
      <c r="S256" s="54"/>
      <c r="T256" s="54"/>
      <c r="U256" s="54"/>
      <c r="V256" s="54"/>
      <c r="W256" s="55"/>
      <c r="X256" s="55"/>
      <c r="Y256" s="55"/>
      <c r="Z256" s="55"/>
      <c r="AA256" s="55"/>
      <c r="AB256" s="55"/>
      <c r="AC256" s="55"/>
      <c r="AD256" s="55"/>
      <c r="AE256" s="55"/>
      <c r="AF256" s="55"/>
      <c r="AG256" s="55"/>
      <c r="AH256" s="55"/>
      <c r="AI256" s="54"/>
      <c r="AJ256" s="54"/>
      <c r="AK256" s="54"/>
      <c r="AL256" s="23"/>
      <c r="AM256" s="127"/>
      <c r="AN256" s="127"/>
      <c r="AO256" s="129"/>
      <c r="AP256" s="129"/>
      <c r="AQ256" s="129"/>
      <c r="AR256" s="129"/>
      <c r="AS256" s="129"/>
      <c r="AT256" s="129"/>
      <c r="AU256" s="129"/>
      <c r="AV256" s="129"/>
      <c r="AW256" s="129"/>
      <c r="AX256" s="197"/>
      <c r="AY256" s="197"/>
      <c r="AZ256" s="197"/>
      <c r="BA256" s="197"/>
      <c r="BB256" s="129"/>
      <c r="BC256" s="129"/>
      <c r="BD256" s="129"/>
      <c r="BE256" s="129"/>
      <c r="BF256" s="129"/>
      <c r="BG256" s="129"/>
      <c r="BH256" s="129"/>
      <c r="BI256" s="129"/>
      <c r="BJ256" s="129"/>
      <c r="BK256" s="129"/>
      <c r="BL256" s="129"/>
      <c r="BM256" s="197"/>
    </row>
    <row r="257" spans="1:65" x14ac:dyDescent="0.25">
      <c r="A257" s="121" t="s">
        <v>129</v>
      </c>
      <c r="B257" s="121" t="s">
        <v>23</v>
      </c>
      <c r="C257" s="172" t="s">
        <v>222</v>
      </c>
      <c r="D257" s="161">
        <v>1</v>
      </c>
      <c r="E257" s="29" t="str">
        <f>INDEX(ra_ScName,MATCH(D257,ra_ScNumber,0))</f>
        <v>Expected nominal return (incl forecast asset revaluations)</v>
      </c>
      <c r="F257" s="54"/>
      <c r="G257" s="54"/>
      <c r="H257" s="54"/>
      <c r="I257" s="54"/>
      <c r="J257" s="54"/>
      <c r="K257" s="54"/>
      <c r="L257" s="54"/>
      <c r="M257" s="54"/>
      <c r="N257" s="54"/>
      <c r="O257" s="54"/>
      <c r="P257" s="54"/>
      <c r="Q257" s="54"/>
      <c r="R257" s="54"/>
      <c r="S257" s="54"/>
      <c r="T257" s="54"/>
      <c r="U257" s="54"/>
      <c r="V257" s="54"/>
      <c r="W257" s="54"/>
      <c r="X257" s="54"/>
      <c r="Y257" s="54"/>
      <c r="Z257" s="54"/>
      <c r="AA257" s="54"/>
      <c r="AB257" s="54"/>
      <c r="AC257" s="54"/>
      <c r="AD257" s="54"/>
      <c r="AE257" s="54"/>
      <c r="AF257" s="54"/>
      <c r="AG257" s="54"/>
      <c r="AH257" s="54"/>
      <c r="AI257" s="117">
        <f t="shared" si="6"/>
        <v>0</v>
      </c>
      <c r="AJ257" s="117">
        <f>SUM(F257:U257)</f>
        <v>0</v>
      </c>
      <c r="AK257" s="117">
        <f t="shared" si="7"/>
        <v>0</v>
      </c>
      <c r="AL257" s="23"/>
      <c r="AM257" s="127" t="b">
        <f>IF(INDEX($AO257:$BM257,0,$F$14)=1,TRUE,FALSE)</f>
        <v>0</v>
      </c>
      <c r="AN257" s="127" t="str">
        <f>IF(AM257,A257&amp;", "&amp;B257,"")</f>
        <v/>
      </c>
      <c r="AO257" s="129">
        <v>1</v>
      </c>
      <c r="AP257" s="129">
        <v>1</v>
      </c>
      <c r="AQ257" s="129"/>
      <c r="AR257" s="129"/>
      <c r="AS257" s="129"/>
      <c r="AT257" s="129"/>
      <c r="AU257" s="129"/>
      <c r="AV257" s="129"/>
      <c r="AW257" s="129"/>
      <c r="AX257" s="197"/>
      <c r="AY257" s="197"/>
      <c r="AZ257" s="197"/>
      <c r="BA257" s="197"/>
      <c r="BB257" s="129"/>
      <c r="BC257" s="129"/>
      <c r="BD257" s="129"/>
      <c r="BE257" s="129"/>
      <c r="BF257" s="129"/>
      <c r="BG257" s="129"/>
      <c r="BH257" s="129"/>
      <c r="BI257" s="129"/>
      <c r="BJ257" s="129"/>
      <c r="BK257" s="129"/>
      <c r="BL257" s="129"/>
      <c r="BM257" s="197"/>
    </row>
    <row r="258" spans="1:65" x14ac:dyDescent="0.25">
      <c r="A258" s="121" t="s">
        <v>129</v>
      </c>
      <c r="B258" s="121" t="s">
        <v>24</v>
      </c>
      <c r="C258" s="172" t="s">
        <v>222</v>
      </c>
      <c r="D258" s="161">
        <v>1</v>
      </c>
      <c r="E258" s="29" t="str">
        <f>INDEX(ra_ScName,MATCH(D258,ra_ScNumber,0))</f>
        <v>Expected nominal return (incl forecast asset revaluations)</v>
      </c>
      <c r="F258" s="54"/>
      <c r="G258" s="54"/>
      <c r="H258" s="54"/>
      <c r="I258" s="54"/>
      <c r="J258" s="54"/>
      <c r="K258" s="54"/>
      <c r="L258" s="54"/>
      <c r="M258" s="54"/>
      <c r="N258" s="54"/>
      <c r="O258" s="54"/>
      <c r="P258" s="54"/>
      <c r="Q258" s="54"/>
      <c r="R258" s="54"/>
      <c r="S258" s="54"/>
      <c r="T258" s="54"/>
      <c r="U258" s="54"/>
      <c r="V258" s="54"/>
      <c r="W258" s="54"/>
      <c r="X258" s="54"/>
      <c r="Y258" s="54"/>
      <c r="Z258" s="54"/>
      <c r="AA258" s="54"/>
      <c r="AB258" s="54"/>
      <c r="AC258" s="54"/>
      <c r="AD258" s="54"/>
      <c r="AE258" s="54"/>
      <c r="AF258" s="54"/>
      <c r="AG258" s="54"/>
      <c r="AH258" s="54"/>
      <c r="AI258" s="117">
        <f t="shared" si="6"/>
        <v>0</v>
      </c>
      <c r="AJ258" s="117">
        <f>SUM(F258:U258)</f>
        <v>0</v>
      </c>
      <c r="AK258" s="117">
        <f t="shared" si="7"/>
        <v>0</v>
      </c>
      <c r="AL258" s="23"/>
      <c r="AM258" s="127" t="b">
        <f>IF(INDEX($AO258:$BM258,0,$F$14)=1,TRUE,FALSE)</f>
        <v>0</v>
      </c>
      <c r="AN258" s="127" t="str">
        <f>IF(AM258,A258&amp;", "&amp;B258,"")</f>
        <v/>
      </c>
      <c r="AO258" s="129">
        <v>1</v>
      </c>
      <c r="AP258" s="129">
        <v>1</v>
      </c>
      <c r="AQ258" s="129"/>
      <c r="AR258" s="129"/>
      <c r="AS258" s="129"/>
      <c r="AT258" s="129"/>
      <c r="AU258" s="129"/>
      <c r="AV258" s="129"/>
      <c r="AW258" s="129"/>
      <c r="AX258" s="197"/>
      <c r="AY258" s="197"/>
      <c r="AZ258" s="197"/>
      <c r="BA258" s="197"/>
      <c r="BB258" s="129"/>
      <c r="BC258" s="129"/>
      <c r="BD258" s="129"/>
      <c r="BE258" s="129"/>
      <c r="BF258" s="129"/>
      <c r="BG258" s="129"/>
      <c r="BH258" s="129"/>
      <c r="BI258" s="129"/>
      <c r="BJ258" s="129"/>
      <c r="BK258" s="129"/>
      <c r="BL258" s="129"/>
      <c r="BM258" s="197"/>
    </row>
    <row r="259" spans="1:65" x14ac:dyDescent="0.25">
      <c r="A259" s="121" t="s">
        <v>129</v>
      </c>
      <c r="B259" s="121" t="s">
        <v>25</v>
      </c>
      <c r="C259" s="172" t="s">
        <v>222</v>
      </c>
      <c r="D259" s="161">
        <v>1</v>
      </c>
      <c r="E259" s="29" t="str">
        <f>INDEX(ra_ScName,MATCH(D259,ra_ScNumber,0))</f>
        <v>Expected nominal return (incl forecast asset revaluations)</v>
      </c>
      <c r="F259" s="54"/>
      <c r="G259" s="54"/>
      <c r="H259" s="54"/>
      <c r="I259" s="54"/>
      <c r="J259" s="54"/>
      <c r="K259" s="54"/>
      <c r="L259" s="54"/>
      <c r="M259" s="54"/>
      <c r="N259" s="54"/>
      <c r="O259" s="54"/>
      <c r="P259" s="54"/>
      <c r="Q259" s="54"/>
      <c r="R259" s="54"/>
      <c r="S259" s="54"/>
      <c r="T259" s="54"/>
      <c r="U259" s="54"/>
      <c r="V259" s="54"/>
      <c r="W259" s="54"/>
      <c r="X259" s="54"/>
      <c r="Y259" s="54"/>
      <c r="Z259" s="54"/>
      <c r="AA259" s="54"/>
      <c r="AB259" s="54"/>
      <c r="AC259" s="54"/>
      <c r="AD259" s="54"/>
      <c r="AE259" s="54"/>
      <c r="AF259" s="54"/>
      <c r="AG259" s="54"/>
      <c r="AH259" s="54"/>
      <c r="AI259" s="117">
        <f t="shared" si="6"/>
        <v>0</v>
      </c>
      <c r="AJ259" s="117">
        <f>SUM(F259:U259)</f>
        <v>0</v>
      </c>
      <c r="AK259" s="117">
        <f t="shared" si="7"/>
        <v>0</v>
      </c>
      <c r="AL259" s="23"/>
      <c r="AM259" s="127" t="b">
        <f>IF(INDEX($AO259:$BM259,0,$F$14)=1,TRUE,FALSE)</f>
        <v>0</v>
      </c>
      <c r="AN259" s="127" t="str">
        <f>IF(AM259,A259&amp;", "&amp;B259,"")</f>
        <v/>
      </c>
      <c r="AO259" s="129">
        <v>1</v>
      </c>
      <c r="AP259" s="129">
        <v>1</v>
      </c>
      <c r="AQ259" s="129"/>
      <c r="AR259" s="129"/>
      <c r="AS259" s="129"/>
      <c r="AT259" s="129"/>
      <c r="AU259" s="129"/>
      <c r="AV259" s="129"/>
      <c r="AW259" s="129"/>
      <c r="AX259" s="197"/>
      <c r="AY259" s="197"/>
      <c r="AZ259" s="197"/>
      <c r="BA259" s="197"/>
      <c r="BB259" s="129"/>
      <c r="BC259" s="129"/>
      <c r="BD259" s="129"/>
      <c r="BE259" s="129"/>
      <c r="BF259" s="129"/>
      <c r="BG259" s="129"/>
      <c r="BH259" s="129"/>
      <c r="BI259" s="129"/>
      <c r="BJ259" s="129"/>
      <c r="BK259" s="129"/>
      <c r="BL259" s="129"/>
      <c r="BM259" s="197"/>
    </row>
    <row r="260" spans="1:65" x14ac:dyDescent="0.25">
      <c r="A260" s="121" t="s">
        <v>129</v>
      </c>
      <c r="B260" s="121" t="s">
        <v>26</v>
      </c>
      <c r="C260" s="172" t="s">
        <v>222</v>
      </c>
      <c r="D260" s="161">
        <v>1</v>
      </c>
      <c r="E260" s="29" t="str">
        <f>INDEX(ra_ScName,MATCH(D260,ra_ScNumber,0))</f>
        <v>Expected nominal return (incl forecast asset revaluations)</v>
      </c>
      <c r="F260" s="54"/>
      <c r="G260" s="54"/>
      <c r="H260" s="54"/>
      <c r="I260" s="54"/>
      <c r="J260" s="54"/>
      <c r="K260" s="54"/>
      <c r="L260" s="54"/>
      <c r="M260" s="54"/>
      <c r="N260" s="54"/>
      <c r="O260" s="54"/>
      <c r="P260" s="54"/>
      <c r="Q260" s="54"/>
      <c r="R260" s="54"/>
      <c r="S260" s="54"/>
      <c r="T260" s="54"/>
      <c r="U260" s="54"/>
      <c r="V260" s="54"/>
      <c r="W260" s="54"/>
      <c r="X260" s="54"/>
      <c r="Y260" s="54"/>
      <c r="Z260" s="54"/>
      <c r="AA260" s="54"/>
      <c r="AB260" s="54"/>
      <c r="AC260" s="54"/>
      <c r="AD260" s="54"/>
      <c r="AE260" s="54"/>
      <c r="AF260" s="54"/>
      <c r="AG260" s="54"/>
      <c r="AH260" s="54"/>
      <c r="AI260" s="117">
        <f t="shared" si="6"/>
        <v>0</v>
      </c>
      <c r="AJ260" s="117">
        <f>SUM(F260:U260)</f>
        <v>0</v>
      </c>
      <c r="AK260" s="117">
        <f t="shared" si="7"/>
        <v>0</v>
      </c>
      <c r="AL260" s="23"/>
      <c r="AM260" s="127" t="b">
        <f>IF(INDEX($AO260:$BM260,0,$F$14)=1,TRUE,FALSE)</f>
        <v>0</v>
      </c>
      <c r="AN260" s="127" t="str">
        <f>IF(AM260,A260&amp;", "&amp;B260,"")</f>
        <v/>
      </c>
      <c r="AO260" s="129">
        <v>1</v>
      </c>
      <c r="AP260" s="129">
        <v>1</v>
      </c>
      <c r="AQ260" s="129"/>
      <c r="AR260" s="129"/>
      <c r="AS260" s="129"/>
      <c r="AT260" s="129"/>
      <c r="AU260" s="129"/>
      <c r="AV260" s="129"/>
      <c r="AW260" s="129"/>
      <c r="AX260" s="197"/>
      <c r="AY260" s="197"/>
      <c r="AZ260" s="197"/>
      <c r="BA260" s="197"/>
      <c r="BB260" s="129"/>
      <c r="BC260" s="129"/>
      <c r="BD260" s="129"/>
      <c r="BE260" s="129"/>
      <c r="BF260" s="129"/>
      <c r="BG260" s="129"/>
      <c r="BH260" s="129"/>
      <c r="BI260" s="129"/>
      <c r="BJ260" s="129"/>
      <c r="BK260" s="129"/>
      <c r="BL260" s="129"/>
      <c r="BM260" s="197"/>
    </row>
    <row r="261" spans="1:65" x14ac:dyDescent="0.25">
      <c r="A261" s="121" t="s">
        <v>129</v>
      </c>
      <c r="B261" s="121" t="s">
        <v>27</v>
      </c>
      <c r="C261" s="172" t="s">
        <v>222</v>
      </c>
      <c r="D261" s="161">
        <v>1</v>
      </c>
      <c r="E261" s="29" t="str">
        <f>INDEX(ra_ScName,MATCH(D261,ra_ScNumber,0))</f>
        <v>Expected nominal return (incl forecast asset revaluations)</v>
      </c>
      <c r="F261" s="54"/>
      <c r="G261" s="54"/>
      <c r="H261" s="54"/>
      <c r="I261" s="54"/>
      <c r="J261" s="54"/>
      <c r="K261" s="54"/>
      <c r="L261" s="54"/>
      <c r="M261" s="54"/>
      <c r="N261" s="54"/>
      <c r="O261" s="54"/>
      <c r="P261" s="54"/>
      <c r="Q261" s="54"/>
      <c r="R261" s="54"/>
      <c r="S261" s="54"/>
      <c r="T261" s="54"/>
      <c r="U261" s="54"/>
      <c r="V261" s="54"/>
      <c r="W261" s="54"/>
      <c r="X261" s="54"/>
      <c r="Y261" s="54"/>
      <c r="Z261" s="54"/>
      <c r="AA261" s="54"/>
      <c r="AB261" s="54"/>
      <c r="AC261" s="54"/>
      <c r="AD261" s="54"/>
      <c r="AE261" s="54"/>
      <c r="AF261" s="54"/>
      <c r="AG261" s="54"/>
      <c r="AH261" s="54"/>
      <c r="AI261" s="117">
        <f t="shared" si="6"/>
        <v>0</v>
      </c>
      <c r="AJ261" s="117">
        <f>SUM(F261:U261)</f>
        <v>0</v>
      </c>
      <c r="AK261" s="117">
        <f t="shared" si="7"/>
        <v>0</v>
      </c>
      <c r="AL261" s="23"/>
      <c r="AM261" s="127" t="b">
        <f>IF(INDEX($AO261:$BM261,0,$F$14)=1,TRUE,FALSE)</f>
        <v>0</v>
      </c>
      <c r="AN261" s="127" t="str">
        <f>IF(AM261,A261&amp;", "&amp;B261,"")</f>
        <v/>
      </c>
      <c r="AO261" s="129">
        <v>1</v>
      </c>
      <c r="AP261" s="129">
        <v>1</v>
      </c>
      <c r="AQ261" s="129"/>
      <c r="AR261" s="129"/>
      <c r="AS261" s="129"/>
      <c r="AT261" s="129"/>
      <c r="AU261" s="129"/>
      <c r="AV261" s="129"/>
      <c r="AW261" s="129"/>
      <c r="AX261" s="197"/>
      <c r="AY261" s="197"/>
      <c r="AZ261" s="197"/>
      <c r="BA261" s="197"/>
      <c r="BB261" s="129"/>
      <c r="BC261" s="129"/>
      <c r="BD261" s="129"/>
      <c r="BE261" s="129"/>
      <c r="BF261" s="129"/>
      <c r="BG261" s="129"/>
      <c r="BH261" s="129"/>
      <c r="BI261" s="129"/>
      <c r="BJ261" s="129"/>
      <c r="BK261" s="129"/>
      <c r="BL261" s="129"/>
      <c r="BM261" s="197"/>
    </row>
    <row r="262" spans="1:65" x14ac:dyDescent="0.25">
      <c r="A262" s="121"/>
      <c r="B262" s="121"/>
      <c r="C262" s="172"/>
      <c r="D262" s="49"/>
      <c r="E262" s="49"/>
      <c r="F262" s="54"/>
      <c r="G262" s="54"/>
      <c r="H262" s="54"/>
      <c r="I262" s="54"/>
      <c r="J262" s="54"/>
      <c r="K262" s="54"/>
      <c r="L262" s="54"/>
      <c r="M262" s="54"/>
      <c r="N262" s="54"/>
      <c r="O262" s="54"/>
      <c r="P262" s="54"/>
      <c r="Q262" s="54"/>
      <c r="R262" s="54"/>
      <c r="S262" s="54"/>
      <c r="T262" s="54"/>
      <c r="U262" s="54"/>
      <c r="V262" s="54"/>
      <c r="W262" s="55"/>
      <c r="X262" s="55"/>
      <c r="Y262" s="55"/>
      <c r="Z262" s="55"/>
      <c r="AA262" s="55"/>
      <c r="AB262" s="55"/>
      <c r="AC262" s="55"/>
      <c r="AD262" s="55"/>
      <c r="AE262" s="55"/>
      <c r="AF262" s="55"/>
      <c r="AG262" s="55"/>
      <c r="AH262" s="55"/>
      <c r="AI262" s="54"/>
      <c r="AJ262" s="54"/>
      <c r="AK262" s="54"/>
      <c r="AL262" s="23"/>
      <c r="AM262" s="127"/>
      <c r="AN262" s="127"/>
      <c r="AO262" s="129"/>
      <c r="AP262" s="129"/>
      <c r="AQ262" s="129"/>
      <c r="AR262" s="129"/>
      <c r="AS262" s="129"/>
      <c r="AT262" s="129"/>
      <c r="AU262" s="129"/>
      <c r="AV262" s="129"/>
      <c r="AW262" s="129"/>
      <c r="AX262" s="197"/>
      <c r="AY262" s="197"/>
      <c r="AZ262" s="197"/>
      <c r="BA262" s="197"/>
      <c r="BB262" s="129"/>
      <c r="BC262" s="129"/>
      <c r="BD262" s="129"/>
      <c r="BE262" s="129"/>
      <c r="BF262" s="129"/>
      <c r="BG262" s="129"/>
      <c r="BH262" s="129"/>
      <c r="BI262" s="129"/>
      <c r="BJ262" s="129"/>
      <c r="BK262" s="129"/>
      <c r="BL262" s="129"/>
      <c r="BM262" s="197"/>
    </row>
    <row r="263" spans="1:65" x14ac:dyDescent="0.25">
      <c r="A263" s="121"/>
      <c r="B263" s="121"/>
      <c r="C263" s="172"/>
      <c r="D263" s="46"/>
      <c r="E263" s="46"/>
      <c r="F263" s="54"/>
      <c r="G263" s="54"/>
      <c r="H263" s="54"/>
      <c r="I263" s="54"/>
      <c r="J263" s="54"/>
      <c r="K263" s="54"/>
      <c r="L263" s="54"/>
      <c r="M263" s="54"/>
      <c r="N263" s="54"/>
      <c r="O263" s="54"/>
      <c r="P263" s="54"/>
      <c r="Q263" s="54"/>
      <c r="R263" s="54"/>
      <c r="S263" s="54"/>
      <c r="T263" s="54"/>
      <c r="U263" s="54"/>
      <c r="V263" s="54"/>
      <c r="W263" s="55"/>
      <c r="X263" s="55"/>
      <c r="Y263" s="55"/>
      <c r="Z263" s="55"/>
      <c r="AA263" s="55"/>
      <c r="AB263" s="55"/>
      <c r="AC263" s="55"/>
      <c r="AD263" s="55"/>
      <c r="AE263" s="55"/>
      <c r="AF263" s="55"/>
      <c r="AG263" s="55"/>
      <c r="AH263" s="55"/>
      <c r="AI263" s="54"/>
      <c r="AJ263" s="54"/>
      <c r="AK263" s="54"/>
      <c r="AL263" s="23"/>
      <c r="AM263" s="127"/>
      <c r="AN263" s="127"/>
      <c r="AO263" s="129"/>
      <c r="AP263" s="129"/>
      <c r="AQ263" s="129"/>
      <c r="AR263" s="129"/>
      <c r="AS263" s="129"/>
      <c r="AT263" s="129"/>
      <c r="AU263" s="129"/>
      <c r="AV263" s="129"/>
      <c r="AW263" s="129"/>
      <c r="AX263" s="197"/>
      <c r="AY263" s="197"/>
      <c r="AZ263" s="197"/>
      <c r="BA263" s="197"/>
      <c r="BB263" s="129"/>
      <c r="BC263" s="129"/>
      <c r="BD263" s="129"/>
      <c r="BE263" s="129"/>
      <c r="BF263" s="129"/>
      <c r="BG263" s="129"/>
      <c r="BH263" s="129"/>
      <c r="BI263" s="129"/>
      <c r="BJ263" s="129"/>
      <c r="BK263" s="129"/>
      <c r="BL263" s="129"/>
      <c r="BM263" s="197"/>
    </row>
    <row r="264" spans="1:65" x14ac:dyDescent="0.25">
      <c r="A264" s="121" t="s">
        <v>129</v>
      </c>
      <c r="B264" s="121" t="s">
        <v>23</v>
      </c>
      <c r="C264" s="172" t="s">
        <v>222</v>
      </c>
      <c r="D264" s="161">
        <v>10</v>
      </c>
      <c r="E264" s="29" t="str">
        <f>INDEX(ra_ScName,MATCH(D264,ra_ScNumber,0))</f>
        <v>Disclosed nominal return (incl actual asset revaluations)</v>
      </c>
      <c r="F264" s="122">
        <v>0</v>
      </c>
      <c r="G264" s="122">
        <v>0</v>
      </c>
      <c r="H264" s="122">
        <v>0</v>
      </c>
      <c r="I264" s="122">
        <v>0</v>
      </c>
      <c r="J264" s="122">
        <v>0</v>
      </c>
      <c r="K264" s="122">
        <v>0</v>
      </c>
      <c r="L264" s="122">
        <v>0</v>
      </c>
      <c r="M264" s="122">
        <v>0</v>
      </c>
      <c r="N264" s="122">
        <v>0</v>
      </c>
      <c r="O264" s="122">
        <v>0</v>
      </c>
      <c r="P264" s="122">
        <v>0</v>
      </c>
      <c r="Q264" s="122">
        <v>0</v>
      </c>
      <c r="R264" s="122">
        <v>0</v>
      </c>
      <c r="S264" s="122">
        <v>0</v>
      </c>
      <c r="T264" s="122">
        <v>0</v>
      </c>
      <c r="U264" s="122">
        <v>0</v>
      </c>
      <c r="V264" s="122">
        <v>0</v>
      </c>
      <c r="W264" s="122">
        <v>0</v>
      </c>
      <c r="X264" s="122">
        <v>0</v>
      </c>
      <c r="Y264" s="122">
        <v>0</v>
      </c>
      <c r="Z264" s="122">
        <v>0</v>
      </c>
      <c r="AA264" s="122">
        <v>0</v>
      </c>
      <c r="AB264" s="122">
        <v>0</v>
      </c>
      <c r="AC264" s="122">
        <v>0</v>
      </c>
      <c r="AD264" s="122">
        <v>0</v>
      </c>
      <c r="AE264" s="122">
        <v>0</v>
      </c>
      <c r="AF264" s="122">
        <v>0</v>
      </c>
      <c r="AG264" s="122">
        <v>0</v>
      </c>
      <c r="AH264" s="122">
        <v>0</v>
      </c>
      <c r="AI264" s="117">
        <f t="shared" si="6"/>
        <v>0</v>
      </c>
      <c r="AJ264" s="117">
        <f>SUM(F264:U264)</f>
        <v>0</v>
      </c>
      <c r="AK264" s="117">
        <f t="shared" si="7"/>
        <v>0</v>
      </c>
      <c r="AL264" s="23"/>
      <c r="AM264" s="127" t="b">
        <f>IF(INDEX($AO264:$BM264,0,$F$14)=1,TRUE,FALSE)</f>
        <v>1</v>
      </c>
      <c r="AN264" s="127" t="str">
        <f>IF(AM264,A264&amp;", "&amp;B264,"")</f>
        <v>Net recoverable costs allowed under incremental rolling incentive scheme, 2010/11</v>
      </c>
      <c r="AO264" s="129"/>
      <c r="AP264" s="129"/>
      <c r="AQ264" s="129">
        <v>1</v>
      </c>
      <c r="AR264" s="129">
        <v>1</v>
      </c>
      <c r="AS264" s="129">
        <v>1</v>
      </c>
      <c r="AT264" s="129">
        <v>1</v>
      </c>
      <c r="AU264" s="129">
        <v>1</v>
      </c>
      <c r="AV264" s="129">
        <v>1</v>
      </c>
      <c r="AW264" s="129">
        <v>1</v>
      </c>
      <c r="AX264" s="197">
        <v>1</v>
      </c>
      <c r="AY264" s="197">
        <v>1</v>
      </c>
      <c r="AZ264" s="197">
        <v>1</v>
      </c>
      <c r="BA264" s="197">
        <v>1</v>
      </c>
      <c r="BB264" s="129">
        <v>1</v>
      </c>
      <c r="BC264" s="129">
        <v>1</v>
      </c>
      <c r="BD264" s="129">
        <v>1</v>
      </c>
      <c r="BE264" s="129">
        <v>1</v>
      </c>
      <c r="BF264" s="129">
        <v>1</v>
      </c>
      <c r="BG264" s="129">
        <v>1</v>
      </c>
      <c r="BH264" s="129">
        <v>1</v>
      </c>
      <c r="BI264" s="129">
        <v>1</v>
      </c>
      <c r="BJ264" s="129">
        <v>1</v>
      </c>
      <c r="BK264" s="129">
        <v>1</v>
      </c>
      <c r="BL264" s="129">
        <v>1</v>
      </c>
      <c r="BM264" s="197">
        <v>1</v>
      </c>
    </row>
    <row r="265" spans="1:65" x14ac:dyDescent="0.25">
      <c r="A265" s="121" t="s">
        <v>129</v>
      </c>
      <c r="B265" s="121" t="s">
        <v>24</v>
      </c>
      <c r="C265" s="172" t="s">
        <v>222</v>
      </c>
      <c r="D265" s="161">
        <v>10</v>
      </c>
      <c r="E265" s="29" t="str">
        <f>INDEX(ra_ScName,MATCH(D265,ra_ScNumber,0))</f>
        <v>Disclosed nominal return (incl actual asset revaluations)</v>
      </c>
      <c r="F265" s="122">
        <v>0</v>
      </c>
      <c r="G265" s="122">
        <v>0</v>
      </c>
      <c r="H265" s="122">
        <v>0</v>
      </c>
      <c r="I265" s="122">
        <v>0</v>
      </c>
      <c r="J265" s="122">
        <v>0</v>
      </c>
      <c r="K265" s="122">
        <v>0</v>
      </c>
      <c r="L265" s="122">
        <v>0</v>
      </c>
      <c r="M265" s="122">
        <v>0</v>
      </c>
      <c r="N265" s="122">
        <v>0</v>
      </c>
      <c r="O265" s="122">
        <v>0</v>
      </c>
      <c r="P265" s="122">
        <v>0</v>
      </c>
      <c r="Q265" s="122">
        <v>0</v>
      </c>
      <c r="R265" s="122">
        <v>0</v>
      </c>
      <c r="S265" s="122">
        <v>0</v>
      </c>
      <c r="T265" s="122">
        <v>0</v>
      </c>
      <c r="U265" s="122">
        <v>0</v>
      </c>
      <c r="V265" s="122">
        <v>0</v>
      </c>
      <c r="W265" s="122">
        <v>0</v>
      </c>
      <c r="X265" s="122">
        <v>0</v>
      </c>
      <c r="Y265" s="122">
        <v>0</v>
      </c>
      <c r="Z265" s="122">
        <v>0</v>
      </c>
      <c r="AA265" s="122">
        <v>0</v>
      </c>
      <c r="AB265" s="122">
        <v>0</v>
      </c>
      <c r="AC265" s="122">
        <v>0</v>
      </c>
      <c r="AD265" s="122">
        <v>0</v>
      </c>
      <c r="AE265" s="122">
        <v>0</v>
      </c>
      <c r="AF265" s="122">
        <v>0</v>
      </c>
      <c r="AG265" s="122">
        <v>0</v>
      </c>
      <c r="AH265" s="122">
        <v>0</v>
      </c>
      <c r="AI265" s="117">
        <f t="shared" si="6"/>
        <v>0</v>
      </c>
      <c r="AJ265" s="117">
        <f>SUM(F265:U265)</f>
        <v>0</v>
      </c>
      <c r="AK265" s="117">
        <f t="shared" si="7"/>
        <v>0</v>
      </c>
      <c r="AL265" s="23"/>
      <c r="AM265" s="127" t="b">
        <f>IF(INDEX($AO265:$BM265,0,$F$14)=1,TRUE,FALSE)</f>
        <v>1</v>
      </c>
      <c r="AN265" s="127" t="str">
        <f>IF(AM265,A265&amp;", "&amp;B265,"")</f>
        <v>Net recoverable costs allowed under incremental rolling incentive scheme, 2011/12</v>
      </c>
      <c r="AO265" s="129"/>
      <c r="AP265" s="129"/>
      <c r="AQ265" s="129">
        <v>1</v>
      </c>
      <c r="AR265" s="129">
        <v>1</v>
      </c>
      <c r="AS265" s="129">
        <v>1</v>
      </c>
      <c r="AT265" s="129">
        <v>1</v>
      </c>
      <c r="AU265" s="129">
        <v>1</v>
      </c>
      <c r="AV265" s="129">
        <v>1</v>
      </c>
      <c r="AW265" s="129">
        <v>1</v>
      </c>
      <c r="AX265" s="197">
        <v>1</v>
      </c>
      <c r="AY265" s="197">
        <v>1</v>
      </c>
      <c r="AZ265" s="197">
        <v>1</v>
      </c>
      <c r="BA265" s="197">
        <v>1</v>
      </c>
      <c r="BB265" s="129">
        <v>1</v>
      </c>
      <c r="BC265" s="129">
        <v>1</v>
      </c>
      <c r="BD265" s="129">
        <v>1</v>
      </c>
      <c r="BE265" s="129">
        <v>1</v>
      </c>
      <c r="BF265" s="129">
        <v>1</v>
      </c>
      <c r="BG265" s="129">
        <v>1</v>
      </c>
      <c r="BH265" s="129">
        <v>1</v>
      </c>
      <c r="BI265" s="129">
        <v>1</v>
      </c>
      <c r="BJ265" s="129">
        <v>1</v>
      </c>
      <c r="BK265" s="129">
        <v>1</v>
      </c>
      <c r="BL265" s="129">
        <v>1</v>
      </c>
      <c r="BM265" s="197">
        <v>1</v>
      </c>
    </row>
    <row r="266" spans="1:65" x14ac:dyDescent="0.25">
      <c r="A266" s="121" t="s">
        <v>129</v>
      </c>
      <c r="B266" s="121" t="s">
        <v>25</v>
      </c>
      <c r="C266" s="172" t="s">
        <v>222</v>
      </c>
      <c r="D266" s="161">
        <v>10</v>
      </c>
      <c r="E266" s="29" t="str">
        <f>INDEX(ra_ScName,MATCH(D266,ra_ScNumber,0))</f>
        <v>Disclosed nominal return (incl actual asset revaluations)</v>
      </c>
      <c r="F266" s="122">
        <v>0</v>
      </c>
      <c r="G266" s="122">
        <v>0</v>
      </c>
      <c r="H266" s="122">
        <v>0</v>
      </c>
      <c r="I266" s="122">
        <v>0</v>
      </c>
      <c r="J266" s="122">
        <v>0</v>
      </c>
      <c r="K266" s="122">
        <v>0</v>
      </c>
      <c r="L266" s="122">
        <v>0</v>
      </c>
      <c r="M266" s="122">
        <v>0</v>
      </c>
      <c r="N266" s="122">
        <v>0</v>
      </c>
      <c r="O266" s="122">
        <v>0</v>
      </c>
      <c r="P266" s="122">
        <v>0</v>
      </c>
      <c r="Q266" s="122">
        <v>0</v>
      </c>
      <c r="R266" s="122">
        <v>0</v>
      </c>
      <c r="S266" s="122">
        <v>0</v>
      </c>
      <c r="T266" s="122">
        <v>0</v>
      </c>
      <c r="U266" s="122">
        <v>0</v>
      </c>
      <c r="V266" s="122">
        <v>0</v>
      </c>
      <c r="W266" s="122">
        <v>0</v>
      </c>
      <c r="X266" s="122">
        <v>0</v>
      </c>
      <c r="Y266" s="122">
        <v>0</v>
      </c>
      <c r="Z266" s="122">
        <v>0</v>
      </c>
      <c r="AA266" s="122">
        <v>0</v>
      </c>
      <c r="AB266" s="122">
        <v>0</v>
      </c>
      <c r="AC266" s="122">
        <v>0</v>
      </c>
      <c r="AD266" s="122">
        <v>0</v>
      </c>
      <c r="AE266" s="122">
        <v>0</v>
      </c>
      <c r="AF266" s="122">
        <v>0</v>
      </c>
      <c r="AG266" s="122">
        <v>0</v>
      </c>
      <c r="AH266" s="122">
        <v>0</v>
      </c>
      <c r="AI266" s="117">
        <f t="shared" si="6"/>
        <v>0</v>
      </c>
      <c r="AJ266" s="117">
        <f>SUM(F266:U266)</f>
        <v>0</v>
      </c>
      <c r="AK266" s="117">
        <f t="shared" si="7"/>
        <v>0</v>
      </c>
      <c r="AL266" s="23"/>
      <c r="AM266" s="127" t="b">
        <f>IF(INDEX($AO266:$BM266,0,$F$14)=1,TRUE,FALSE)</f>
        <v>1</v>
      </c>
      <c r="AN266" s="127" t="str">
        <f>IF(AM266,A266&amp;", "&amp;B266,"")</f>
        <v>Net recoverable costs allowed under incremental rolling incentive scheme, 2012/13</v>
      </c>
      <c r="AO266" s="129"/>
      <c r="AP266" s="129"/>
      <c r="AQ266" s="129">
        <v>1</v>
      </c>
      <c r="AR266" s="129">
        <v>1</v>
      </c>
      <c r="AS266" s="129">
        <v>1</v>
      </c>
      <c r="AT266" s="129">
        <v>1</v>
      </c>
      <c r="AU266" s="129">
        <v>1</v>
      </c>
      <c r="AV266" s="129">
        <v>1</v>
      </c>
      <c r="AW266" s="129">
        <v>1</v>
      </c>
      <c r="AX266" s="197">
        <v>1</v>
      </c>
      <c r="AY266" s="197">
        <v>1</v>
      </c>
      <c r="AZ266" s="197">
        <v>1</v>
      </c>
      <c r="BA266" s="197">
        <v>1</v>
      </c>
      <c r="BB266" s="129">
        <v>1</v>
      </c>
      <c r="BC266" s="129">
        <v>1</v>
      </c>
      <c r="BD266" s="129">
        <v>1</v>
      </c>
      <c r="BE266" s="129">
        <v>1</v>
      </c>
      <c r="BF266" s="129">
        <v>1</v>
      </c>
      <c r="BG266" s="129">
        <v>1</v>
      </c>
      <c r="BH266" s="129">
        <v>1</v>
      </c>
      <c r="BI266" s="129">
        <v>1</v>
      </c>
      <c r="BJ266" s="129">
        <v>1</v>
      </c>
      <c r="BK266" s="129">
        <v>1</v>
      </c>
      <c r="BL266" s="129">
        <v>1</v>
      </c>
      <c r="BM266" s="197">
        <v>1</v>
      </c>
    </row>
    <row r="267" spans="1:65" x14ac:dyDescent="0.25">
      <c r="A267" s="121" t="s">
        <v>129</v>
      </c>
      <c r="B267" s="121" t="s">
        <v>26</v>
      </c>
      <c r="C267" s="172" t="s">
        <v>222</v>
      </c>
      <c r="D267" s="161">
        <v>10</v>
      </c>
      <c r="E267" s="29" t="str">
        <f>INDEX(ra_ScName,MATCH(D267,ra_ScNumber,0))</f>
        <v>Disclosed nominal return (incl actual asset revaluations)</v>
      </c>
      <c r="F267" s="122">
        <v>0</v>
      </c>
      <c r="G267" s="122">
        <v>0</v>
      </c>
      <c r="H267" s="122">
        <v>0</v>
      </c>
      <c r="I267" s="122">
        <v>0</v>
      </c>
      <c r="J267" s="122">
        <v>0</v>
      </c>
      <c r="K267" s="122">
        <v>0</v>
      </c>
      <c r="L267" s="122">
        <v>0</v>
      </c>
      <c r="M267" s="122">
        <v>0</v>
      </c>
      <c r="N267" s="122">
        <v>0</v>
      </c>
      <c r="O267" s="122">
        <v>0</v>
      </c>
      <c r="P267" s="122">
        <v>0</v>
      </c>
      <c r="Q267" s="122">
        <v>0</v>
      </c>
      <c r="R267" s="122">
        <v>0</v>
      </c>
      <c r="S267" s="122">
        <v>0</v>
      </c>
      <c r="T267" s="122">
        <v>0</v>
      </c>
      <c r="U267" s="122">
        <v>0</v>
      </c>
      <c r="V267" s="122">
        <v>0</v>
      </c>
      <c r="W267" s="122">
        <v>0</v>
      </c>
      <c r="X267" s="122">
        <v>0</v>
      </c>
      <c r="Y267" s="122">
        <v>0</v>
      </c>
      <c r="Z267" s="122">
        <v>0</v>
      </c>
      <c r="AA267" s="122">
        <v>0</v>
      </c>
      <c r="AB267" s="122">
        <v>0</v>
      </c>
      <c r="AC267" s="122">
        <v>0</v>
      </c>
      <c r="AD267" s="122">
        <v>0</v>
      </c>
      <c r="AE267" s="122">
        <v>0</v>
      </c>
      <c r="AF267" s="122">
        <v>0</v>
      </c>
      <c r="AG267" s="122">
        <v>0</v>
      </c>
      <c r="AH267" s="122">
        <v>0</v>
      </c>
      <c r="AI267" s="117">
        <f t="shared" si="6"/>
        <v>0</v>
      </c>
      <c r="AJ267" s="117">
        <f>SUM(F267:U267)</f>
        <v>0</v>
      </c>
      <c r="AK267" s="117">
        <f t="shared" si="7"/>
        <v>0</v>
      </c>
      <c r="AL267" s="23"/>
      <c r="AM267" s="127" t="b">
        <f>IF(INDEX($AO267:$BM267,0,$F$14)=1,TRUE,FALSE)</f>
        <v>1</v>
      </c>
      <c r="AN267" s="127" t="str">
        <f>IF(AM267,A267&amp;", "&amp;B267,"")</f>
        <v>Net recoverable costs allowed under incremental rolling incentive scheme, 2013/14</v>
      </c>
      <c r="AO267" s="129"/>
      <c r="AP267" s="129"/>
      <c r="AQ267" s="129">
        <v>1</v>
      </c>
      <c r="AR267" s="129">
        <v>1</v>
      </c>
      <c r="AS267" s="129">
        <v>1</v>
      </c>
      <c r="AT267" s="129">
        <v>1</v>
      </c>
      <c r="AU267" s="129">
        <v>1</v>
      </c>
      <c r="AV267" s="129">
        <v>1</v>
      </c>
      <c r="AW267" s="129">
        <v>1</v>
      </c>
      <c r="AX267" s="197">
        <v>1</v>
      </c>
      <c r="AY267" s="197">
        <v>1</v>
      </c>
      <c r="AZ267" s="197">
        <v>1</v>
      </c>
      <c r="BA267" s="197">
        <v>1</v>
      </c>
      <c r="BB267" s="129">
        <v>1</v>
      </c>
      <c r="BC267" s="129">
        <v>1</v>
      </c>
      <c r="BD267" s="129">
        <v>1</v>
      </c>
      <c r="BE267" s="129">
        <v>1</v>
      </c>
      <c r="BF267" s="129">
        <v>1</v>
      </c>
      <c r="BG267" s="129">
        <v>1</v>
      </c>
      <c r="BH267" s="129">
        <v>1</v>
      </c>
      <c r="BI267" s="129">
        <v>1</v>
      </c>
      <c r="BJ267" s="129">
        <v>1</v>
      </c>
      <c r="BK267" s="129">
        <v>1</v>
      </c>
      <c r="BL267" s="129">
        <v>1</v>
      </c>
      <c r="BM267" s="197">
        <v>1</v>
      </c>
    </row>
    <row r="268" spans="1:65" x14ac:dyDescent="0.25">
      <c r="A268" s="121" t="s">
        <v>129</v>
      </c>
      <c r="B268" s="121" t="s">
        <v>27</v>
      </c>
      <c r="C268" s="172" t="s">
        <v>222</v>
      </c>
      <c r="D268" s="161">
        <v>10</v>
      </c>
      <c r="E268" s="29" t="str">
        <f>INDEX(ra_ScName,MATCH(D268,ra_ScNumber,0))</f>
        <v>Disclosed nominal return (incl actual asset revaluations)</v>
      </c>
      <c r="F268" s="122">
        <v>0</v>
      </c>
      <c r="G268" s="122">
        <v>0</v>
      </c>
      <c r="H268" s="122">
        <v>0</v>
      </c>
      <c r="I268" s="122">
        <v>0</v>
      </c>
      <c r="J268" s="122">
        <v>0</v>
      </c>
      <c r="K268" s="122">
        <v>0</v>
      </c>
      <c r="L268" s="122">
        <v>0</v>
      </c>
      <c r="M268" s="122">
        <v>0</v>
      </c>
      <c r="N268" s="122">
        <v>0</v>
      </c>
      <c r="O268" s="122">
        <v>0</v>
      </c>
      <c r="P268" s="122">
        <v>0</v>
      </c>
      <c r="Q268" s="122">
        <v>0</v>
      </c>
      <c r="R268" s="122">
        <v>0</v>
      </c>
      <c r="S268" s="122">
        <v>0</v>
      </c>
      <c r="T268" s="122">
        <v>0</v>
      </c>
      <c r="U268" s="122">
        <v>0</v>
      </c>
      <c r="V268" s="122">
        <v>0</v>
      </c>
      <c r="W268" s="122">
        <v>0</v>
      </c>
      <c r="X268" s="122">
        <v>0</v>
      </c>
      <c r="Y268" s="122">
        <v>0</v>
      </c>
      <c r="Z268" s="122">
        <v>0</v>
      </c>
      <c r="AA268" s="122">
        <v>0</v>
      </c>
      <c r="AB268" s="122">
        <v>0</v>
      </c>
      <c r="AC268" s="122">
        <v>0</v>
      </c>
      <c r="AD268" s="122">
        <v>0</v>
      </c>
      <c r="AE268" s="122">
        <v>0</v>
      </c>
      <c r="AF268" s="122">
        <v>0</v>
      </c>
      <c r="AG268" s="122">
        <v>0</v>
      </c>
      <c r="AH268" s="122">
        <v>0</v>
      </c>
      <c r="AI268" s="117">
        <f t="shared" si="6"/>
        <v>0</v>
      </c>
      <c r="AJ268" s="117">
        <f>SUM(F268:U268)</f>
        <v>0</v>
      </c>
      <c r="AK268" s="117">
        <f t="shared" si="7"/>
        <v>0</v>
      </c>
      <c r="AL268" s="23"/>
      <c r="AM268" s="127" t="b">
        <f>IF(INDEX($AO268:$BM268,0,$F$14)=1,TRUE,FALSE)</f>
        <v>1</v>
      </c>
      <c r="AN268" s="127" t="str">
        <f>IF(AM268,A268&amp;", "&amp;B268,"")</f>
        <v>Net recoverable costs allowed under incremental rolling incentive scheme, 2014/15</v>
      </c>
      <c r="AO268" s="129"/>
      <c r="AP268" s="129"/>
      <c r="AQ268" s="129">
        <v>1</v>
      </c>
      <c r="AR268" s="129">
        <v>1</v>
      </c>
      <c r="AS268" s="129">
        <v>1</v>
      </c>
      <c r="AT268" s="129">
        <v>1</v>
      </c>
      <c r="AU268" s="129">
        <v>1</v>
      </c>
      <c r="AV268" s="129">
        <v>1</v>
      </c>
      <c r="AW268" s="129">
        <v>1</v>
      </c>
      <c r="AX268" s="197">
        <v>1</v>
      </c>
      <c r="AY268" s="197">
        <v>1</v>
      </c>
      <c r="AZ268" s="197">
        <v>1</v>
      </c>
      <c r="BA268" s="197">
        <v>1</v>
      </c>
      <c r="BB268" s="129">
        <v>1</v>
      </c>
      <c r="BC268" s="129">
        <v>1</v>
      </c>
      <c r="BD268" s="129">
        <v>1</v>
      </c>
      <c r="BE268" s="129">
        <v>1</v>
      </c>
      <c r="BF268" s="129">
        <v>1</v>
      </c>
      <c r="BG268" s="129">
        <v>1</v>
      </c>
      <c r="BH268" s="129">
        <v>1</v>
      </c>
      <c r="BI268" s="129">
        <v>1</v>
      </c>
      <c r="BJ268" s="129">
        <v>1</v>
      </c>
      <c r="BK268" s="129">
        <v>1</v>
      </c>
      <c r="BL268" s="129">
        <v>1</v>
      </c>
      <c r="BM268" s="197">
        <v>1</v>
      </c>
    </row>
    <row r="269" spans="1:65" x14ac:dyDescent="0.25">
      <c r="A269" s="121"/>
      <c r="B269" s="121"/>
      <c r="C269" s="172"/>
      <c r="D269" s="49"/>
      <c r="E269" s="49"/>
      <c r="F269" s="54"/>
      <c r="G269" s="54"/>
      <c r="H269" s="54"/>
      <c r="I269" s="54"/>
      <c r="J269" s="54"/>
      <c r="K269" s="54"/>
      <c r="L269" s="54"/>
      <c r="M269" s="54"/>
      <c r="N269" s="54"/>
      <c r="O269" s="54"/>
      <c r="P269" s="54"/>
      <c r="Q269" s="54"/>
      <c r="R269" s="54"/>
      <c r="S269" s="54"/>
      <c r="T269" s="54"/>
      <c r="U269" s="54"/>
      <c r="V269" s="54"/>
      <c r="W269" s="55"/>
      <c r="X269" s="55"/>
      <c r="Y269" s="55"/>
      <c r="Z269" s="55"/>
      <c r="AA269" s="55"/>
      <c r="AB269" s="55"/>
      <c r="AC269" s="55"/>
      <c r="AD269" s="55"/>
      <c r="AE269" s="55"/>
      <c r="AF269" s="55"/>
      <c r="AG269" s="55"/>
      <c r="AH269" s="55"/>
      <c r="AI269" s="54"/>
      <c r="AJ269" s="54"/>
      <c r="AK269" s="54"/>
      <c r="AL269" s="23"/>
      <c r="AM269" s="127"/>
      <c r="AN269" s="127"/>
      <c r="AO269" s="129"/>
      <c r="AP269" s="129"/>
      <c r="AQ269" s="129"/>
      <c r="AR269" s="129"/>
      <c r="AS269" s="129"/>
      <c r="AT269" s="129"/>
      <c r="AU269" s="129"/>
      <c r="AV269" s="129"/>
      <c r="AW269" s="129"/>
      <c r="AX269" s="197"/>
      <c r="AY269" s="197"/>
      <c r="AZ269" s="197"/>
      <c r="BA269" s="197"/>
      <c r="BB269" s="129"/>
      <c r="BC269" s="129"/>
      <c r="BD269" s="129"/>
      <c r="BE269" s="129"/>
      <c r="BF269" s="129"/>
      <c r="BG269" s="129"/>
      <c r="BH269" s="129"/>
      <c r="BI269" s="129"/>
      <c r="BJ269" s="129"/>
      <c r="BK269" s="129"/>
      <c r="BL269" s="129"/>
      <c r="BM269" s="197"/>
    </row>
    <row r="270" spans="1:65" x14ac:dyDescent="0.25">
      <c r="A270" s="121"/>
      <c r="B270" s="121"/>
      <c r="C270" s="172"/>
      <c r="D270" s="46"/>
      <c r="E270" s="46"/>
      <c r="F270" s="54"/>
      <c r="G270" s="54"/>
      <c r="H270" s="54"/>
      <c r="I270" s="54"/>
      <c r="J270" s="54"/>
      <c r="K270" s="54"/>
      <c r="L270" s="54"/>
      <c r="M270" s="54"/>
      <c r="N270" s="54"/>
      <c r="O270" s="54"/>
      <c r="P270" s="54"/>
      <c r="Q270" s="54"/>
      <c r="R270" s="54"/>
      <c r="S270" s="54"/>
      <c r="T270" s="54"/>
      <c r="U270" s="54"/>
      <c r="V270" s="54"/>
      <c r="W270" s="55"/>
      <c r="X270" s="55"/>
      <c r="Y270" s="55"/>
      <c r="Z270" s="55"/>
      <c r="AA270" s="55"/>
      <c r="AB270" s="55"/>
      <c r="AC270" s="55"/>
      <c r="AD270" s="55"/>
      <c r="AE270" s="55"/>
      <c r="AF270" s="55"/>
      <c r="AG270" s="55"/>
      <c r="AH270" s="55"/>
      <c r="AI270" s="54"/>
      <c r="AJ270" s="54"/>
      <c r="AK270" s="54"/>
      <c r="AL270" s="23"/>
      <c r="AM270" s="127"/>
      <c r="AN270" s="127"/>
      <c r="AO270" s="129"/>
      <c r="AP270" s="129"/>
      <c r="AQ270" s="129"/>
      <c r="AR270" s="129"/>
      <c r="AS270" s="129"/>
      <c r="AT270" s="129"/>
      <c r="AU270" s="129"/>
      <c r="AV270" s="129"/>
      <c r="AW270" s="129"/>
      <c r="AX270" s="197"/>
      <c r="AY270" s="197"/>
      <c r="AZ270" s="197"/>
      <c r="BA270" s="197"/>
      <c r="BB270" s="129"/>
      <c r="BC270" s="129"/>
      <c r="BD270" s="129"/>
      <c r="BE270" s="129"/>
      <c r="BF270" s="129"/>
      <c r="BG270" s="129"/>
      <c r="BH270" s="129"/>
      <c r="BI270" s="129"/>
      <c r="BJ270" s="129"/>
      <c r="BK270" s="129"/>
      <c r="BL270" s="129"/>
      <c r="BM270" s="197"/>
    </row>
    <row r="271" spans="1:65" x14ac:dyDescent="0.25">
      <c r="A271" s="121" t="s">
        <v>130</v>
      </c>
      <c r="B271" s="121" t="s">
        <v>23</v>
      </c>
      <c r="C271" s="172" t="s">
        <v>222</v>
      </c>
      <c r="D271" s="161">
        <v>1</v>
      </c>
      <c r="E271" s="29" t="str">
        <f>INDEX(ra_ScName,MATCH(D271,ra_ScNumber,0))</f>
        <v>Expected nominal return (incl forecast asset revaluations)</v>
      </c>
      <c r="F271" s="54"/>
      <c r="G271" s="54"/>
      <c r="H271" s="54"/>
      <c r="I271" s="54"/>
      <c r="J271" s="54"/>
      <c r="K271" s="54"/>
      <c r="L271" s="54"/>
      <c r="M271" s="54"/>
      <c r="N271" s="54"/>
      <c r="O271" s="54"/>
      <c r="P271" s="54"/>
      <c r="Q271" s="54"/>
      <c r="R271" s="54"/>
      <c r="S271" s="54"/>
      <c r="T271" s="54"/>
      <c r="U271" s="54"/>
      <c r="V271" s="54"/>
      <c r="W271" s="54"/>
      <c r="X271" s="54"/>
      <c r="Y271" s="54"/>
      <c r="Z271" s="54"/>
      <c r="AA271" s="54"/>
      <c r="AB271" s="54"/>
      <c r="AC271" s="54"/>
      <c r="AD271" s="54"/>
      <c r="AE271" s="54"/>
      <c r="AF271" s="54"/>
      <c r="AG271" s="54"/>
      <c r="AH271" s="54"/>
      <c r="AI271" s="117">
        <f t="shared" si="6"/>
        <v>0</v>
      </c>
      <c r="AJ271" s="117">
        <f>SUM(F271:U271)</f>
        <v>0</v>
      </c>
      <c r="AK271" s="117">
        <f t="shared" si="7"/>
        <v>0</v>
      </c>
      <c r="AL271" s="23"/>
      <c r="AM271" s="127" t="b">
        <f>IF(INDEX($AO271:$BM271,0,$F$14)=1,TRUE,FALSE)</f>
        <v>0</v>
      </c>
      <c r="AN271" s="127" t="str">
        <f>IF(AM271,A271&amp;", "&amp;B271,"")</f>
        <v/>
      </c>
      <c r="AO271" s="129">
        <v>1</v>
      </c>
      <c r="AP271" s="129">
        <v>1</v>
      </c>
      <c r="AQ271" s="129"/>
      <c r="AR271" s="129"/>
      <c r="AS271" s="129"/>
      <c r="AT271" s="129"/>
      <c r="AU271" s="129"/>
      <c r="AV271" s="129"/>
      <c r="AW271" s="129"/>
      <c r="AX271" s="197"/>
      <c r="AY271" s="197"/>
      <c r="AZ271" s="197"/>
      <c r="BA271" s="197"/>
      <c r="BB271" s="129"/>
      <c r="BC271" s="129"/>
      <c r="BD271" s="129"/>
      <c r="BE271" s="129"/>
      <c r="BF271" s="129"/>
      <c r="BG271" s="129"/>
      <c r="BH271" s="129"/>
      <c r="BI271" s="129"/>
      <c r="BJ271" s="129"/>
      <c r="BK271" s="129"/>
      <c r="BL271" s="129"/>
      <c r="BM271" s="197"/>
    </row>
    <row r="272" spans="1:65" x14ac:dyDescent="0.25">
      <c r="A272" s="121" t="s">
        <v>130</v>
      </c>
      <c r="B272" s="121" t="s">
        <v>24</v>
      </c>
      <c r="C272" s="172" t="s">
        <v>222</v>
      </c>
      <c r="D272" s="161">
        <v>1</v>
      </c>
      <c r="E272" s="29" t="str">
        <f>INDEX(ra_ScName,MATCH(D272,ra_ScNumber,0))</f>
        <v>Expected nominal return (incl forecast asset revaluations)</v>
      </c>
      <c r="F272" s="54"/>
      <c r="G272" s="54"/>
      <c r="H272" s="54"/>
      <c r="I272" s="54"/>
      <c r="J272" s="54"/>
      <c r="K272" s="54"/>
      <c r="L272" s="54"/>
      <c r="M272" s="54"/>
      <c r="N272" s="54"/>
      <c r="O272" s="54"/>
      <c r="P272" s="54"/>
      <c r="Q272" s="54"/>
      <c r="R272" s="54"/>
      <c r="S272" s="54"/>
      <c r="T272" s="54"/>
      <c r="U272" s="54"/>
      <c r="V272" s="54"/>
      <c r="W272" s="54"/>
      <c r="X272" s="54"/>
      <c r="Y272" s="54"/>
      <c r="Z272" s="54"/>
      <c r="AA272" s="54"/>
      <c r="AB272" s="54"/>
      <c r="AC272" s="54"/>
      <c r="AD272" s="54"/>
      <c r="AE272" s="54"/>
      <c r="AF272" s="54"/>
      <c r="AG272" s="54"/>
      <c r="AH272" s="54"/>
      <c r="AI272" s="117">
        <f t="shared" si="6"/>
        <v>0</v>
      </c>
      <c r="AJ272" s="117">
        <f>SUM(F272:U272)</f>
        <v>0</v>
      </c>
      <c r="AK272" s="117">
        <f t="shared" si="7"/>
        <v>0</v>
      </c>
      <c r="AL272" s="23"/>
      <c r="AM272" s="127" t="b">
        <f>IF(INDEX($AO272:$BM272,0,$F$14)=1,TRUE,FALSE)</f>
        <v>0</v>
      </c>
      <c r="AN272" s="127" t="str">
        <f>IF(AM272,A272&amp;", "&amp;B272,"")</f>
        <v/>
      </c>
      <c r="AO272" s="129">
        <v>1</v>
      </c>
      <c r="AP272" s="129">
        <v>1</v>
      </c>
      <c r="AQ272" s="129"/>
      <c r="AR272" s="129"/>
      <c r="AS272" s="129"/>
      <c r="AT272" s="129"/>
      <c r="AU272" s="129"/>
      <c r="AV272" s="129"/>
      <c r="AW272" s="129"/>
      <c r="AX272" s="197"/>
      <c r="AY272" s="197"/>
      <c r="AZ272" s="197"/>
      <c r="BA272" s="197"/>
      <c r="BB272" s="129"/>
      <c r="BC272" s="129"/>
      <c r="BD272" s="129"/>
      <c r="BE272" s="129"/>
      <c r="BF272" s="129"/>
      <c r="BG272" s="129"/>
      <c r="BH272" s="129"/>
      <c r="BI272" s="129"/>
      <c r="BJ272" s="129"/>
      <c r="BK272" s="129"/>
      <c r="BL272" s="129"/>
      <c r="BM272" s="197"/>
    </row>
    <row r="273" spans="1:65" x14ac:dyDescent="0.25">
      <c r="A273" s="121" t="s">
        <v>130</v>
      </c>
      <c r="B273" s="121" t="s">
        <v>25</v>
      </c>
      <c r="C273" s="172" t="s">
        <v>222</v>
      </c>
      <c r="D273" s="161">
        <v>1</v>
      </c>
      <c r="E273" s="29" t="str">
        <f>INDEX(ra_ScName,MATCH(D273,ra_ScNumber,0))</f>
        <v>Expected nominal return (incl forecast asset revaluations)</v>
      </c>
      <c r="F273" s="54"/>
      <c r="G273" s="54"/>
      <c r="H273" s="54"/>
      <c r="I273" s="54"/>
      <c r="J273" s="54"/>
      <c r="K273" s="54"/>
      <c r="L273" s="54"/>
      <c r="M273" s="54"/>
      <c r="N273" s="54"/>
      <c r="O273" s="54"/>
      <c r="P273" s="54"/>
      <c r="Q273" s="54"/>
      <c r="R273" s="54"/>
      <c r="S273" s="54"/>
      <c r="T273" s="54"/>
      <c r="U273" s="54"/>
      <c r="V273" s="54"/>
      <c r="W273" s="54"/>
      <c r="X273" s="54"/>
      <c r="Y273" s="54"/>
      <c r="Z273" s="54"/>
      <c r="AA273" s="54"/>
      <c r="AB273" s="54"/>
      <c r="AC273" s="54"/>
      <c r="AD273" s="54"/>
      <c r="AE273" s="54"/>
      <c r="AF273" s="54"/>
      <c r="AG273" s="54"/>
      <c r="AH273" s="54"/>
      <c r="AI273" s="117">
        <f t="shared" si="6"/>
        <v>0</v>
      </c>
      <c r="AJ273" s="117">
        <f>SUM(F273:U273)</f>
        <v>0</v>
      </c>
      <c r="AK273" s="117">
        <f t="shared" si="7"/>
        <v>0</v>
      </c>
      <c r="AL273" s="23"/>
      <c r="AM273" s="127" t="b">
        <f>IF(INDEX($AO273:$BM273,0,$F$14)=1,TRUE,FALSE)</f>
        <v>0</v>
      </c>
      <c r="AN273" s="127" t="str">
        <f>IF(AM273,A273&amp;", "&amp;B273,"")</f>
        <v/>
      </c>
      <c r="AO273" s="129">
        <v>1</v>
      </c>
      <c r="AP273" s="129">
        <v>1</v>
      </c>
      <c r="AQ273" s="129"/>
      <c r="AR273" s="129"/>
      <c r="AS273" s="129"/>
      <c r="AT273" s="129"/>
      <c r="AU273" s="129"/>
      <c r="AV273" s="129"/>
      <c r="AW273" s="129"/>
      <c r="AX273" s="197"/>
      <c r="AY273" s="197"/>
      <c r="AZ273" s="197"/>
      <c r="BA273" s="197"/>
      <c r="BB273" s="129"/>
      <c r="BC273" s="129"/>
      <c r="BD273" s="129"/>
      <c r="BE273" s="129"/>
      <c r="BF273" s="129"/>
      <c r="BG273" s="129"/>
      <c r="BH273" s="129"/>
      <c r="BI273" s="129"/>
      <c r="BJ273" s="129"/>
      <c r="BK273" s="129"/>
      <c r="BL273" s="129"/>
      <c r="BM273" s="197"/>
    </row>
    <row r="274" spans="1:65" x14ac:dyDescent="0.25">
      <c r="A274" s="121" t="s">
        <v>130</v>
      </c>
      <c r="B274" s="121" t="s">
        <v>26</v>
      </c>
      <c r="C274" s="172" t="s">
        <v>222</v>
      </c>
      <c r="D274" s="161">
        <v>1</v>
      </c>
      <c r="E274" s="29" t="str">
        <f>INDEX(ra_ScName,MATCH(D274,ra_ScNumber,0))</f>
        <v>Expected nominal return (incl forecast asset revaluations)</v>
      </c>
      <c r="F274" s="54"/>
      <c r="G274" s="54"/>
      <c r="H274" s="54"/>
      <c r="I274" s="54"/>
      <c r="J274" s="54"/>
      <c r="K274" s="54"/>
      <c r="L274" s="54"/>
      <c r="M274" s="54"/>
      <c r="N274" s="54"/>
      <c r="O274" s="54"/>
      <c r="P274" s="54"/>
      <c r="Q274" s="54"/>
      <c r="R274" s="54"/>
      <c r="S274" s="54"/>
      <c r="T274" s="54"/>
      <c r="U274" s="54"/>
      <c r="V274" s="54"/>
      <c r="W274" s="54"/>
      <c r="X274" s="54"/>
      <c r="Y274" s="54"/>
      <c r="Z274" s="54"/>
      <c r="AA274" s="54"/>
      <c r="AB274" s="54"/>
      <c r="AC274" s="54"/>
      <c r="AD274" s="54"/>
      <c r="AE274" s="54"/>
      <c r="AF274" s="54"/>
      <c r="AG274" s="54"/>
      <c r="AH274" s="54"/>
      <c r="AI274" s="117">
        <f t="shared" si="6"/>
        <v>0</v>
      </c>
      <c r="AJ274" s="117">
        <f>SUM(F274:U274)</f>
        <v>0</v>
      </c>
      <c r="AK274" s="117">
        <f t="shared" si="7"/>
        <v>0</v>
      </c>
      <c r="AL274" s="23"/>
      <c r="AM274" s="127" t="b">
        <f>IF(INDEX($AO274:$BM274,0,$F$14)=1,TRUE,FALSE)</f>
        <v>0</v>
      </c>
      <c r="AN274" s="127" t="str">
        <f>IF(AM274,A274&amp;", "&amp;B274,"")</f>
        <v/>
      </c>
      <c r="AO274" s="129">
        <v>1</v>
      </c>
      <c r="AP274" s="129">
        <v>1</v>
      </c>
      <c r="AQ274" s="129"/>
      <c r="AR274" s="129"/>
      <c r="AS274" s="129"/>
      <c r="AT274" s="129"/>
      <c r="AU274" s="129"/>
      <c r="AV274" s="129"/>
      <c r="AW274" s="129"/>
      <c r="AX274" s="197"/>
      <c r="AY274" s="197"/>
      <c r="AZ274" s="197"/>
      <c r="BA274" s="197"/>
      <c r="BB274" s="129"/>
      <c r="BC274" s="129"/>
      <c r="BD274" s="129"/>
      <c r="BE274" s="129"/>
      <c r="BF274" s="129"/>
      <c r="BG274" s="129"/>
      <c r="BH274" s="129"/>
      <c r="BI274" s="129"/>
      <c r="BJ274" s="129"/>
      <c r="BK274" s="129"/>
      <c r="BL274" s="129"/>
      <c r="BM274" s="197"/>
    </row>
    <row r="275" spans="1:65" x14ac:dyDescent="0.25">
      <c r="A275" s="121" t="s">
        <v>130</v>
      </c>
      <c r="B275" s="121" t="s">
        <v>27</v>
      </c>
      <c r="C275" s="172" t="s">
        <v>222</v>
      </c>
      <c r="D275" s="161">
        <v>1</v>
      </c>
      <c r="E275" s="29" t="str">
        <f>INDEX(ra_ScName,MATCH(D275,ra_ScNumber,0))</f>
        <v>Expected nominal return (incl forecast asset revaluations)</v>
      </c>
      <c r="F275" s="54"/>
      <c r="G275" s="54"/>
      <c r="H275" s="54"/>
      <c r="I275" s="54"/>
      <c r="J275" s="54"/>
      <c r="K275" s="54"/>
      <c r="L275" s="54"/>
      <c r="M275" s="54"/>
      <c r="N275" s="54"/>
      <c r="O275" s="54"/>
      <c r="P275" s="54"/>
      <c r="Q275" s="54"/>
      <c r="R275" s="54"/>
      <c r="S275" s="54"/>
      <c r="T275" s="54"/>
      <c r="U275" s="54"/>
      <c r="V275" s="54"/>
      <c r="W275" s="54"/>
      <c r="X275" s="54"/>
      <c r="Y275" s="54"/>
      <c r="Z275" s="54"/>
      <c r="AA275" s="54"/>
      <c r="AB275" s="54"/>
      <c r="AC275" s="54"/>
      <c r="AD275" s="54"/>
      <c r="AE275" s="54"/>
      <c r="AF275" s="54"/>
      <c r="AG275" s="54"/>
      <c r="AH275" s="54"/>
      <c r="AI275" s="117">
        <f t="shared" si="6"/>
        <v>0</v>
      </c>
      <c r="AJ275" s="117">
        <f>SUM(F275:U275)</f>
        <v>0</v>
      </c>
      <c r="AK275" s="117">
        <f t="shared" si="7"/>
        <v>0</v>
      </c>
      <c r="AL275" s="23"/>
      <c r="AM275" s="127" t="b">
        <f>IF(INDEX($AO275:$BM275,0,$F$14)=1,TRUE,FALSE)</f>
        <v>0</v>
      </c>
      <c r="AN275" s="127" t="str">
        <f>IF(AM275,A275&amp;", "&amp;B275,"")</f>
        <v/>
      </c>
      <c r="AO275" s="129">
        <v>1</v>
      </c>
      <c r="AP275" s="129">
        <v>1</v>
      </c>
      <c r="AQ275" s="129"/>
      <c r="AR275" s="129"/>
      <c r="AS275" s="129"/>
      <c r="AT275" s="129"/>
      <c r="AU275" s="129"/>
      <c r="AV275" s="129"/>
      <c r="AW275" s="129"/>
      <c r="AX275" s="197"/>
      <c r="AY275" s="197"/>
      <c r="AZ275" s="197"/>
      <c r="BA275" s="197"/>
      <c r="BB275" s="129"/>
      <c r="BC275" s="129"/>
      <c r="BD275" s="129"/>
      <c r="BE275" s="129"/>
      <c r="BF275" s="129"/>
      <c r="BG275" s="129"/>
      <c r="BH275" s="129"/>
      <c r="BI275" s="129"/>
      <c r="BJ275" s="129"/>
      <c r="BK275" s="129"/>
      <c r="BL275" s="129"/>
      <c r="BM275" s="197"/>
    </row>
    <row r="276" spans="1:65" x14ac:dyDescent="0.25">
      <c r="A276" s="49"/>
      <c r="B276" s="121"/>
      <c r="C276" s="172"/>
      <c r="D276" s="49"/>
      <c r="E276" s="49"/>
      <c r="F276" s="54"/>
      <c r="G276" s="54"/>
      <c r="H276" s="54"/>
      <c r="I276" s="54"/>
      <c r="J276" s="54"/>
      <c r="K276" s="54"/>
      <c r="L276" s="54"/>
      <c r="M276" s="54"/>
      <c r="N276" s="54"/>
      <c r="O276" s="54"/>
      <c r="P276" s="54"/>
      <c r="Q276" s="54"/>
      <c r="R276" s="54"/>
      <c r="S276" s="54"/>
      <c r="T276" s="54"/>
      <c r="U276" s="54"/>
      <c r="V276" s="54"/>
      <c r="W276" s="55"/>
      <c r="X276" s="55"/>
      <c r="Y276" s="55"/>
      <c r="Z276" s="55"/>
      <c r="AA276" s="55"/>
      <c r="AB276" s="55"/>
      <c r="AC276" s="55"/>
      <c r="AD276" s="55"/>
      <c r="AE276" s="55"/>
      <c r="AF276" s="55"/>
      <c r="AG276" s="55"/>
      <c r="AH276" s="55"/>
      <c r="AI276" s="54"/>
      <c r="AJ276" s="54"/>
      <c r="AK276" s="54"/>
      <c r="AL276" s="23"/>
      <c r="AM276" s="127"/>
      <c r="AN276" s="127"/>
      <c r="AO276" s="129"/>
      <c r="AP276" s="129"/>
      <c r="AQ276" s="129"/>
      <c r="AR276" s="129"/>
      <c r="AS276" s="129"/>
      <c r="AT276" s="129"/>
      <c r="AU276" s="129"/>
      <c r="AV276" s="129"/>
      <c r="AW276" s="129"/>
      <c r="AX276" s="197"/>
      <c r="AY276" s="197"/>
      <c r="AZ276" s="197"/>
      <c r="BA276" s="197"/>
      <c r="BB276" s="129"/>
      <c r="BC276" s="129"/>
      <c r="BD276" s="129"/>
      <c r="BE276" s="129"/>
      <c r="BF276" s="129"/>
      <c r="BG276" s="129"/>
      <c r="BH276" s="129"/>
      <c r="BI276" s="129"/>
      <c r="BJ276" s="129"/>
      <c r="BK276" s="129"/>
      <c r="BL276" s="129"/>
      <c r="BM276" s="197"/>
    </row>
    <row r="277" spans="1:65" x14ac:dyDescent="0.25">
      <c r="A277" s="121"/>
      <c r="B277" s="121"/>
      <c r="C277" s="172"/>
      <c r="D277" s="46"/>
      <c r="E277" s="46"/>
      <c r="F277" s="54"/>
      <c r="G277" s="54"/>
      <c r="H277" s="54"/>
      <c r="I277" s="54"/>
      <c r="J277" s="54"/>
      <c r="K277" s="54"/>
      <c r="L277" s="54"/>
      <c r="M277" s="54"/>
      <c r="N277" s="54"/>
      <c r="O277" s="54"/>
      <c r="P277" s="54"/>
      <c r="Q277" s="54"/>
      <c r="R277" s="54"/>
      <c r="S277" s="54"/>
      <c r="T277" s="54"/>
      <c r="U277" s="54"/>
      <c r="V277" s="54"/>
      <c r="W277" s="55"/>
      <c r="X277" s="55"/>
      <c r="Y277" s="55"/>
      <c r="Z277" s="55"/>
      <c r="AA277" s="55"/>
      <c r="AB277" s="55"/>
      <c r="AC277" s="55"/>
      <c r="AD277" s="55"/>
      <c r="AE277" s="55"/>
      <c r="AF277" s="55"/>
      <c r="AG277" s="55"/>
      <c r="AH277" s="55"/>
      <c r="AI277" s="54"/>
      <c r="AJ277" s="54"/>
      <c r="AK277" s="54"/>
      <c r="AL277" s="23"/>
      <c r="AM277" s="127"/>
      <c r="AN277" s="127"/>
      <c r="AO277" s="129"/>
      <c r="AP277" s="129"/>
      <c r="AQ277" s="129"/>
      <c r="AR277" s="129"/>
      <c r="AS277" s="129"/>
      <c r="AT277" s="129"/>
      <c r="AU277" s="129"/>
      <c r="AV277" s="129"/>
      <c r="AW277" s="129"/>
      <c r="AX277" s="197"/>
      <c r="AY277" s="197"/>
      <c r="AZ277" s="197"/>
      <c r="BA277" s="197"/>
      <c r="BB277" s="129"/>
      <c r="BC277" s="129"/>
      <c r="BD277" s="129"/>
      <c r="BE277" s="129"/>
      <c r="BF277" s="129"/>
      <c r="BG277" s="129"/>
      <c r="BH277" s="129"/>
      <c r="BI277" s="129"/>
      <c r="BJ277" s="129"/>
      <c r="BK277" s="129"/>
      <c r="BL277" s="129"/>
      <c r="BM277" s="197"/>
    </row>
    <row r="278" spans="1:65" x14ac:dyDescent="0.25">
      <c r="A278" s="121" t="s">
        <v>130</v>
      </c>
      <c r="B278" s="121" t="s">
        <v>23</v>
      </c>
      <c r="C278" s="172" t="s">
        <v>222</v>
      </c>
      <c r="D278" s="161">
        <v>10</v>
      </c>
      <c r="E278" s="29" t="str">
        <f>INDEX(ra_ScName,MATCH(D278,ra_ScNumber,0))</f>
        <v>Disclosed nominal return (incl actual asset revaluations)</v>
      </c>
      <c r="F278" s="122">
        <v>0</v>
      </c>
      <c r="G278" s="122">
        <v>0</v>
      </c>
      <c r="H278" s="122">
        <v>0</v>
      </c>
      <c r="I278" s="122">
        <v>0</v>
      </c>
      <c r="J278" s="122">
        <v>0</v>
      </c>
      <c r="K278" s="122">
        <v>0</v>
      </c>
      <c r="L278" s="122">
        <v>0</v>
      </c>
      <c r="M278" s="122">
        <v>0</v>
      </c>
      <c r="N278" s="122">
        <v>0</v>
      </c>
      <c r="O278" s="122">
        <v>0</v>
      </c>
      <c r="P278" s="122">
        <v>0</v>
      </c>
      <c r="Q278" s="122">
        <v>0</v>
      </c>
      <c r="R278" s="122">
        <v>0</v>
      </c>
      <c r="S278" s="122">
        <v>0</v>
      </c>
      <c r="T278" s="122">
        <v>0</v>
      </c>
      <c r="U278" s="122">
        <v>0</v>
      </c>
      <c r="V278" s="122">
        <v>0</v>
      </c>
      <c r="W278" s="122">
        <v>0</v>
      </c>
      <c r="X278" s="122">
        <v>0</v>
      </c>
      <c r="Y278" s="122">
        <v>0</v>
      </c>
      <c r="Z278" s="122">
        <v>0</v>
      </c>
      <c r="AA278" s="122">
        <v>0</v>
      </c>
      <c r="AB278" s="122">
        <v>0</v>
      </c>
      <c r="AC278" s="122">
        <v>0</v>
      </c>
      <c r="AD278" s="122">
        <v>0</v>
      </c>
      <c r="AE278" s="122">
        <v>0</v>
      </c>
      <c r="AF278" s="122">
        <v>0</v>
      </c>
      <c r="AG278" s="122">
        <v>0</v>
      </c>
      <c r="AH278" s="122">
        <v>0</v>
      </c>
      <c r="AI278" s="117">
        <f t="shared" si="6"/>
        <v>0</v>
      </c>
      <c r="AJ278" s="117">
        <f>SUM(F278:U278)</f>
        <v>0</v>
      </c>
      <c r="AK278" s="117">
        <f t="shared" si="7"/>
        <v>0</v>
      </c>
      <c r="AL278" s="23"/>
      <c r="AM278" s="127" t="b">
        <f>IF(INDEX($AO278:$BM278,0,$F$14)=1,TRUE,FALSE)</f>
        <v>1</v>
      </c>
      <c r="AN278" s="127" t="str">
        <f>IF(AM278,A278&amp;", "&amp;B278,"")</f>
        <v>Purchased assets – avoided transmission charge, 2010/11</v>
      </c>
      <c r="AO278" s="129"/>
      <c r="AP278" s="129"/>
      <c r="AQ278" s="129">
        <v>1</v>
      </c>
      <c r="AR278" s="129">
        <v>1</v>
      </c>
      <c r="AS278" s="129">
        <v>1</v>
      </c>
      <c r="AT278" s="129">
        <v>1</v>
      </c>
      <c r="AU278" s="129">
        <v>1</v>
      </c>
      <c r="AV278" s="129">
        <v>1</v>
      </c>
      <c r="AW278" s="129">
        <v>1</v>
      </c>
      <c r="AX278" s="197">
        <v>1</v>
      </c>
      <c r="AY278" s="197">
        <v>1</v>
      </c>
      <c r="AZ278" s="197">
        <v>1</v>
      </c>
      <c r="BA278" s="197">
        <v>1</v>
      </c>
      <c r="BB278" s="129">
        <v>1</v>
      </c>
      <c r="BC278" s="129">
        <v>1</v>
      </c>
      <c r="BD278" s="129">
        <v>1</v>
      </c>
      <c r="BE278" s="129">
        <v>1</v>
      </c>
      <c r="BF278" s="129">
        <v>1</v>
      </c>
      <c r="BG278" s="129">
        <v>1</v>
      </c>
      <c r="BH278" s="129">
        <v>1</v>
      </c>
      <c r="BI278" s="129">
        <v>1</v>
      </c>
      <c r="BJ278" s="129">
        <v>1</v>
      </c>
      <c r="BK278" s="129">
        <v>1</v>
      </c>
      <c r="BL278" s="129">
        <v>1</v>
      </c>
      <c r="BM278" s="197">
        <v>1</v>
      </c>
    </row>
    <row r="279" spans="1:65" x14ac:dyDescent="0.25">
      <c r="A279" s="121" t="s">
        <v>130</v>
      </c>
      <c r="B279" s="121" t="s">
        <v>24</v>
      </c>
      <c r="C279" s="172" t="s">
        <v>222</v>
      </c>
      <c r="D279" s="161">
        <v>10</v>
      </c>
      <c r="E279" s="29" t="str">
        <f>INDEX(ra_ScName,MATCH(D279,ra_ScNumber,0))</f>
        <v>Disclosed nominal return (incl actual asset revaluations)</v>
      </c>
      <c r="F279" s="122">
        <v>0</v>
      </c>
      <c r="G279" s="122">
        <v>0</v>
      </c>
      <c r="H279" s="122">
        <v>0</v>
      </c>
      <c r="I279" s="122">
        <v>0</v>
      </c>
      <c r="J279" s="122">
        <v>0</v>
      </c>
      <c r="K279" s="122">
        <v>0</v>
      </c>
      <c r="L279" s="122">
        <v>0</v>
      </c>
      <c r="M279" s="122">
        <v>0</v>
      </c>
      <c r="N279" s="122">
        <v>0</v>
      </c>
      <c r="O279" s="122">
        <v>0</v>
      </c>
      <c r="P279" s="122">
        <v>0</v>
      </c>
      <c r="Q279" s="122">
        <v>0</v>
      </c>
      <c r="R279" s="122">
        <v>0</v>
      </c>
      <c r="S279" s="122">
        <v>0</v>
      </c>
      <c r="T279" s="122">
        <v>0</v>
      </c>
      <c r="U279" s="122">
        <v>0</v>
      </c>
      <c r="V279" s="122">
        <v>0</v>
      </c>
      <c r="W279" s="122">
        <v>0</v>
      </c>
      <c r="X279" s="122">
        <v>0</v>
      </c>
      <c r="Y279" s="122">
        <v>0</v>
      </c>
      <c r="Z279" s="122">
        <v>0</v>
      </c>
      <c r="AA279" s="122">
        <v>0</v>
      </c>
      <c r="AB279" s="122">
        <v>0</v>
      </c>
      <c r="AC279" s="122">
        <v>0</v>
      </c>
      <c r="AD279" s="122">
        <v>0</v>
      </c>
      <c r="AE279" s="122">
        <v>0</v>
      </c>
      <c r="AF279" s="122">
        <v>0</v>
      </c>
      <c r="AG279" s="122">
        <v>0</v>
      </c>
      <c r="AH279" s="122">
        <v>0</v>
      </c>
      <c r="AI279" s="117">
        <f t="shared" si="6"/>
        <v>0</v>
      </c>
      <c r="AJ279" s="117">
        <f>SUM(F279:U279)</f>
        <v>0</v>
      </c>
      <c r="AK279" s="117">
        <f t="shared" si="7"/>
        <v>0</v>
      </c>
      <c r="AL279" s="23"/>
      <c r="AM279" s="127" t="b">
        <f>IF(INDEX($AO279:$BM279,0,$F$14)=1,TRUE,FALSE)</f>
        <v>1</v>
      </c>
      <c r="AN279" s="127" t="str">
        <f>IF(AM279,A279&amp;", "&amp;B279,"")</f>
        <v>Purchased assets – avoided transmission charge, 2011/12</v>
      </c>
      <c r="AO279" s="129"/>
      <c r="AP279" s="129"/>
      <c r="AQ279" s="129">
        <v>1</v>
      </c>
      <c r="AR279" s="129">
        <v>1</v>
      </c>
      <c r="AS279" s="129">
        <v>1</v>
      </c>
      <c r="AT279" s="129">
        <v>1</v>
      </c>
      <c r="AU279" s="129">
        <v>1</v>
      </c>
      <c r="AV279" s="129">
        <v>1</v>
      </c>
      <c r="AW279" s="129">
        <v>1</v>
      </c>
      <c r="AX279" s="197">
        <v>1</v>
      </c>
      <c r="AY279" s="197">
        <v>1</v>
      </c>
      <c r="AZ279" s="197">
        <v>1</v>
      </c>
      <c r="BA279" s="197">
        <v>1</v>
      </c>
      <c r="BB279" s="129">
        <v>1</v>
      </c>
      <c r="BC279" s="129">
        <v>1</v>
      </c>
      <c r="BD279" s="129">
        <v>1</v>
      </c>
      <c r="BE279" s="129">
        <v>1</v>
      </c>
      <c r="BF279" s="129">
        <v>1</v>
      </c>
      <c r="BG279" s="129">
        <v>1</v>
      </c>
      <c r="BH279" s="129">
        <v>1</v>
      </c>
      <c r="BI279" s="129">
        <v>1</v>
      </c>
      <c r="BJ279" s="129">
        <v>1</v>
      </c>
      <c r="BK279" s="129">
        <v>1</v>
      </c>
      <c r="BL279" s="129">
        <v>1</v>
      </c>
      <c r="BM279" s="197">
        <v>1</v>
      </c>
    </row>
    <row r="280" spans="1:65" x14ac:dyDescent="0.25">
      <c r="A280" s="121" t="s">
        <v>130</v>
      </c>
      <c r="B280" s="121" t="s">
        <v>25</v>
      </c>
      <c r="C280" s="172" t="s">
        <v>222</v>
      </c>
      <c r="D280" s="161">
        <v>10</v>
      </c>
      <c r="E280" s="29" t="str">
        <f>INDEX(ra_ScName,MATCH(D280,ra_ScNumber,0))</f>
        <v>Disclosed nominal return (incl actual asset revaluations)</v>
      </c>
      <c r="F280" s="122">
        <v>0</v>
      </c>
      <c r="G280" s="122">
        <v>0</v>
      </c>
      <c r="H280" s="122">
        <v>0</v>
      </c>
      <c r="I280" s="122">
        <v>0</v>
      </c>
      <c r="J280" s="122">
        <v>0</v>
      </c>
      <c r="K280" s="122">
        <v>0</v>
      </c>
      <c r="L280" s="122">
        <v>0</v>
      </c>
      <c r="M280" s="122">
        <v>0</v>
      </c>
      <c r="N280" s="122">
        <v>0</v>
      </c>
      <c r="O280" s="122">
        <v>0</v>
      </c>
      <c r="P280" s="122">
        <v>0</v>
      </c>
      <c r="Q280" s="122">
        <v>0</v>
      </c>
      <c r="R280" s="122">
        <v>0</v>
      </c>
      <c r="S280" s="122">
        <v>0</v>
      </c>
      <c r="T280" s="122">
        <v>0</v>
      </c>
      <c r="U280" s="122">
        <v>0</v>
      </c>
      <c r="V280" s="122">
        <v>0</v>
      </c>
      <c r="W280" s="122">
        <v>0</v>
      </c>
      <c r="X280" s="122">
        <v>0</v>
      </c>
      <c r="Y280" s="122">
        <v>0</v>
      </c>
      <c r="Z280" s="122">
        <v>0</v>
      </c>
      <c r="AA280" s="122">
        <v>0</v>
      </c>
      <c r="AB280" s="122">
        <v>0</v>
      </c>
      <c r="AC280" s="122">
        <v>0</v>
      </c>
      <c r="AD280" s="122">
        <v>0</v>
      </c>
      <c r="AE280" s="122">
        <v>0</v>
      </c>
      <c r="AF280" s="122">
        <v>0</v>
      </c>
      <c r="AG280" s="122">
        <v>0</v>
      </c>
      <c r="AH280" s="122">
        <v>0</v>
      </c>
      <c r="AI280" s="117">
        <f t="shared" si="6"/>
        <v>0</v>
      </c>
      <c r="AJ280" s="117">
        <f>SUM(F280:U280)</f>
        <v>0</v>
      </c>
      <c r="AK280" s="117">
        <f t="shared" si="7"/>
        <v>0</v>
      </c>
      <c r="AL280" s="23"/>
      <c r="AM280" s="127" t="b">
        <f>IF(INDEX($AO280:$BM280,0,$F$14)=1,TRUE,FALSE)</f>
        <v>1</v>
      </c>
      <c r="AN280" s="127" t="str">
        <f>IF(AM280,A280&amp;", "&amp;B280,"")</f>
        <v>Purchased assets – avoided transmission charge, 2012/13</v>
      </c>
      <c r="AO280" s="129"/>
      <c r="AP280" s="129"/>
      <c r="AQ280" s="129">
        <v>1</v>
      </c>
      <c r="AR280" s="129">
        <v>1</v>
      </c>
      <c r="AS280" s="129">
        <v>1</v>
      </c>
      <c r="AT280" s="129">
        <v>1</v>
      </c>
      <c r="AU280" s="129">
        <v>1</v>
      </c>
      <c r="AV280" s="129">
        <v>1</v>
      </c>
      <c r="AW280" s="129">
        <v>1</v>
      </c>
      <c r="AX280" s="197">
        <v>1</v>
      </c>
      <c r="AY280" s="197">
        <v>1</v>
      </c>
      <c r="AZ280" s="197">
        <v>1</v>
      </c>
      <c r="BA280" s="197">
        <v>1</v>
      </c>
      <c r="BB280" s="129">
        <v>1</v>
      </c>
      <c r="BC280" s="129">
        <v>1</v>
      </c>
      <c r="BD280" s="129">
        <v>1</v>
      </c>
      <c r="BE280" s="129">
        <v>1</v>
      </c>
      <c r="BF280" s="129">
        <v>1</v>
      </c>
      <c r="BG280" s="129">
        <v>1</v>
      </c>
      <c r="BH280" s="129">
        <v>1</v>
      </c>
      <c r="BI280" s="129">
        <v>1</v>
      </c>
      <c r="BJ280" s="129">
        <v>1</v>
      </c>
      <c r="BK280" s="129">
        <v>1</v>
      </c>
      <c r="BL280" s="129">
        <v>1</v>
      </c>
      <c r="BM280" s="197">
        <v>1</v>
      </c>
    </row>
    <row r="281" spans="1:65" x14ac:dyDescent="0.25">
      <c r="A281" s="121" t="s">
        <v>130</v>
      </c>
      <c r="B281" s="121" t="s">
        <v>26</v>
      </c>
      <c r="C281" s="172" t="s">
        <v>222</v>
      </c>
      <c r="D281" s="161">
        <v>10</v>
      </c>
      <c r="E281" s="29" t="str">
        <f>INDEX(ra_ScName,MATCH(D281,ra_ScNumber,0))</f>
        <v>Disclosed nominal return (incl actual asset revaluations)</v>
      </c>
      <c r="F281" s="122">
        <v>0</v>
      </c>
      <c r="G281" s="122">
        <v>0</v>
      </c>
      <c r="H281" s="122">
        <v>0</v>
      </c>
      <c r="I281" s="122">
        <v>0</v>
      </c>
      <c r="J281" s="122">
        <v>0</v>
      </c>
      <c r="K281" s="122">
        <v>0</v>
      </c>
      <c r="L281" s="122">
        <v>0</v>
      </c>
      <c r="M281" s="122">
        <v>0</v>
      </c>
      <c r="N281" s="122">
        <v>0</v>
      </c>
      <c r="O281" s="122">
        <v>0</v>
      </c>
      <c r="P281" s="122">
        <v>0</v>
      </c>
      <c r="Q281" s="122">
        <v>0</v>
      </c>
      <c r="R281" s="122">
        <v>0</v>
      </c>
      <c r="S281" s="122">
        <v>0</v>
      </c>
      <c r="T281" s="122">
        <v>0</v>
      </c>
      <c r="U281" s="122">
        <v>0</v>
      </c>
      <c r="V281" s="122">
        <v>0</v>
      </c>
      <c r="W281" s="122">
        <v>0</v>
      </c>
      <c r="X281" s="122">
        <v>0</v>
      </c>
      <c r="Y281" s="122">
        <v>0</v>
      </c>
      <c r="Z281" s="122">
        <v>0</v>
      </c>
      <c r="AA281" s="122">
        <v>0</v>
      </c>
      <c r="AB281" s="122">
        <v>0</v>
      </c>
      <c r="AC281" s="122">
        <v>0</v>
      </c>
      <c r="AD281" s="122">
        <v>0</v>
      </c>
      <c r="AE281" s="122">
        <v>0</v>
      </c>
      <c r="AF281" s="122">
        <v>0</v>
      </c>
      <c r="AG281" s="122">
        <v>0</v>
      </c>
      <c r="AH281" s="122">
        <v>0</v>
      </c>
      <c r="AI281" s="117">
        <f t="shared" si="6"/>
        <v>0</v>
      </c>
      <c r="AJ281" s="117">
        <f>SUM(F281:U281)</f>
        <v>0</v>
      </c>
      <c r="AK281" s="117">
        <f t="shared" si="7"/>
        <v>0</v>
      </c>
      <c r="AL281" s="23"/>
      <c r="AM281" s="127" t="b">
        <f>IF(INDEX($AO281:$BM281,0,$F$14)=1,TRUE,FALSE)</f>
        <v>1</v>
      </c>
      <c r="AN281" s="127" t="str">
        <f>IF(AM281,A281&amp;", "&amp;B281,"")</f>
        <v>Purchased assets – avoided transmission charge, 2013/14</v>
      </c>
      <c r="AO281" s="129"/>
      <c r="AP281" s="129"/>
      <c r="AQ281" s="129">
        <v>1</v>
      </c>
      <c r="AR281" s="129">
        <v>1</v>
      </c>
      <c r="AS281" s="129">
        <v>1</v>
      </c>
      <c r="AT281" s="129">
        <v>1</v>
      </c>
      <c r="AU281" s="129">
        <v>1</v>
      </c>
      <c r="AV281" s="129">
        <v>1</v>
      </c>
      <c r="AW281" s="129">
        <v>1</v>
      </c>
      <c r="AX281" s="197">
        <v>1</v>
      </c>
      <c r="AY281" s="197">
        <v>1</v>
      </c>
      <c r="AZ281" s="197">
        <v>1</v>
      </c>
      <c r="BA281" s="197">
        <v>1</v>
      </c>
      <c r="BB281" s="129">
        <v>1</v>
      </c>
      <c r="BC281" s="129">
        <v>1</v>
      </c>
      <c r="BD281" s="129">
        <v>1</v>
      </c>
      <c r="BE281" s="129">
        <v>1</v>
      </c>
      <c r="BF281" s="129">
        <v>1</v>
      </c>
      <c r="BG281" s="129">
        <v>1</v>
      </c>
      <c r="BH281" s="129">
        <v>1</v>
      </c>
      <c r="BI281" s="129">
        <v>1</v>
      </c>
      <c r="BJ281" s="129">
        <v>1</v>
      </c>
      <c r="BK281" s="129">
        <v>1</v>
      </c>
      <c r="BL281" s="129">
        <v>1</v>
      </c>
      <c r="BM281" s="197">
        <v>1</v>
      </c>
    </row>
    <row r="282" spans="1:65" x14ac:dyDescent="0.25">
      <c r="A282" s="121" t="s">
        <v>130</v>
      </c>
      <c r="B282" s="121" t="s">
        <v>27</v>
      </c>
      <c r="C282" s="172" t="s">
        <v>222</v>
      </c>
      <c r="D282" s="161">
        <v>10</v>
      </c>
      <c r="E282" s="29" t="str">
        <f>INDEX(ra_ScName,MATCH(D282,ra_ScNumber,0))</f>
        <v>Disclosed nominal return (incl actual asset revaluations)</v>
      </c>
      <c r="F282" s="122">
        <v>0</v>
      </c>
      <c r="G282" s="122">
        <v>0</v>
      </c>
      <c r="H282" s="122">
        <v>0</v>
      </c>
      <c r="I282" s="122">
        <v>0</v>
      </c>
      <c r="J282" s="122">
        <v>0</v>
      </c>
      <c r="K282" s="122">
        <v>0</v>
      </c>
      <c r="L282" s="122">
        <v>0</v>
      </c>
      <c r="M282" s="122">
        <v>0</v>
      </c>
      <c r="N282" s="122">
        <v>0</v>
      </c>
      <c r="O282" s="122">
        <v>0</v>
      </c>
      <c r="P282" s="122">
        <v>0</v>
      </c>
      <c r="Q282" s="122">
        <v>0</v>
      </c>
      <c r="R282" s="122">
        <v>0</v>
      </c>
      <c r="S282" s="122">
        <v>0</v>
      </c>
      <c r="T282" s="122">
        <v>0</v>
      </c>
      <c r="U282" s="122">
        <v>0</v>
      </c>
      <c r="V282" s="122">
        <v>0</v>
      </c>
      <c r="W282" s="122">
        <v>0</v>
      </c>
      <c r="X282" s="122">
        <v>0</v>
      </c>
      <c r="Y282" s="122">
        <v>0</v>
      </c>
      <c r="Z282" s="122">
        <v>0</v>
      </c>
      <c r="AA282" s="122">
        <v>0</v>
      </c>
      <c r="AB282" s="122">
        <v>0</v>
      </c>
      <c r="AC282" s="122">
        <v>0</v>
      </c>
      <c r="AD282" s="122">
        <v>0</v>
      </c>
      <c r="AE282" s="122">
        <v>0</v>
      </c>
      <c r="AF282" s="122">
        <v>0</v>
      </c>
      <c r="AG282" s="122">
        <v>0</v>
      </c>
      <c r="AH282" s="122">
        <v>0</v>
      </c>
      <c r="AI282" s="117">
        <f t="shared" ref="AI282:AI345" si="8">SUM(F282:AH282)</f>
        <v>0</v>
      </c>
      <c r="AJ282" s="117">
        <f>SUM(F282:U282)</f>
        <v>0</v>
      </c>
      <c r="AK282" s="117">
        <f t="shared" ref="AK282:AK345" si="9">SUM(W282:AH282)</f>
        <v>0</v>
      </c>
      <c r="AL282" s="23"/>
      <c r="AM282" s="127" t="b">
        <f>IF(INDEX($AO282:$BM282,0,$F$14)=1,TRUE,FALSE)</f>
        <v>1</v>
      </c>
      <c r="AN282" s="127" t="str">
        <f>IF(AM282,A282&amp;", "&amp;B282,"")</f>
        <v>Purchased assets – avoided transmission charge, 2014/15</v>
      </c>
      <c r="AO282" s="129"/>
      <c r="AP282" s="129"/>
      <c r="AQ282" s="129">
        <v>1</v>
      </c>
      <c r="AR282" s="129">
        <v>1</v>
      </c>
      <c r="AS282" s="129">
        <v>1</v>
      </c>
      <c r="AT282" s="129">
        <v>1</v>
      </c>
      <c r="AU282" s="129">
        <v>1</v>
      </c>
      <c r="AV282" s="129">
        <v>1</v>
      </c>
      <c r="AW282" s="129">
        <v>1</v>
      </c>
      <c r="AX282" s="197">
        <v>1</v>
      </c>
      <c r="AY282" s="197">
        <v>1</v>
      </c>
      <c r="AZ282" s="197">
        <v>1</v>
      </c>
      <c r="BA282" s="197">
        <v>1</v>
      </c>
      <c r="BB282" s="129">
        <v>1</v>
      </c>
      <c r="BC282" s="129">
        <v>1</v>
      </c>
      <c r="BD282" s="129">
        <v>1</v>
      </c>
      <c r="BE282" s="129">
        <v>1</v>
      </c>
      <c r="BF282" s="129">
        <v>1</v>
      </c>
      <c r="BG282" s="129">
        <v>1</v>
      </c>
      <c r="BH282" s="129">
        <v>1</v>
      </c>
      <c r="BI282" s="129">
        <v>1</v>
      </c>
      <c r="BJ282" s="129">
        <v>1</v>
      </c>
      <c r="BK282" s="129">
        <v>1</v>
      </c>
      <c r="BL282" s="129">
        <v>1</v>
      </c>
      <c r="BM282" s="197">
        <v>1</v>
      </c>
    </row>
    <row r="283" spans="1:65" x14ac:dyDescent="0.25">
      <c r="A283" s="121"/>
      <c r="B283" s="121"/>
      <c r="C283" s="172"/>
      <c r="D283" s="49"/>
      <c r="E283" s="49"/>
      <c r="F283" s="54"/>
      <c r="G283" s="54"/>
      <c r="H283" s="54"/>
      <c r="I283" s="54"/>
      <c r="J283" s="54"/>
      <c r="K283" s="54"/>
      <c r="L283" s="54"/>
      <c r="M283" s="54"/>
      <c r="N283" s="54"/>
      <c r="O283" s="54"/>
      <c r="P283" s="54"/>
      <c r="Q283" s="54"/>
      <c r="R283" s="54"/>
      <c r="S283" s="54"/>
      <c r="T283" s="54"/>
      <c r="U283" s="54"/>
      <c r="V283" s="54"/>
      <c r="W283" s="55"/>
      <c r="X283" s="55"/>
      <c r="Y283" s="55"/>
      <c r="Z283" s="55"/>
      <c r="AA283" s="55"/>
      <c r="AB283" s="55"/>
      <c r="AC283" s="55"/>
      <c r="AD283" s="55"/>
      <c r="AE283" s="55"/>
      <c r="AF283" s="55"/>
      <c r="AG283" s="55"/>
      <c r="AH283" s="55"/>
      <c r="AI283" s="54"/>
      <c r="AJ283" s="54"/>
      <c r="AK283" s="54"/>
      <c r="AL283" s="23"/>
      <c r="AM283" s="127"/>
      <c r="AN283" s="127"/>
      <c r="AO283" s="129"/>
      <c r="AP283" s="129"/>
      <c r="AQ283" s="129"/>
      <c r="AR283" s="129"/>
      <c r="AS283" s="129"/>
      <c r="AT283" s="129"/>
      <c r="AU283" s="129"/>
      <c r="AV283" s="129"/>
      <c r="AW283" s="129"/>
      <c r="AX283" s="197"/>
      <c r="AY283" s="197"/>
      <c r="AZ283" s="197"/>
      <c r="BA283" s="197"/>
      <c r="BB283" s="129"/>
      <c r="BC283" s="129"/>
      <c r="BD283" s="129"/>
      <c r="BE283" s="129"/>
      <c r="BF283" s="129"/>
      <c r="BG283" s="129"/>
      <c r="BH283" s="129"/>
      <c r="BI283" s="129"/>
      <c r="BJ283" s="129"/>
      <c r="BK283" s="129"/>
      <c r="BL283" s="129"/>
      <c r="BM283" s="197"/>
    </row>
    <row r="284" spans="1:65" x14ac:dyDescent="0.25">
      <c r="A284" s="121"/>
      <c r="B284" s="121"/>
      <c r="C284" s="172"/>
      <c r="D284" s="46"/>
      <c r="E284" s="46"/>
      <c r="F284" s="54"/>
      <c r="G284" s="54"/>
      <c r="H284" s="54"/>
      <c r="I284" s="54"/>
      <c r="J284" s="54"/>
      <c r="K284" s="54"/>
      <c r="L284" s="54"/>
      <c r="M284" s="54"/>
      <c r="N284" s="54"/>
      <c r="O284" s="54"/>
      <c r="P284" s="54"/>
      <c r="Q284" s="54"/>
      <c r="R284" s="54"/>
      <c r="S284" s="54"/>
      <c r="T284" s="54"/>
      <c r="U284" s="54"/>
      <c r="V284" s="54"/>
      <c r="W284" s="55"/>
      <c r="X284" s="55"/>
      <c r="Y284" s="55"/>
      <c r="Z284" s="55"/>
      <c r="AA284" s="55"/>
      <c r="AB284" s="55"/>
      <c r="AC284" s="55"/>
      <c r="AD284" s="55"/>
      <c r="AE284" s="55"/>
      <c r="AF284" s="55"/>
      <c r="AG284" s="55"/>
      <c r="AH284" s="55"/>
      <c r="AI284" s="54"/>
      <c r="AJ284" s="54"/>
      <c r="AK284" s="54"/>
      <c r="AL284" s="23"/>
      <c r="AM284" s="127"/>
      <c r="AN284" s="127"/>
      <c r="AO284" s="129"/>
      <c r="AP284" s="129"/>
      <c r="AQ284" s="129"/>
      <c r="AR284" s="129"/>
      <c r="AS284" s="129"/>
      <c r="AT284" s="129"/>
      <c r="AU284" s="129"/>
      <c r="AV284" s="129"/>
      <c r="AW284" s="129"/>
      <c r="AX284" s="197"/>
      <c r="AY284" s="197"/>
      <c r="AZ284" s="197"/>
      <c r="BA284" s="197"/>
      <c r="BB284" s="129"/>
      <c r="BC284" s="129"/>
      <c r="BD284" s="129"/>
      <c r="BE284" s="129"/>
      <c r="BF284" s="129"/>
      <c r="BG284" s="129"/>
      <c r="BH284" s="129"/>
      <c r="BI284" s="129"/>
      <c r="BJ284" s="129"/>
      <c r="BK284" s="129"/>
      <c r="BL284" s="129"/>
      <c r="BM284" s="197"/>
    </row>
    <row r="285" spans="1:65" x14ac:dyDescent="0.25">
      <c r="A285" s="121" t="s">
        <v>131</v>
      </c>
      <c r="B285" s="121" t="s">
        <v>23</v>
      </c>
      <c r="C285" s="172" t="s">
        <v>222</v>
      </c>
      <c r="D285" s="161">
        <v>1</v>
      </c>
      <c r="E285" s="29" t="str">
        <f>INDEX(ra_ScName,MATCH(D285,ra_ScNumber,0))</f>
        <v>Expected nominal return (incl forecast asset revaluations)</v>
      </c>
      <c r="F285" s="54"/>
      <c r="G285" s="54"/>
      <c r="H285" s="54"/>
      <c r="I285" s="54"/>
      <c r="J285" s="54"/>
      <c r="K285" s="54"/>
      <c r="L285" s="54"/>
      <c r="M285" s="54"/>
      <c r="N285" s="54"/>
      <c r="O285" s="54"/>
      <c r="P285" s="54"/>
      <c r="Q285" s="54"/>
      <c r="R285" s="54"/>
      <c r="S285" s="54"/>
      <c r="T285" s="54"/>
      <c r="U285" s="54"/>
      <c r="V285" s="54"/>
      <c r="W285" s="54"/>
      <c r="X285" s="54"/>
      <c r="Y285" s="54"/>
      <c r="Z285" s="54"/>
      <c r="AA285" s="54"/>
      <c r="AB285" s="54"/>
      <c r="AC285" s="54"/>
      <c r="AD285" s="54"/>
      <c r="AE285" s="54"/>
      <c r="AF285" s="54"/>
      <c r="AG285" s="54"/>
      <c r="AH285" s="54"/>
      <c r="AI285" s="117">
        <f t="shared" si="8"/>
        <v>0</v>
      </c>
      <c r="AJ285" s="117">
        <f>SUM(F285:U285)</f>
        <v>0</v>
      </c>
      <c r="AK285" s="117">
        <f t="shared" si="9"/>
        <v>0</v>
      </c>
      <c r="AL285" s="23"/>
      <c r="AM285" s="127" t="b">
        <f>IF(INDEX($AO285:$BM285,0,$F$14)=1,TRUE,FALSE)</f>
        <v>0</v>
      </c>
      <c r="AN285" s="127" t="str">
        <f>IF(AM285,A285&amp;", "&amp;B285,"")</f>
        <v/>
      </c>
      <c r="AO285" s="129">
        <v>1</v>
      </c>
      <c r="AP285" s="129">
        <v>1</v>
      </c>
      <c r="AQ285" s="129"/>
      <c r="AR285" s="129"/>
      <c r="AS285" s="129"/>
      <c r="AT285" s="129"/>
      <c r="AU285" s="129"/>
      <c r="AV285" s="129"/>
      <c r="AW285" s="129"/>
      <c r="AX285" s="197"/>
      <c r="AY285" s="197"/>
      <c r="AZ285" s="197"/>
      <c r="BA285" s="197"/>
      <c r="BB285" s="129"/>
      <c r="BC285" s="129"/>
      <c r="BD285" s="129"/>
      <c r="BE285" s="129"/>
      <c r="BF285" s="129"/>
      <c r="BG285" s="129"/>
      <c r="BH285" s="129"/>
      <c r="BI285" s="129"/>
      <c r="BJ285" s="129"/>
      <c r="BK285" s="129"/>
      <c r="BL285" s="129"/>
      <c r="BM285" s="197"/>
    </row>
    <row r="286" spans="1:65" x14ac:dyDescent="0.25">
      <c r="A286" s="121" t="s">
        <v>131</v>
      </c>
      <c r="B286" s="121" t="s">
        <v>24</v>
      </c>
      <c r="C286" s="172" t="s">
        <v>222</v>
      </c>
      <c r="D286" s="161">
        <v>1</v>
      </c>
      <c r="E286" s="29" t="str">
        <f>INDEX(ra_ScName,MATCH(D286,ra_ScNumber,0))</f>
        <v>Expected nominal return (incl forecast asset revaluations)</v>
      </c>
      <c r="F286" s="54"/>
      <c r="G286" s="54"/>
      <c r="H286" s="54"/>
      <c r="I286" s="54"/>
      <c r="J286" s="54"/>
      <c r="K286" s="54"/>
      <c r="L286" s="54"/>
      <c r="M286" s="54"/>
      <c r="N286" s="54"/>
      <c r="O286" s="54"/>
      <c r="P286" s="54"/>
      <c r="Q286" s="54"/>
      <c r="R286" s="54"/>
      <c r="S286" s="54"/>
      <c r="T286" s="54"/>
      <c r="U286" s="54"/>
      <c r="V286" s="54"/>
      <c r="W286" s="54"/>
      <c r="X286" s="54"/>
      <c r="Y286" s="54"/>
      <c r="Z286" s="54"/>
      <c r="AA286" s="54"/>
      <c r="AB286" s="54"/>
      <c r="AC286" s="54"/>
      <c r="AD286" s="54"/>
      <c r="AE286" s="54"/>
      <c r="AF286" s="54"/>
      <c r="AG286" s="54"/>
      <c r="AH286" s="54"/>
      <c r="AI286" s="117">
        <f t="shared" si="8"/>
        <v>0</v>
      </c>
      <c r="AJ286" s="117">
        <f>SUM(F286:U286)</f>
        <v>0</v>
      </c>
      <c r="AK286" s="117">
        <f t="shared" si="9"/>
        <v>0</v>
      </c>
      <c r="AL286" s="23"/>
      <c r="AM286" s="127" t="b">
        <f>IF(INDEX($AO286:$BM286,0,$F$14)=1,TRUE,FALSE)</f>
        <v>0</v>
      </c>
      <c r="AN286" s="127" t="str">
        <f>IF(AM286,A286&amp;", "&amp;B286,"")</f>
        <v/>
      </c>
      <c r="AO286" s="129">
        <v>1</v>
      </c>
      <c r="AP286" s="129">
        <v>1</v>
      </c>
      <c r="AQ286" s="129"/>
      <c r="AR286" s="129"/>
      <c r="AS286" s="129"/>
      <c r="AT286" s="129"/>
      <c r="AU286" s="129"/>
      <c r="AV286" s="129"/>
      <c r="AW286" s="129"/>
      <c r="AX286" s="197"/>
      <c r="AY286" s="197"/>
      <c r="AZ286" s="197"/>
      <c r="BA286" s="197"/>
      <c r="BB286" s="129"/>
      <c r="BC286" s="129"/>
      <c r="BD286" s="129"/>
      <c r="BE286" s="129"/>
      <c r="BF286" s="129"/>
      <c r="BG286" s="129"/>
      <c r="BH286" s="129"/>
      <c r="BI286" s="129"/>
      <c r="BJ286" s="129"/>
      <c r="BK286" s="129"/>
      <c r="BL286" s="129"/>
      <c r="BM286" s="197"/>
    </row>
    <row r="287" spans="1:65" x14ac:dyDescent="0.25">
      <c r="A287" s="121" t="s">
        <v>131</v>
      </c>
      <c r="B287" s="121" t="s">
        <v>25</v>
      </c>
      <c r="C287" s="172" t="s">
        <v>222</v>
      </c>
      <c r="D287" s="161">
        <v>1</v>
      </c>
      <c r="E287" s="29" t="str">
        <f>INDEX(ra_ScName,MATCH(D287,ra_ScNumber,0))</f>
        <v>Expected nominal return (incl forecast asset revaluations)</v>
      </c>
      <c r="F287" s="54"/>
      <c r="G287" s="54"/>
      <c r="H287" s="54"/>
      <c r="I287" s="54"/>
      <c r="J287" s="54"/>
      <c r="K287" s="54"/>
      <c r="L287" s="54"/>
      <c r="M287" s="54"/>
      <c r="N287" s="54"/>
      <c r="O287" s="54"/>
      <c r="P287" s="54"/>
      <c r="Q287" s="54"/>
      <c r="R287" s="54"/>
      <c r="S287" s="54"/>
      <c r="T287" s="54"/>
      <c r="U287" s="54"/>
      <c r="V287" s="54"/>
      <c r="W287" s="54"/>
      <c r="X287" s="54"/>
      <c r="Y287" s="54"/>
      <c r="Z287" s="54"/>
      <c r="AA287" s="54"/>
      <c r="AB287" s="54"/>
      <c r="AC287" s="54"/>
      <c r="AD287" s="54"/>
      <c r="AE287" s="54"/>
      <c r="AF287" s="54"/>
      <c r="AG287" s="54"/>
      <c r="AH287" s="54"/>
      <c r="AI287" s="117">
        <f t="shared" si="8"/>
        <v>0</v>
      </c>
      <c r="AJ287" s="117">
        <f>SUM(F287:U287)</f>
        <v>0</v>
      </c>
      <c r="AK287" s="117">
        <f t="shared" si="9"/>
        <v>0</v>
      </c>
      <c r="AL287" s="23"/>
      <c r="AM287" s="127" t="b">
        <f>IF(INDEX($AO287:$BM287,0,$F$14)=1,TRUE,FALSE)</f>
        <v>0</v>
      </c>
      <c r="AN287" s="127" t="str">
        <f>IF(AM287,A287&amp;", "&amp;B287,"")</f>
        <v/>
      </c>
      <c r="AO287" s="129">
        <v>1</v>
      </c>
      <c r="AP287" s="129">
        <v>1</v>
      </c>
      <c r="AQ287" s="129"/>
      <c r="AR287" s="129"/>
      <c r="AS287" s="129"/>
      <c r="AT287" s="129"/>
      <c r="AU287" s="129"/>
      <c r="AV287" s="129"/>
      <c r="AW287" s="129"/>
      <c r="AX287" s="197"/>
      <c r="AY287" s="197"/>
      <c r="AZ287" s="197"/>
      <c r="BA287" s="197"/>
      <c r="BB287" s="129"/>
      <c r="BC287" s="129"/>
      <c r="BD287" s="129"/>
      <c r="BE287" s="129"/>
      <c r="BF287" s="129"/>
      <c r="BG287" s="129"/>
      <c r="BH287" s="129"/>
      <c r="BI287" s="129"/>
      <c r="BJ287" s="129"/>
      <c r="BK287" s="129"/>
      <c r="BL287" s="129"/>
      <c r="BM287" s="197"/>
    </row>
    <row r="288" spans="1:65" x14ac:dyDescent="0.25">
      <c r="A288" s="121" t="s">
        <v>131</v>
      </c>
      <c r="B288" s="121" t="s">
        <v>26</v>
      </c>
      <c r="C288" s="172" t="s">
        <v>222</v>
      </c>
      <c r="D288" s="161">
        <v>1</v>
      </c>
      <c r="E288" s="29" t="str">
        <f>INDEX(ra_ScName,MATCH(D288,ra_ScNumber,0))</f>
        <v>Expected nominal return (incl forecast asset revaluations)</v>
      </c>
      <c r="F288" s="54"/>
      <c r="G288" s="54"/>
      <c r="H288" s="54"/>
      <c r="I288" s="54"/>
      <c r="J288" s="54"/>
      <c r="K288" s="54"/>
      <c r="L288" s="54"/>
      <c r="M288" s="54"/>
      <c r="N288" s="54"/>
      <c r="O288" s="54"/>
      <c r="P288" s="54"/>
      <c r="Q288" s="54"/>
      <c r="R288" s="54"/>
      <c r="S288" s="54"/>
      <c r="T288" s="54"/>
      <c r="U288" s="54"/>
      <c r="V288" s="54"/>
      <c r="W288" s="54"/>
      <c r="X288" s="54"/>
      <c r="Y288" s="54"/>
      <c r="Z288" s="54"/>
      <c r="AA288" s="54"/>
      <c r="AB288" s="54"/>
      <c r="AC288" s="54"/>
      <c r="AD288" s="54"/>
      <c r="AE288" s="54"/>
      <c r="AF288" s="54"/>
      <c r="AG288" s="54"/>
      <c r="AH288" s="54"/>
      <c r="AI288" s="117">
        <f t="shared" si="8"/>
        <v>0</v>
      </c>
      <c r="AJ288" s="117">
        <f>SUM(F288:U288)</f>
        <v>0</v>
      </c>
      <c r="AK288" s="117">
        <f t="shared" si="9"/>
        <v>0</v>
      </c>
      <c r="AL288" s="23"/>
      <c r="AM288" s="127" t="b">
        <f>IF(INDEX($AO288:$BM288,0,$F$14)=1,TRUE,FALSE)</f>
        <v>0</v>
      </c>
      <c r="AN288" s="127" t="str">
        <f>IF(AM288,A288&amp;", "&amp;B288,"")</f>
        <v/>
      </c>
      <c r="AO288" s="129">
        <v>1</v>
      </c>
      <c r="AP288" s="129">
        <v>1</v>
      </c>
      <c r="AQ288" s="129"/>
      <c r="AR288" s="129"/>
      <c r="AS288" s="129"/>
      <c r="AT288" s="129"/>
      <c r="AU288" s="129"/>
      <c r="AV288" s="129"/>
      <c r="AW288" s="129"/>
      <c r="AX288" s="197"/>
      <c r="AY288" s="197"/>
      <c r="AZ288" s="197"/>
      <c r="BA288" s="197"/>
      <c r="BB288" s="129"/>
      <c r="BC288" s="129"/>
      <c r="BD288" s="129"/>
      <c r="BE288" s="129"/>
      <c r="BF288" s="129"/>
      <c r="BG288" s="129"/>
      <c r="BH288" s="129"/>
      <c r="BI288" s="129"/>
      <c r="BJ288" s="129"/>
      <c r="BK288" s="129"/>
      <c r="BL288" s="129"/>
      <c r="BM288" s="197"/>
    </row>
    <row r="289" spans="1:65" x14ac:dyDescent="0.25">
      <c r="A289" s="121" t="s">
        <v>131</v>
      </c>
      <c r="B289" s="121" t="s">
        <v>27</v>
      </c>
      <c r="C289" s="172" t="s">
        <v>222</v>
      </c>
      <c r="D289" s="161">
        <v>1</v>
      </c>
      <c r="E289" s="29" t="str">
        <f>INDEX(ra_ScName,MATCH(D289,ra_ScNumber,0))</f>
        <v>Expected nominal return (incl forecast asset revaluations)</v>
      </c>
      <c r="F289" s="54"/>
      <c r="G289" s="54"/>
      <c r="H289" s="54"/>
      <c r="I289" s="54"/>
      <c r="J289" s="54"/>
      <c r="K289" s="54"/>
      <c r="L289" s="54"/>
      <c r="M289" s="54"/>
      <c r="N289" s="54"/>
      <c r="O289" s="54"/>
      <c r="P289" s="54"/>
      <c r="Q289" s="54"/>
      <c r="R289" s="54"/>
      <c r="S289" s="54"/>
      <c r="T289" s="54"/>
      <c r="U289" s="54"/>
      <c r="V289" s="54"/>
      <c r="W289" s="54"/>
      <c r="X289" s="54"/>
      <c r="Y289" s="54"/>
      <c r="Z289" s="54"/>
      <c r="AA289" s="54"/>
      <c r="AB289" s="54"/>
      <c r="AC289" s="54"/>
      <c r="AD289" s="54"/>
      <c r="AE289" s="54"/>
      <c r="AF289" s="54"/>
      <c r="AG289" s="54"/>
      <c r="AH289" s="54"/>
      <c r="AI289" s="117">
        <f t="shared" si="8"/>
        <v>0</v>
      </c>
      <c r="AJ289" s="117">
        <f>SUM(F289:U289)</f>
        <v>0</v>
      </c>
      <c r="AK289" s="117">
        <f t="shared" si="9"/>
        <v>0</v>
      </c>
      <c r="AL289" s="23"/>
      <c r="AM289" s="127" t="b">
        <f>IF(INDEX($AO289:$BM289,0,$F$14)=1,TRUE,FALSE)</f>
        <v>0</v>
      </c>
      <c r="AN289" s="127" t="str">
        <f>IF(AM289,A289&amp;", "&amp;B289,"")</f>
        <v/>
      </c>
      <c r="AO289" s="129">
        <v>1</v>
      </c>
      <c r="AP289" s="129">
        <v>1</v>
      </c>
      <c r="AQ289" s="129"/>
      <c r="AR289" s="129"/>
      <c r="AS289" s="129"/>
      <c r="AT289" s="129"/>
      <c r="AU289" s="129"/>
      <c r="AV289" s="129"/>
      <c r="AW289" s="129"/>
      <c r="AX289" s="197"/>
      <c r="AY289" s="197"/>
      <c r="AZ289" s="197"/>
      <c r="BA289" s="197"/>
      <c r="BB289" s="129"/>
      <c r="BC289" s="129"/>
      <c r="BD289" s="129"/>
      <c r="BE289" s="129"/>
      <c r="BF289" s="129"/>
      <c r="BG289" s="129"/>
      <c r="BH289" s="129"/>
      <c r="BI289" s="129"/>
      <c r="BJ289" s="129"/>
      <c r="BK289" s="129"/>
      <c r="BL289" s="129"/>
      <c r="BM289" s="197"/>
    </row>
    <row r="290" spans="1:65" x14ac:dyDescent="0.25">
      <c r="A290" s="121"/>
      <c r="B290" s="121"/>
      <c r="C290" s="172"/>
      <c r="D290" s="49"/>
      <c r="E290" s="49"/>
      <c r="F290" s="54"/>
      <c r="G290" s="54"/>
      <c r="H290" s="54"/>
      <c r="I290" s="54"/>
      <c r="J290" s="54"/>
      <c r="K290" s="54"/>
      <c r="L290" s="54"/>
      <c r="M290" s="54"/>
      <c r="N290" s="54"/>
      <c r="O290" s="54"/>
      <c r="P290" s="54"/>
      <c r="Q290" s="54"/>
      <c r="R290" s="54"/>
      <c r="S290" s="54"/>
      <c r="T290" s="54"/>
      <c r="U290" s="54"/>
      <c r="V290" s="54"/>
      <c r="W290" s="55"/>
      <c r="X290" s="55"/>
      <c r="Y290" s="55"/>
      <c r="Z290" s="55"/>
      <c r="AA290" s="55"/>
      <c r="AB290" s="55"/>
      <c r="AC290" s="55"/>
      <c r="AD290" s="55"/>
      <c r="AE290" s="55"/>
      <c r="AF290" s="55"/>
      <c r="AG290" s="55"/>
      <c r="AH290" s="55"/>
      <c r="AI290" s="54"/>
      <c r="AJ290" s="54"/>
      <c r="AK290" s="54"/>
      <c r="AL290" s="23"/>
      <c r="AM290" s="127"/>
      <c r="AN290" s="127"/>
      <c r="AO290" s="129"/>
      <c r="AP290" s="129"/>
      <c r="AQ290" s="129"/>
      <c r="AR290" s="129"/>
      <c r="AS290" s="129"/>
      <c r="AT290" s="129"/>
      <c r="AU290" s="129"/>
      <c r="AV290" s="129"/>
      <c r="AW290" s="129"/>
      <c r="AX290" s="197"/>
      <c r="AY290" s="197"/>
      <c r="AZ290" s="197"/>
      <c r="BA290" s="197"/>
      <c r="BB290" s="129"/>
      <c r="BC290" s="129"/>
      <c r="BD290" s="129"/>
      <c r="BE290" s="129"/>
      <c r="BF290" s="129"/>
      <c r="BG290" s="129"/>
      <c r="BH290" s="129"/>
      <c r="BI290" s="129"/>
      <c r="BJ290" s="129"/>
      <c r="BK290" s="129"/>
      <c r="BL290" s="129"/>
      <c r="BM290" s="197"/>
    </row>
    <row r="291" spans="1:65" x14ac:dyDescent="0.25">
      <c r="A291" s="121"/>
      <c r="B291" s="121"/>
      <c r="C291" s="172"/>
      <c r="D291" s="46"/>
      <c r="E291" s="46"/>
      <c r="F291" s="54"/>
      <c r="G291" s="54"/>
      <c r="H291" s="54"/>
      <c r="I291" s="54"/>
      <c r="J291" s="54"/>
      <c r="K291" s="54"/>
      <c r="L291" s="54"/>
      <c r="M291" s="54"/>
      <c r="N291" s="54"/>
      <c r="O291" s="54"/>
      <c r="P291" s="54"/>
      <c r="Q291" s="54"/>
      <c r="R291" s="54"/>
      <c r="S291" s="54"/>
      <c r="T291" s="54"/>
      <c r="U291" s="54"/>
      <c r="V291" s="54"/>
      <c r="W291" s="55"/>
      <c r="X291" s="55"/>
      <c r="Y291" s="55"/>
      <c r="Z291" s="55"/>
      <c r="AA291" s="55"/>
      <c r="AB291" s="55"/>
      <c r="AC291" s="55"/>
      <c r="AD291" s="55"/>
      <c r="AE291" s="55"/>
      <c r="AF291" s="55"/>
      <c r="AG291" s="55"/>
      <c r="AH291" s="55"/>
      <c r="AI291" s="54"/>
      <c r="AJ291" s="54"/>
      <c r="AK291" s="54"/>
      <c r="AL291" s="23"/>
      <c r="AM291" s="127"/>
      <c r="AN291" s="127"/>
      <c r="AO291" s="129"/>
      <c r="AP291" s="129"/>
      <c r="AQ291" s="129"/>
      <c r="AR291" s="129"/>
      <c r="AS291" s="129"/>
      <c r="AT291" s="129"/>
      <c r="AU291" s="129"/>
      <c r="AV291" s="129"/>
      <c r="AW291" s="129"/>
      <c r="AX291" s="197"/>
      <c r="AY291" s="197"/>
      <c r="AZ291" s="197"/>
      <c r="BA291" s="197"/>
      <c r="BB291" s="129"/>
      <c r="BC291" s="129"/>
      <c r="BD291" s="129"/>
      <c r="BE291" s="129"/>
      <c r="BF291" s="129"/>
      <c r="BG291" s="129"/>
      <c r="BH291" s="129"/>
      <c r="BI291" s="129"/>
      <c r="BJ291" s="129"/>
      <c r="BK291" s="129"/>
      <c r="BL291" s="129"/>
      <c r="BM291" s="197"/>
    </row>
    <row r="292" spans="1:65" x14ac:dyDescent="0.25">
      <c r="A292" s="121" t="s">
        <v>131</v>
      </c>
      <c r="B292" s="121" t="s">
        <v>23</v>
      </c>
      <c r="C292" s="172" t="s">
        <v>222</v>
      </c>
      <c r="D292" s="161">
        <v>10</v>
      </c>
      <c r="E292" s="29" t="str">
        <f>INDEX(ra_ScName,MATCH(D292,ra_ScNumber,0))</f>
        <v>Disclosed nominal return (incl actual asset revaluations)</v>
      </c>
      <c r="F292" s="122">
        <v>0</v>
      </c>
      <c r="G292" s="122">
        <v>0</v>
      </c>
      <c r="H292" s="122">
        <v>0</v>
      </c>
      <c r="I292" s="122">
        <v>0</v>
      </c>
      <c r="J292" s="122">
        <v>0</v>
      </c>
      <c r="K292" s="122">
        <v>0</v>
      </c>
      <c r="L292" s="122">
        <v>0</v>
      </c>
      <c r="M292" s="122">
        <v>0</v>
      </c>
      <c r="N292" s="122">
        <v>0</v>
      </c>
      <c r="O292" s="122">
        <v>0</v>
      </c>
      <c r="P292" s="122">
        <v>0</v>
      </c>
      <c r="Q292" s="122">
        <v>0</v>
      </c>
      <c r="R292" s="122">
        <v>0</v>
      </c>
      <c r="S292" s="122">
        <v>0</v>
      </c>
      <c r="T292" s="122">
        <v>0</v>
      </c>
      <c r="U292" s="122">
        <v>0</v>
      </c>
      <c r="V292" s="122">
        <v>0</v>
      </c>
      <c r="W292" s="122">
        <v>0</v>
      </c>
      <c r="X292" s="122">
        <v>0</v>
      </c>
      <c r="Y292" s="122">
        <v>0</v>
      </c>
      <c r="Z292" s="122">
        <v>0</v>
      </c>
      <c r="AA292" s="122">
        <v>0</v>
      </c>
      <c r="AB292" s="122">
        <v>0</v>
      </c>
      <c r="AC292" s="122">
        <v>0</v>
      </c>
      <c r="AD292" s="122">
        <v>0</v>
      </c>
      <c r="AE292" s="122">
        <v>0</v>
      </c>
      <c r="AF292" s="122">
        <v>0</v>
      </c>
      <c r="AG292" s="122">
        <v>0</v>
      </c>
      <c r="AH292" s="122">
        <v>0</v>
      </c>
      <c r="AI292" s="117">
        <f t="shared" si="8"/>
        <v>0</v>
      </c>
      <c r="AJ292" s="117">
        <f>SUM(F292:U292)</f>
        <v>0</v>
      </c>
      <c r="AK292" s="117">
        <f t="shared" si="9"/>
        <v>0</v>
      </c>
      <c r="AL292" s="23"/>
      <c r="AM292" s="127" t="b">
        <f>IF(INDEX($AO292:$BM292,0,$F$14)=1,TRUE,FALSE)</f>
        <v>1</v>
      </c>
      <c r="AN292" s="127" t="str">
        <f>IF(AM292,A292&amp;", "&amp;B292,"")</f>
        <v>Energy efficiency and demand incentive allowance, 2010/11</v>
      </c>
      <c r="AO292" s="129"/>
      <c r="AP292" s="129"/>
      <c r="AQ292" s="129">
        <v>1</v>
      </c>
      <c r="AR292" s="129">
        <v>1</v>
      </c>
      <c r="AS292" s="129">
        <v>1</v>
      </c>
      <c r="AT292" s="129">
        <v>1</v>
      </c>
      <c r="AU292" s="129">
        <v>1</v>
      </c>
      <c r="AV292" s="129">
        <v>1</v>
      </c>
      <c r="AW292" s="129">
        <v>1</v>
      </c>
      <c r="AX292" s="197">
        <v>1</v>
      </c>
      <c r="AY292" s="197">
        <v>1</v>
      </c>
      <c r="AZ292" s="197">
        <v>1</v>
      </c>
      <c r="BA292" s="197">
        <v>1</v>
      </c>
      <c r="BB292" s="129">
        <v>1</v>
      </c>
      <c r="BC292" s="129">
        <v>1</v>
      </c>
      <c r="BD292" s="129">
        <v>1</v>
      </c>
      <c r="BE292" s="129">
        <v>1</v>
      </c>
      <c r="BF292" s="129">
        <v>1</v>
      </c>
      <c r="BG292" s="129">
        <v>1</v>
      </c>
      <c r="BH292" s="129">
        <v>1</v>
      </c>
      <c r="BI292" s="129">
        <v>1</v>
      </c>
      <c r="BJ292" s="129">
        <v>1</v>
      </c>
      <c r="BK292" s="129">
        <v>1</v>
      </c>
      <c r="BL292" s="129">
        <v>1</v>
      </c>
      <c r="BM292" s="197">
        <v>1</v>
      </c>
    </row>
    <row r="293" spans="1:65" x14ac:dyDescent="0.25">
      <c r="A293" s="121" t="s">
        <v>131</v>
      </c>
      <c r="B293" s="121" t="s">
        <v>24</v>
      </c>
      <c r="C293" s="172" t="s">
        <v>222</v>
      </c>
      <c r="D293" s="161">
        <v>10</v>
      </c>
      <c r="E293" s="29" t="str">
        <f>INDEX(ra_ScName,MATCH(D293,ra_ScNumber,0))</f>
        <v>Disclosed nominal return (incl actual asset revaluations)</v>
      </c>
      <c r="F293" s="122">
        <v>0</v>
      </c>
      <c r="G293" s="122">
        <v>0</v>
      </c>
      <c r="H293" s="122">
        <v>0</v>
      </c>
      <c r="I293" s="122">
        <v>0</v>
      </c>
      <c r="J293" s="122">
        <v>0</v>
      </c>
      <c r="K293" s="122">
        <v>0</v>
      </c>
      <c r="L293" s="122">
        <v>0</v>
      </c>
      <c r="M293" s="122">
        <v>0</v>
      </c>
      <c r="N293" s="122">
        <v>0</v>
      </c>
      <c r="O293" s="122">
        <v>0</v>
      </c>
      <c r="P293" s="122">
        <v>0</v>
      </c>
      <c r="Q293" s="122">
        <v>0</v>
      </c>
      <c r="R293" s="122">
        <v>0</v>
      </c>
      <c r="S293" s="122">
        <v>0</v>
      </c>
      <c r="T293" s="122">
        <v>0</v>
      </c>
      <c r="U293" s="122">
        <v>0</v>
      </c>
      <c r="V293" s="122">
        <v>0</v>
      </c>
      <c r="W293" s="122">
        <v>0</v>
      </c>
      <c r="X293" s="122">
        <v>0</v>
      </c>
      <c r="Y293" s="122">
        <v>0</v>
      </c>
      <c r="Z293" s="122">
        <v>0</v>
      </c>
      <c r="AA293" s="122">
        <v>0</v>
      </c>
      <c r="AB293" s="122">
        <v>0</v>
      </c>
      <c r="AC293" s="122">
        <v>0</v>
      </c>
      <c r="AD293" s="122">
        <v>0</v>
      </c>
      <c r="AE293" s="122">
        <v>0</v>
      </c>
      <c r="AF293" s="122">
        <v>0</v>
      </c>
      <c r="AG293" s="122">
        <v>0</v>
      </c>
      <c r="AH293" s="122">
        <v>0</v>
      </c>
      <c r="AI293" s="117">
        <f t="shared" si="8"/>
        <v>0</v>
      </c>
      <c r="AJ293" s="117">
        <f>SUM(F293:U293)</f>
        <v>0</v>
      </c>
      <c r="AK293" s="117">
        <f t="shared" si="9"/>
        <v>0</v>
      </c>
      <c r="AL293" s="23"/>
      <c r="AM293" s="127" t="b">
        <f>IF(INDEX($AO293:$BM293,0,$F$14)=1,TRUE,FALSE)</f>
        <v>1</v>
      </c>
      <c r="AN293" s="127" t="str">
        <f>IF(AM293,A293&amp;", "&amp;B293,"")</f>
        <v>Energy efficiency and demand incentive allowance, 2011/12</v>
      </c>
      <c r="AO293" s="129"/>
      <c r="AP293" s="129"/>
      <c r="AQ293" s="129">
        <v>1</v>
      </c>
      <c r="AR293" s="129">
        <v>1</v>
      </c>
      <c r="AS293" s="129">
        <v>1</v>
      </c>
      <c r="AT293" s="129">
        <v>1</v>
      </c>
      <c r="AU293" s="129">
        <v>1</v>
      </c>
      <c r="AV293" s="129">
        <v>1</v>
      </c>
      <c r="AW293" s="129">
        <v>1</v>
      </c>
      <c r="AX293" s="197">
        <v>1</v>
      </c>
      <c r="AY293" s="197">
        <v>1</v>
      </c>
      <c r="AZ293" s="197">
        <v>1</v>
      </c>
      <c r="BA293" s="197">
        <v>1</v>
      </c>
      <c r="BB293" s="129">
        <v>1</v>
      </c>
      <c r="BC293" s="129">
        <v>1</v>
      </c>
      <c r="BD293" s="129">
        <v>1</v>
      </c>
      <c r="BE293" s="129">
        <v>1</v>
      </c>
      <c r="BF293" s="129">
        <v>1</v>
      </c>
      <c r="BG293" s="129">
        <v>1</v>
      </c>
      <c r="BH293" s="129">
        <v>1</v>
      </c>
      <c r="BI293" s="129">
        <v>1</v>
      </c>
      <c r="BJ293" s="129">
        <v>1</v>
      </c>
      <c r="BK293" s="129">
        <v>1</v>
      </c>
      <c r="BL293" s="129">
        <v>1</v>
      </c>
      <c r="BM293" s="197">
        <v>1</v>
      </c>
    </row>
    <row r="294" spans="1:65" x14ac:dyDescent="0.25">
      <c r="A294" s="121" t="s">
        <v>131</v>
      </c>
      <c r="B294" s="121" t="s">
        <v>25</v>
      </c>
      <c r="C294" s="172" t="s">
        <v>222</v>
      </c>
      <c r="D294" s="161">
        <v>10</v>
      </c>
      <c r="E294" s="29" t="str">
        <f>INDEX(ra_ScName,MATCH(D294,ra_ScNumber,0))</f>
        <v>Disclosed nominal return (incl actual asset revaluations)</v>
      </c>
      <c r="F294" s="122">
        <v>0</v>
      </c>
      <c r="G294" s="122">
        <v>0</v>
      </c>
      <c r="H294" s="122">
        <v>0</v>
      </c>
      <c r="I294" s="122">
        <v>0</v>
      </c>
      <c r="J294" s="122">
        <v>0</v>
      </c>
      <c r="K294" s="122">
        <v>0</v>
      </c>
      <c r="L294" s="122">
        <v>0</v>
      </c>
      <c r="M294" s="122">
        <v>0</v>
      </c>
      <c r="N294" s="122">
        <v>0</v>
      </c>
      <c r="O294" s="122">
        <v>0</v>
      </c>
      <c r="P294" s="122">
        <v>0</v>
      </c>
      <c r="Q294" s="122">
        <v>0</v>
      </c>
      <c r="R294" s="122">
        <v>0</v>
      </c>
      <c r="S294" s="122">
        <v>0</v>
      </c>
      <c r="T294" s="122">
        <v>0</v>
      </c>
      <c r="U294" s="122">
        <v>0</v>
      </c>
      <c r="V294" s="122">
        <v>0</v>
      </c>
      <c r="W294" s="122">
        <v>0</v>
      </c>
      <c r="X294" s="122">
        <v>0</v>
      </c>
      <c r="Y294" s="122">
        <v>0</v>
      </c>
      <c r="Z294" s="122">
        <v>0</v>
      </c>
      <c r="AA294" s="122">
        <v>0</v>
      </c>
      <c r="AB294" s="122">
        <v>0</v>
      </c>
      <c r="AC294" s="122">
        <v>0</v>
      </c>
      <c r="AD294" s="122">
        <v>0</v>
      </c>
      <c r="AE294" s="122">
        <v>0</v>
      </c>
      <c r="AF294" s="122">
        <v>0</v>
      </c>
      <c r="AG294" s="122">
        <v>0</v>
      </c>
      <c r="AH294" s="122">
        <v>0</v>
      </c>
      <c r="AI294" s="117">
        <f t="shared" si="8"/>
        <v>0</v>
      </c>
      <c r="AJ294" s="117">
        <f>SUM(F294:U294)</f>
        <v>0</v>
      </c>
      <c r="AK294" s="117">
        <f t="shared" si="9"/>
        <v>0</v>
      </c>
      <c r="AL294" s="23"/>
      <c r="AM294" s="127" t="b">
        <f>IF(INDEX($AO294:$BM294,0,$F$14)=1,TRUE,FALSE)</f>
        <v>1</v>
      </c>
      <c r="AN294" s="127" t="str">
        <f>IF(AM294,A294&amp;", "&amp;B294,"")</f>
        <v>Energy efficiency and demand incentive allowance, 2012/13</v>
      </c>
      <c r="AO294" s="129"/>
      <c r="AP294" s="129"/>
      <c r="AQ294" s="129">
        <v>1</v>
      </c>
      <c r="AR294" s="129">
        <v>1</v>
      </c>
      <c r="AS294" s="129">
        <v>1</v>
      </c>
      <c r="AT294" s="129">
        <v>1</v>
      </c>
      <c r="AU294" s="129">
        <v>1</v>
      </c>
      <c r="AV294" s="129">
        <v>1</v>
      </c>
      <c r="AW294" s="129">
        <v>1</v>
      </c>
      <c r="AX294" s="197">
        <v>1</v>
      </c>
      <c r="AY294" s="197">
        <v>1</v>
      </c>
      <c r="AZ294" s="197">
        <v>1</v>
      </c>
      <c r="BA294" s="197">
        <v>1</v>
      </c>
      <c r="BB294" s="129">
        <v>1</v>
      </c>
      <c r="BC294" s="129">
        <v>1</v>
      </c>
      <c r="BD294" s="129">
        <v>1</v>
      </c>
      <c r="BE294" s="129">
        <v>1</v>
      </c>
      <c r="BF294" s="129">
        <v>1</v>
      </c>
      <c r="BG294" s="129">
        <v>1</v>
      </c>
      <c r="BH294" s="129">
        <v>1</v>
      </c>
      <c r="BI294" s="129">
        <v>1</v>
      </c>
      <c r="BJ294" s="129">
        <v>1</v>
      </c>
      <c r="BK294" s="129">
        <v>1</v>
      </c>
      <c r="BL294" s="129">
        <v>1</v>
      </c>
      <c r="BM294" s="197">
        <v>1</v>
      </c>
    </row>
    <row r="295" spans="1:65" x14ac:dyDescent="0.25">
      <c r="A295" s="121" t="s">
        <v>131</v>
      </c>
      <c r="B295" s="121" t="s">
        <v>26</v>
      </c>
      <c r="C295" s="172" t="s">
        <v>222</v>
      </c>
      <c r="D295" s="161">
        <v>10</v>
      </c>
      <c r="E295" s="29" t="str">
        <f>INDEX(ra_ScName,MATCH(D295,ra_ScNumber,0))</f>
        <v>Disclosed nominal return (incl actual asset revaluations)</v>
      </c>
      <c r="F295" s="122">
        <v>0</v>
      </c>
      <c r="G295" s="122">
        <v>0</v>
      </c>
      <c r="H295" s="122">
        <v>0</v>
      </c>
      <c r="I295" s="122">
        <v>0</v>
      </c>
      <c r="J295" s="122">
        <v>0</v>
      </c>
      <c r="K295" s="122">
        <v>0</v>
      </c>
      <c r="L295" s="122">
        <v>0</v>
      </c>
      <c r="M295" s="122">
        <v>0</v>
      </c>
      <c r="N295" s="122">
        <v>0</v>
      </c>
      <c r="O295" s="122">
        <v>0</v>
      </c>
      <c r="P295" s="122">
        <v>0</v>
      </c>
      <c r="Q295" s="122">
        <v>0</v>
      </c>
      <c r="R295" s="122">
        <v>0</v>
      </c>
      <c r="S295" s="122">
        <v>0</v>
      </c>
      <c r="T295" s="122">
        <v>0</v>
      </c>
      <c r="U295" s="122">
        <v>0</v>
      </c>
      <c r="V295" s="122">
        <v>0</v>
      </c>
      <c r="W295" s="122">
        <v>0</v>
      </c>
      <c r="X295" s="122">
        <v>0</v>
      </c>
      <c r="Y295" s="122">
        <v>0</v>
      </c>
      <c r="Z295" s="122">
        <v>0</v>
      </c>
      <c r="AA295" s="122">
        <v>0</v>
      </c>
      <c r="AB295" s="122">
        <v>0</v>
      </c>
      <c r="AC295" s="122">
        <v>0</v>
      </c>
      <c r="AD295" s="122">
        <v>0</v>
      </c>
      <c r="AE295" s="122">
        <v>0</v>
      </c>
      <c r="AF295" s="122">
        <v>0</v>
      </c>
      <c r="AG295" s="122">
        <v>0</v>
      </c>
      <c r="AH295" s="122">
        <v>0</v>
      </c>
      <c r="AI295" s="117">
        <f t="shared" si="8"/>
        <v>0</v>
      </c>
      <c r="AJ295" s="117">
        <f>SUM(F295:U295)</f>
        <v>0</v>
      </c>
      <c r="AK295" s="117">
        <f t="shared" si="9"/>
        <v>0</v>
      </c>
      <c r="AL295" s="23"/>
      <c r="AM295" s="127" t="b">
        <f>IF(INDEX($AO295:$BM295,0,$F$14)=1,TRUE,FALSE)</f>
        <v>1</v>
      </c>
      <c r="AN295" s="127" t="str">
        <f>IF(AM295,A295&amp;", "&amp;B295,"")</f>
        <v>Energy efficiency and demand incentive allowance, 2013/14</v>
      </c>
      <c r="AO295" s="129"/>
      <c r="AP295" s="129"/>
      <c r="AQ295" s="129">
        <v>1</v>
      </c>
      <c r="AR295" s="129">
        <v>1</v>
      </c>
      <c r="AS295" s="129">
        <v>1</v>
      </c>
      <c r="AT295" s="129">
        <v>1</v>
      </c>
      <c r="AU295" s="129">
        <v>1</v>
      </c>
      <c r="AV295" s="129">
        <v>1</v>
      </c>
      <c r="AW295" s="129">
        <v>1</v>
      </c>
      <c r="AX295" s="197">
        <v>1</v>
      </c>
      <c r="AY295" s="197">
        <v>1</v>
      </c>
      <c r="AZ295" s="197">
        <v>1</v>
      </c>
      <c r="BA295" s="197">
        <v>1</v>
      </c>
      <c r="BB295" s="129">
        <v>1</v>
      </c>
      <c r="BC295" s="129">
        <v>1</v>
      </c>
      <c r="BD295" s="129">
        <v>1</v>
      </c>
      <c r="BE295" s="129">
        <v>1</v>
      </c>
      <c r="BF295" s="129">
        <v>1</v>
      </c>
      <c r="BG295" s="129">
        <v>1</v>
      </c>
      <c r="BH295" s="129">
        <v>1</v>
      </c>
      <c r="BI295" s="129">
        <v>1</v>
      </c>
      <c r="BJ295" s="129">
        <v>1</v>
      </c>
      <c r="BK295" s="129">
        <v>1</v>
      </c>
      <c r="BL295" s="129">
        <v>1</v>
      </c>
      <c r="BM295" s="197">
        <v>1</v>
      </c>
    </row>
    <row r="296" spans="1:65" x14ac:dyDescent="0.25">
      <c r="A296" s="121" t="s">
        <v>131</v>
      </c>
      <c r="B296" s="121" t="s">
        <v>27</v>
      </c>
      <c r="C296" s="172" t="s">
        <v>222</v>
      </c>
      <c r="D296" s="161">
        <v>10</v>
      </c>
      <c r="E296" s="29" t="str">
        <f>INDEX(ra_ScName,MATCH(D296,ra_ScNumber,0))</f>
        <v>Disclosed nominal return (incl actual asset revaluations)</v>
      </c>
      <c r="F296" s="122">
        <v>0</v>
      </c>
      <c r="G296" s="122">
        <v>0</v>
      </c>
      <c r="H296" s="122">
        <v>0</v>
      </c>
      <c r="I296" s="122">
        <v>0</v>
      </c>
      <c r="J296" s="122">
        <v>0</v>
      </c>
      <c r="K296" s="122">
        <v>0</v>
      </c>
      <c r="L296" s="122">
        <v>0</v>
      </c>
      <c r="M296" s="122">
        <v>0</v>
      </c>
      <c r="N296" s="122">
        <v>0</v>
      </c>
      <c r="O296" s="122">
        <v>0</v>
      </c>
      <c r="P296" s="122">
        <v>0</v>
      </c>
      <c r="Q296" s="122">
        <v>0</v>
      </c>
      <c r="R296" s="122">
        <v>0</v>
      </c>
      <c r="S296" s="122">
        <v>0</v>
      </c>
      <c r="T296" s="122">
        <v>0</v>
      </c>
      <c r="U296" s="122">
        <v>0</v>
      </c>
      <c r="V296" s="122">
        <v>0</v>
      </c>
      <c r="W296" s="122">
        <v>0</v>
      </c>
      <c r="X296" s="122">
        <v>0</v>
      </c>
      <c r="Y296" s="122">
        <v>0</v>
      </c>
      <c r="Z296" s="122">
        <v>0</v>
      </c>
      <c r="AA296" s="122">
        <v>0</v>
      </c>
      <c r="AB296" s="122">
        <v>0</v>
      </c>
      <c r="AC296" s="122">
        <v>0</v>
      </c>
      <c r="AD296" s="122">
        <v>0</v>
      </c>
      <c r="AE296" s="122">
        <v>0</v>
      </c>
      <c r="AF296" s="122">
        <v>0</v>
      </c>
      <c r="AG296" s="122">
        <v>0</v>
      </c>
      <c r="AH296" s="122">
        <v>0</v>
      </c>
      <c r="AI296" s="117">
        <f t="shared" si="8"/>
        <v>0</v>
      </c>
      <c r="AJ296" s="117">
        <f>SUM(F296:U296)</f>
        <v>0</v>
      </c>
      <c r="AK296" s="117">
        <f t="shared" si="9"/>
        <v>0</v>
      </c>
      <c r="AL296" s="23"/>
      <c r="AM296" s="127" t="b">
        <f>IF(INDEX($AO296:$BM296,0,$F$14)=1,TRUE,FALSE)</f>
        <v>1</v>
      </c>
      <c r="AN296" s="127" t="str">
        <f>IF(AM296,A296&amp;", "&amp;B296,"")</f>
        <v>Energy efficiency and demand incentive allowance, 2014/15</v>
      </c>
      <c r="AO296" s="129"/>
      <c r="AP296" s="129"/>
      <c r="AQ296" s="129">
        <v>1</v>
      </c>
      <c r="AR296" s="129">
        <v>1</v>
      </c>
      <c r="AS296" s="129">
        <v>1</v>
      </c>
      <c r="AT296" s="129">
        <v>1</v>
      </c>
      <c r="AU296" s="129">
        <v>1</v>
      </c>
      <c r="AV296" s="129">
        <v>1</v>
      </c>
      <c r="AW296" s="129">
        <v>1</v>
      </c>
      <c r="AX296" s="197">
        <v>1</v>
      </c>
      <c r="AY296" s="197">
        <v>1</v>
      </c>
      <c r="AZ296" s="197">
        <v>1</v>
      </c>
      <c r="BA296" s="197">
        <v>1</v>
      </c>
      <c r="BB296" s="129">
        <v>1</v>
      </c>
      <c r="BC296" s="129">
        <v>1</v>
      </c>
      <c r="BD296" s="129">
        <v>1</v>
      </c>
      <c r="BE296" s="129">
        <v>1</v>
      </c>
      <c r="BF296" s="129">
        <v>1</v>
      </c>
      <c r="BG296" s="129">
        <v>1</v>
      </c>
      <c r="BH296" s="129">
        <v>1</v>
      </c>
      <c r="BI296" s="129">
        <v>1</v>
      </c>
      <c r="BJ296" s="129">
        <v>1</v>
      </c>
      <c r="BK296" s="129">
        <v>1</v>
      </c>
      <c r="BL296" s="129">
        <v>1</v>
      </c>
      <c r="BM296" s="197">
        <v>1</v>
      </c>
    </row>
    <row r="297" spans="1:65" x14ac:dyDescent="0.25">
      <c r="A297" s="121"/>
      <c r="B297" s="121"/>
      <c r="C297" s="172"/>
      <c r="D297" s="49"/>
      <c r="E297" s="49"/>
      <c r="F297" s="54"/>
      <c r="G297" s="54"/>
      <c r="H297" s="54"/>
      <c r="I297" s="54"/>
      <c r="J297" s="54"/>
      <c r="K297" s="54"/>
      <c r="L297" s="54"/>
      <c r="M297" s="54"/>
      <c r="N297" s="54"/>
      <c r="O297" s="54"/>
      <c r="P297" s="54"/>
      <c r="Q297" s="54"/>
      <c r="R297" s="54"/>
      <c r="S297" s="54"/>
      <c r="T297" s="54"/>
      <c r="U297" s="54"/>
      <c r="V297" s="54"/>
      <c r="W297" s="55"/>
      <c r="X297" s="55"/>
      <c r="Y297" s="55"/>
      <c r="Z297" s="55"/>
      <c r="AA297" s="55"/>
      <c r="AB297" s="55"/>
      <c r="AC297" s="55"/>
      <c r="AD297" s="55"/>
      <c r="AE297" s="55"/>
      <c r="AF297" s="55"/>
      <c r="AG297" s="55"/>
      <c r="AH297" s="55"/>
      <c r="AI297" s="54"/>
      <c r="AJ297" s="54"/>
      <c r="AK297" s="54"/>
      <c r="AL297" s="23"/>
      <c r="AM297" s="127"/>
      <c r="AN297" s="127"/>
      <c r="AO297" s="129"/>
      <c r="AP297" s="129"/>
      <c r="AQ297" s="129"/>
      <c r="AR297" s="129"/>
      <c r="AS297" s="129"/>
      <c r="AT297" s="129"/>
      <c r="AU297" s="129"/>
      <c r="AV297" s="129"/>
      <c r="AW297" s="129"/>
      <c r="AX297" s="197"/>
      <c r="AY297" s="197"/>
      <c r="AZ297" s="197"/>
      <c r="BA297" s="197"/>
      <c r="BB297" s="129"/>
      <c r="BC297" s="129"/>
      <c r="BD297" s="129"/>
      <c r="BE297" s="129"/>
      <c r="BF297" s="129"/>
      <c r="BG297" s="129"/>
      <c r="BH297" s="129"/>
      <c r="BI297" s="129"/>
      <c r="BJ297" s="129"/>
      <c r="BK297" s="129"/>
      <c r="BL297" s="129"/>
      <c r="BM297" s="197"/>
    </row>
    <row r="298" spans="1:65" x14ac:dyDescent="0.25">
      <c r="A298" s="121"/>
      <c r="B298" s="121"/>
      <c r="C298" s="172"/>
      <c r="D298" s="46"/>
      <c r="E298" s="46"/>
      <c r="F298" s="54"/>
      <c r="G298" s="54"/>
      <c r="H298" s="54"/>
      <c r="I298" s="54"/>
      <c r="J298" s="54"/>
      <c r="K298" s="54"/>
      <c r="L298" s="54"/>
      <c r="M298" s="54"/>
      <c r="N298" s="54"/>
      <c r="O298" s="54"/>
      <c r="P298" s="54"/>
      <c r="Q298" s="54"/>
      <c r="R298" s="54"/>
      <c r="S298" s="54"/>
      <c r="T298" s="54"/>
      <c r="U298" s="54"/>
      <c r="V298" s="54"/>
      <c r="W298" s="55"/>
      <c r="X298" s="55"/>
      <c r="Y298" s="55"/>
      <c r="Z298" s="55"/>
      <c r="AA298" s="55"/>
      <c r="AB298" s="55"/>
      <c r="AC298" s="55"/>
      <c r="AD298" s="55"/>
      <c r="AE298" s="55"/>
      <c r="AF298" s="55"/>
      <c r="AG298" s="55"/>
      <c r="AH298" s="55"/>
      <c r="AI298" s="54"/>
      <c r="AJ298" s="54"/>
      <c r="AK298" s="54"/>
      <c r="AL298" s="23"/>
      <c r="AM298" s="127"/>
      <c r="AN298" s="127"/>
      <c r="AO298" s="129"/>
      <c r="AP298" s="129"/>
      <c r="AQ298" s="129"/>
      <c r="AR298" s="129"/>
      <c r="AS298" s="129"/>
      <c r="AT298" s="129"/>
      <c r="AU298" s="129"/>
      <c r="AV298" s="129"/>
      <c r="AW298" s="129"/>
      <c r="AX298" s="197"/>
      <c r="AY298" s="197"/>
      <c r="AZ298" s="197"/>
      <c r="BA298" s="197"/>
      <c r="BB298" s="129"/>
      <c r="BC298" s="129"/>
      <c r="BD298" s="129"/>
      <c r="BE298" s="129"/>
      <c r="BF298" s="129"/>
      <c r="BG298" s="129"/>
      <c r="BH298" s="129"/>
      <c r="BI298" s="129"/>
      <c r="BJ298" s="129"/>
      <c r="BK298" s="129"/>
      <c r="BL298" s="129"/>
      <c r="BM298" s="197"/>
    </row>
    <row r="299" spans="1:65" x14ac:dyDescent="0.25">
      <c r="A299" s="121" t="s">
        <v>132</v>
      </c>
      <c r="B299" s="121" t="s">
        <v>23</v>
      </c>
      <c r="C299" s="172" t="s">
        <v>222</v>
      </c>
      <c r="D299" s="161">
        <v>1</v>
      </c>
      <c r="E299" s="29" t="str">
        <f>INDEX(ra_ScName,MATCH(D299,ra_ScNumber,0))</f>
        <v>Expected nominal return (incl forecast asset revaluations)</v>
      </c>
      <c r="F299" s="54"/>
      <c r="G299" s="54"/>
      <c r="H299" s="54"/>
      <c r="I299" s="54"/>
      <c r="J299" s="54"/>
      <c r="K299" s="54"/>
      <c r="L299" s="54"/>
      <c r="M299" s="54"/>
      <c r="N299" s="54"/>
      <c r="O299" s="54"/>
      <c r="P299" s="54"/>
      <c r="Q299" s="54"/>
      <c r="R299" s="54"/>
      <c r="S299" s="54"/>
      <c r="T299" s="54"/>
      <c r="U299" s="54"/>
      <c r="V299" s="54"/>
      <c r="W299" s="54"/>
      <c r="X299" s="54"/>
      <c r="Y299" s="54"/>
      <c r="Z299" s="54"/>
      <c r="AA299" s="54"/>
      <c r="AB299" s="54"/>
      <c r="AC299" s="54"/>
      <c r="AD299" s="54"/>
      <c r="AE299" s="54"/>
      <c r="AF299" s="54"/>
      <c r="AG299" s="54"/>
      <c r="AH299" s="54"/>
      <c r="AI299" s="117">
        <f t="shared" si="8"/>
        <v>0</v>
      </c>
      <c r="AJ299" s="117">
        <f>SUM(F299:U299)</f>
        <v>0</v>
      </c>
      <c r="AK299" s="117">
        <f t="shared" si="9"/>
        <v>0</v>
      </c>
      <c r="AL299" s="23"/>
      <c r="AM299" s="127" t="b">
        <f>IF(INDEX($AO299:$BM299,0,$F$14)=1,TRUE,FALSE)</f>
        <v>0</v>
      </c>
      <c r="AN299" s="127" t="str">
        <f>IF(AM299,A299&amp;", "&amp;B299,"")</f>
        <v/>
      </c>
      <c r="AO299" s="129">
        <v>1</v>
      </c>
      <c r="AP299" s="129">
        <v>1</v>
      </c>
      <c r="AQ299" s="129"/>
      <c r="AR299" s="129"/>
      <c r="AS299" s="129"/>
      <c r="AT299" s="129"/>
      <c r="AU299" s="129"/>
      <c r="AV299" s="129"/>
      <c r="AW299" s="129"/>
      <c r="AX299" s="197"/>
      <c r="AY299" s="197"/>
      <c r="AZ299" s="197"/>
      <c r="BA299" s="197"/>
      <c r="BB299" s="129"/>
      <c r="BC299" s="129"/>
      <c r="BD299" s="129"/>
      <c r="BE299" s="129"/>
      <c r="BF299" s="129"/>
      <c r="BG299" s="129"/>
      <c r="BH299" s="129"/>
      <c r="BI299" s="129"/>
      <c r="BJ299" s="129"/>
      <c r="BK299" s="129"/>
      <c r="BL299" s="129"/>
      <c r="BM299" s="197"/>
    </row>
    <row r="300" spans="1:65" x14ac:dyDescent="0.25">
      <c r="A300" s="121" t="s">
        <v>132</v>
      </c>
      <c r="B300" s="121" t="s">
        <v>24</v>
      </c>
      <c r="C300" s="172" t="s">
        <v>222</v>
      </c>
      <c r="D300" s="161">
        <v>1</v>
      </c>
      <c r="E300" s="29" t="str">
        <f>INDEX(ra_ScName,MATCH(D300,ra_ScNumber,0))</f>
        <v>Expected nominal return (incl forecast asset revaluations)</v>
      </c>
      <c r="F300" s="54"/>
      <c r="G300" s="54"/>
      <c r="H300" s="54"/>
      <c r="I300" s="54"/>
      <c r="J300" s="54"/>
      <c r="K300" s="54"/>
      <c r="L300" s="54"/>
      <c r="M300" s="54"/>
      <c r="N300" s="54"/>
      <c r="O300" s="54"/>
      <c r="P300" s="54"/>
      <c r="Q300" s="54"/>
      <c r="R300" s="54"/>
      <c r="S300" s="54"/>
      <c r="T300" s="54"/>
      <c r="U300" s="54"/>
      <c r="V300" s="54"/>
      <c r="W300" s="54"/>
      <c r="X300" s="54"/>
      <c r="Y300" s="54"/>
      <c r="Z300" s="54"/>
      <c r="AA300" s="54"/>
      <c r="AB300" s="54"/>
      <c r="AC300" s="54"/>
      <c r="AD300" s="54"/>
      <c r="AE300" s="54"/>
      <c r="AF300" s="54"/>
      <c r="AG300" s="54"/>
      <c r="AH300" s="54"/>
      <c r="AI300" s="117">
        <f t="shared" si="8"/>
        <v>0</v>
      </c>
      <c r="AJ300" s="117">
        <f>SUM(F300:U300)</f>
        <v>0</v>
      </c>
      <c r="AK300" s="117">
        <f t="shared" si="9"/>
        <v>0</v>
      </c>
      <c r="AL300" s="23"/>
      <c r="AM300" s="127" t="b">
        <f>IF(INDEX($AO300:$BM300,0,$F$14)=1,TRUE,FALSE)</f>
        <v>0</v>
      </c>
      <c r="AN300" s="127" t="str">
        <f>IF(AM300,A300&amp;", "&amp;B300,"")</f>
        <v/>
      </c>
      <c r="AO300" s="129">
        <v>1</v>
      </c>
      <c r="AP300" s="129">
        <v>1</v>
      </c>
      <c r="AQ300" s="129"/>
      <c r="AR300" s="129"/>
      <c r="AS300" s="129"/>
      <c r="AT300" s="129"/>
      <c r="AU300" s="129"/>
      <c r="AV300" s="129"/>
      <c r="AW300" s="129"/>
      <c r="AX300" s="197"/>
      <c r="AY300" s="197"/>
      <c r="AZ300" s="197"/>
      <c r="BA300" s="197"/>
      <c r="BB300" s="129"/>
      <c r="BC300" s="129"/>
      <c r="BD300" s="129"/>
      <c r="BE300" s="129"/>
      <c r="BF300" s="129"/>
      <c r="BG300" s="129"/>
      <c r="BH300" s="129"/>
      <c r="BI300" s="129"/>
      <c r="BJ300" s="129"/>
      <c r="BK300" s="129"/>
      <c r="BL300" s="129"/>
      <c r="BM300" s="197"/>
    </row>
    <row r="301" spans="1:65" x14ac:dyDescent="0.25">
      <c r="A301" s="121" t="s">
        <v>132</v>
      </c>
      <c r="B301" s="121" t="s">
        <v>25</v>
      </c>
      <c r="C301" s="172" t="s">
        <v>222</v>
      </c>
      <c r="D301" s="161">
        <v>1</v>
      </c>
      <c r="E301" s="29" t="str">
        <f>INDEX(ra_ScName,MATCH(D301,ra_ScNumber,0))</f>
        <v>Expected nominal return (incl forecast asset revaluations)</v>
      </c>
      <c r="F301" s="54"/>
      <c r="G301" s="54"/>
      <c r="H301" s="54"/>
      <c r="I301" s="54"/>
      <c r="J301" s="54"/>
      <c r="K301" s="54"/>
      <c r="L301" s="54"/>
      <c r="M301" s="54"/>
      <c r="N301" s="54"/>
      <c r="O301" s="54"/>
      <c r="P301" s="54"/>
      <c r="Q301" s="54"/>
      <c r="R301" s="54"/>
      <c r="S301" s="54"/>
      <c r="T301" s="54"/>
      <c r="U301" s="54"/>
      <c r="V301" s="54"/>
      <c r="W301" s="54"/>
      <c r="X301" s="54"/>
      <c r="Y301" s="54"/>
      <c r="Z301" s="54"/>
      <c r="AA301" s="54"/>
      <c r="AB301" s="54"/>
      <c r="AC301" s="54"/>
      <c r="AD301" s="54"/>
      <c r="AE301" s="54"/>
      <c r="AF301" s="54"/>
      <c r="AG301" s="54"/>
      <c r="AH301" s="54"/>
      <c r="AI301" s="117">
        <f t="shared" si="8"/>
        <v>0</v>
      </c>
      <c r="AJ301" s="117">
        <f>SUM(F301:U301)</f>
        <v>0</v>
      </c>
      <c r="AK301" s="117">
        <f t="shared" si="9"/>
        <v>0</v>
      </c>
      <c r="AL301" s="23"/>
      <c r="AM301" s="127" t="b">
        <f>IF(INDEX($AO301:$BM301,0,$F$14)=1,TRUE,FALSE)</f>
        <v>0</v>
      </c>
      <c r="AN301" s="127" t="str">
        <f>IF(AM301,A301&amp;", "&amp;B301,"")</f>
        <v/>
      </c>
      <c r="AO301" s="129">
        <v>1</v>
      </c>
      <c r="AP301" s="129">
        <v>1</v>
      </c>
      <c r="AQ301" s="129"/>
      <c r="AR301" s="129"/>
      <c r="AS301" s="129"/>
      <c r="AT301" s="129"/>
      <c r="AU301" s="129"/>
      <c r="AV301" s="129"/>
      <c r="AW301" s="129"/>
      <c r="AX301" s="197"/>
      <c r="AY301" s="197"/>
      <c r="AZ301" s="197"/>
      <c r="BA301" s="197"/>
      <c r="BB301" s="129"/>
      <c r="BC301" s="129"/>
      <c r="BD301" s="129"/>
      <c r="BE301" s="129"/>
      <c r="BF301" s="129"/>
      <c r="BG301" s="129"/>
      <c r="BH301" s="129"/>
      <c r="BI301" s="129"/>
      <c r="BJ301" s="129"/>
      <c r="BK301" s="129"/>
      <c r="BL301" s="129"/>
      <c r="BM301" s="197"/>
    </row>
    <row r="302" spans="1:65" x14ac:dyDescent="0.25">
      <c r="A302" s="121" t="s">
        <v>132</v>
      </c>
      <c r="B302" s="121" t="s">
        <v>26</v>
      </c>
      <c r="C302" s="172" t="s">
        <v>222</v>
      </c>
      <c r="D302" s="161">
        <v>1</v>
      </c>
      <c r="E302" s="29" t="str">
        <f>INDEX(ra_ScName,MATCH(D302,ra_ScNumber,0))</f>
        <v>Expected nominal return (incl forecast asset revaluations)</v>
      </c>
      <c r="F302" s="54"/>
      <c r="G302" s="54"/>
      <c r="H302" s="54"/>
      <c r="I302" s="54"/>
      <c r="J302" s="54"/>
      <c r="K302" s="54"/>
      <c r="L302" s="54"/>
      <c r="M302" s="54"/>
      <c r="N302" s="54"/>
      <c r="O302" s="54"/>
      <c r="P302" s="54"/>
      <c r="Q302" s="54"/>
      <c r="R302" s="54"/>
      <c r="S302" s="54"/>
      <c r="T302" s="54"/>
      <c r="U302" s="54"/>
      <c r="V302" s="54"/>
      <c r="W302" s="54"/>
      <c r="X302" s="54"/>
      <c r="Y302" s="54"/>
      <c r="Z302" s="54"/>
      <c r="AA302" s="54"/>
      <c r="AB302" s="54"/>
      <c r="AC302" s="54"/>
      <c r="AD302" s="54"/>
      <c r="AE302" s="54"/>
      <c r="AF302" s="54"/>
      <c r="AG302" s="54"/>
      <c r="AH302" s="54"/>
      <c r="AI302" s="117">
        <f t="shared" si="8"/>
        <v>0</v>
      </c>
      <c r="AJ302" s="117">
        <f>SUM(F302:U302)</f>
        <v>0</v>
      </c>
      <c r="AK302" s="117">
        <f t="shared" si="9"/>
        <v>0</v>
      </c>
      <c r="AL302" s="23"/>
      <c r="AM302" s="127" t="b">
        <f>IF(INDEX($AO302:$BM302,0,$F$14)=1,TRUE,FALSE)</f>
        <v>0</v>
      </c>
      <c r="AN302" s="127" t="str">
        <f>IF(AM302,A302&amp;", "&amp;B302,"")</f>
        <v/>
      </c>
      <c r="AO302" s="129">
        <v>1</v>
      </c>
      <c r="AP302" s="129">
        <v>1</v>
      </c>
      <c r="AQ302" s="129"/>
      <c r="AR302" s="129"/>
      <c r="AS302" s="129"/>
      <c r="AT302" s="129"/>
      <c r="AU302" s="129"/>
      <c r="AV302" s="129"/>
      <c r="AW302" s="129"/>
      <c r="AX302" s="197"/>
      <c r="AY302" s="197"/>
      <c r="AZ302" s="197"/>
      <c r="BA302" s="197"/>
      <c r="BB302" s="129"/>
      <c r="BC302" s="129"/>
      <c r="BD302" s="129"/>
      <c r="BE302" s="129"/>
      <c r="BF302" s="129"/>
      <c r="BG302" s="129"/>
      <c r="BH302" s="129"/>
      <c r="BI302" s="129"/>
      <c r="BJ302" s="129"/>
      <c r="BK302" s="129"/>
      <c r="BL302" s="129"/>
      <c r="BM302" s="197"/>
    </row>
    <row r="303" spans="1:65" x14ac:dyDescent="0.25">
      <c r="A303" s="121" t="s">
        <v>132</v>
      </c>
      <c r="B303" s="121" t="s">
        <v>27</v>
      </c>
      <c r="C303" s="172" t="s">
        <v>222</v>
      </c>
      <c r="D303" s="161">
        <v>1</v>
      </c>
      <c r="E303" s="29" t="str">
        <f>INDEX(ra_ScName,MATCH(D303,ra_ScNumber,0))</f>
        <v>Expected nominal return (incl forecast asset revaluations)</v>
      </c>
      <c r="F303" s="54"/>
      <c r="G303" s="54"/>
      <c r="H303" s="54"/>
      <c r="I303" s="54"/>
      <c r="J303" s="54"/>
      <c r="K303" s="54"/>
      <c r="L303" s="54"/>
      <c r="M303" s="54"/>
      <c r="N303" s="54"/>
      <c r="O303" s="54"/>
      <c r="P303" s="54"/>
      <c r="Q303" s="54"/>
      <c r="R303" s="54"/>
      <c r="S303" s="54"/>
      <c r="T303" s="54"/>
      <c r="U303" s="54"/>
      <c r="V303" s="54"/>
      <c r="W303" s="54"/>
      <c r="X303" s="54"/>
      <c r="Y303" s="54"/>
      <c r="Z303" s="54"/>
      <c r="AA303" s="54"/>
      <c r="AB303" s="54"/>
      <c r="AC303" s="54"/>
      <c r="AD303" s="54"/>
      <c r="AE303" s="54"/>
      <c r="AF303" s="54"/>
      <c r="AG303" s="54"/>
      <c r="AH303" s="54"/>
      <c r="AI303" s="117">
        <f t="shared" si="8"/>
        <v>0</v>
      </c>
      <c r="AJ303" s="117">
        <f>SUM(F303:U303)</f>
        <v>0</v>
      </c>
      <c r="AK303" s="117">
        <f t="shared" si="9"/>
        <v>0</v>
      </c>
      <c r="AL303" s="23"/>
      <c r="AM303" s="127" t="b">
        <f>IF(INDEX($AO303:$BM303,0,$F$14)=1,TRUE,FALSE)</f>
        <v>0</v>
      </c>
      <c r="AN303" s="127" t="str">
        <f>IF(AM303,A303&amp;", "&amp;B303,"")</f>
        <v/>
      </c>
      <c r="AO303" s="129">
        <v>1</v>
      </c>
      <c r="AP303" s="129">
        <v>1</v>
      </c>
      <c r="AQ303" s="129"/>
      <c r="AR303" s="129"/>
      <c r="AS303" s="129"/>
      <c r="AT303" s="129"/>
      <c r="AU303" s="129"/>
      <c r="AV303" s="129"/>
      <c r="AW303" s="129"/>
      <c r="AX303" s="197"/>
      <c r="AY303" s="197"/>
      <c r="AZ303" s="197"/>
      <c r="BA303" s="197"/>
      <c r="BB303" s="129"/>
      <c r="BC303" s="129"/>
      <c r="BD303" s="129"/>
      <c r="BE303" s="129"/>
      <c r="BF303" s="129"/>
      <c r="BG303" s="129"/>
      <c r="BH303" s="129"/>
      <c r="BI303" s="129"/>
      <c r="BJ303" s="129"/>
      <c r="BK303" s="129"/>
      <c r="BL303" s="129"/>
      <c r="BM303" s="197"/>
    </row>
    <row r="304" spans="1:65" x14ac:dyDescent="0.25">
      <c r="A304" s="121"/>
      <c r="B304" s="121"/>
      <c r="C304" s="172"/>
      <c r="D304" s="49"/>
      <c r="E304" s="49"/>
      <c r="F304" s="54"/>
      <c r="G304" s="54"/>
      <c r="H304" s="54"/>
      <c r="I304" s="54"/>
      <c r="J304" s="54"/>
      <c r="K304" s="54"/>
      <c r="L304" s="54"/>
      <c r="M304" s="54"/>
      <c r="N304" s="54"/>
      <c r="O304" s="54"/>
      <c r="P304" s="54"/>
      <c r="Q304" s="54"/>
      <c r="R304" s="54"/>
      <c r="S304" s="54"/>
      <c r="T304" s="54"/>
      <c r="U304" s="54"/>
      <c r="V304" s="54"/>
      <c r="W304" s="55"/>
      <c r="X304" s="55"/>
      <c r="Y304" s="55"/>
      <c r="Z304" s="55"/>
      <c r="AA304" s="55"/>
      <c r="AB304" s="55"/>
      <c r="AC304" s="55"/>
      <c r="AD304" s="55"/>
      <c r="AE304" s="55"/>
      <c r="AF304" s="55"/>
      <c r="AG304" s="55"/>
      <c r="AH304" s="55"/>
      <c r="AI304" s="54"/>
      <c r="AJ304" s="54"/>
      <c r="AK304" s="54"/>
      <c r="AL304" s="23"/>
      <c r="AM304" s="127"/>
      <c r="AN304" s="127"/>
      <c r="AO304" s="129"/>
      <c r="AP304" s="129"/>
      <c r="AQ304" s="129"/>
      <c r="AR304" s="129"/>
      <c r="AS304" s="129"/>
      <c r="AT304" s="129"/>
      <c r="AU304" s="129"/>
      <c r="AV304" s="129"/>
      <c r="AW304" s="129"/>
      <c r="AX304" s="197"/>
      <c r="AY304" s="197"/>
      <c r="AZ304" s="197"/>
      <c r="BA304" s="197"/>
      <c r="BB304" s="129"/>
      <c r="BC304" s="129"/>
      <c r="BD304" s="129"/>
      <c r="BE304" s="129"/>
      <c r="BF304" s="129"/>
      <c r="BG304" s="129"/>
      <c r="BH304" s="129"/>
      <c r="BI304" s="129"/>
      <c r="BJ304" s="129"/>
      <c r="BK304" s="129"/>
      <c r="BL304" s="129"/>
      <c r="BM304" s="197"/>
    </row>
    <row r="305" spans="1:65" x14ac:dyDescent="0.25">
      <c r="A305" s="121"/>
      <c r="B305" s="121"/>
      <c r="C305" s="172"/>
      <c r="D305" s="46"/>
      <c r="E305" s="46"/>
      <c r="F305" s="54"/>
      <c r="G305" s="54"/>
      <c r="H305" s="54"/>
      <c r="I305" s="54"/>
      <c r="J305" s="54"/>
      <c r="K305" s="54"/>
      <c r="L305" s="54"/>
      <c r="M305" s="54"/>
      <c r="N305" s="54"/>
      <c r="O305" s="54"/>
      <c r="P305" s="54"/>
      <c r="Q305" s="54"/>
      <c r="R305" s="54"/>
      <c r="S305" s="54"/>
      <c r="T305" s="54"/>
      <c r="U305" s="54"/>
      <c r="V305" s="54"/>
      <c r="W305" s="55"/>
      <c r="X305" s="55"/>
      <c r="Y305" s="55"/>
      <c r="Z305" s="55"/>
      <c r="AA305" s="55"/>
      <c r="AB305" s="55"/>
      <c r="AC305" s="55"/>
      <c r="AD305" s="55"/>
      <c r="AE305" s="55"/>
      <c r="AF305" s="55"/>
      <c r="AG305" s="55"/>
      <c r="AH305" s="55"/>
      <c r="AI305" s="54"/>
      <c r="AJ305" s="54"/>
      <c r="AK305" s="54"/>
      <c r="AL305" s="23"/>
      <c r="AM305" s="127"/>
      <c r="AN305" s="127"/>
      <c r="AO305" s="129"/>
      <c r="AP305" s="129"/>
      <c r="AQ305" s="129"/>
      <c r="AR305" s="129"/>
      <c r="AS305" s="129"/>
      <c r="AT305" s="129"/>
      <c r="AU305" s="129"/>
      <c r="AV305" s="129"/>
      <c r="AW305" s="129"/>
      <c r="AX305" s="197"/>
      <c r="AY305" s="197"/>
      <c r="AZ305" s="197"/>
      <c r="BA305" s="197"/>
      <c r="BB305" s="129"/>
      <c r="BC305" s="129"/>
      <c r="BD305" s="129"/>
      <c r="BE305" s="129"/>
      <c r="BF305" s="129"/>
      <c r="BG305" s="129"/>
      <c r="BH305" s="129"/>
      <c r="BI305" s="129"/>
      <c r="BJ305" s="129"/>
      <c r="BK305" s="129"/>
      <c r="BL305" s="129"/>
      <c r="BM305" s="197"/>
    </row>
    <row r="306" spans="1:65" x14ac:dyDescent="0.25">
      <c r="A306" s="121" t="s">
        <v>132</v>
      </c>
      <c r="B306" s="121" t="s">
        <v>23</v>
      </c>
      <c r="C306" s="172" t="s">
        <v>222</v>
      </c>
      <c r="D306" s="161">
        <v>10</v>
      </c>
      <c r="E306" s="29" t="str">
        <f>INDEX(ra_ScName,MATCH(D306,ra_ScNumber,0))</f>
        <v>Disclosed nominal return (incl actual asset revaluations)</v>
      </c>
      <c r="F306" s="122">
        <v>0</v>
      </c>
      <c r="G306" s="122">
        <v>0</v>
      </c>
      <c r="H306" s="122">
        <v>0</v>
      </c>
      <c r="I306" s="122">
        <v>0</v>
      </c>
      <c r="J306" s="122">
        <v>0</v>
      </c>
      <c r="K306" s="122">
        <v>0</v>
      </c>
      <c r="L306" s="122">
        <v>0</v>
      </c>
      <c r="M306" s="122">
        <v>0</v>
      </c>
      <c r="N306" s="122">
        <v>0</v>
      </c>
      <c r="O306" s="122">
        <v>0</v>
      </c>
      <c r="P306" s="122">
        <v>0</v>
      </c>
      <c r="Q306" s="122">
        <v>0</v>
      </c>
      <c r="R306" s="122">
        <v>0</v>
      </c>
      <c r="S306" s="122">
        <v>0</v>
      </c>
      <c r="T306" s="122">
        <v>0</v>
      </c>
      <c r="U306" s="122">
        <v>0</v>
      </c>
      <c r="V306" s="122">
        <v>0</v>
      </c>
      <c r="W306" s="122">
        <v>0</v>
      </c>
      <c r="X306" s="122">
        <v>0</v>
      </c>
      <c r="Y306" s="122">
        <v>0</v>
      </c>
      <c r="Z306" s="122">
        <v>0</v>
      </c>
      <c r="AA306" s="122">
        <v>0</v>
      </c>
      <c r="AB306" s="122">
        <v>0</v>
      </c>
      <c r="AC306" s="122">
        <v>0</v>
      </c>
      <c r="AD306" s="122">
        <v>0</v>
      </c>
      <c r="AE306" s="122">
        <v>0</v>
      </c>
      <c r="AF306" s="122">
        <v>0</v>
      </c>
      <c r="AG306" s="122">
        <v>0</v>
      </c>
      <c r="AH306" s="122">
        <v>0</v>
      </c>
      <c r="AI306" s="117">
        <f t="shared" si="8"/>
        <v>0</v>
      </c>
      <c r="AJ306" s="117">
        <f>SUM(F306:U306)</f>
        <v>0</v>
      </c>
      <c r="AK306" s="117">
        <f t="shared" si="9"/>
        <v>0</v>
      </c>
      <c r="AL306" s="23"/>
      <c r="AM306" s="127" t="b">
        <f>IF(INDEX($AO306:$BM306,0,$F$14)=1,TRUE,FALSE)</f>
        <v>1</v>
      </c>
      <c r="AN306" s="127" t="str">
        <f>IF(AM306,A306&amp;", "&amp;B306,"")</f>
        <v>Quality incentive adjustment, 2010/11</v>
      </c>
      <c r="AO306" s="129"/>
      <c r="AP306" s="129"/>
      <c r="AQ306" s="129">
        <v>1</v>
      </c>
      <c r="AR306" s="129">
        <v>1</v>
      </c>
      <c r="AS306" s="129">
        <v>1</v>
      </c>
      <c r="AT306" s="129">
        <v>1</v>
      </c>
      <c r="AU306" s="129">
        <v>1</v>
      </c>
      <c r="AV306" s="129">
        <v>1</v>
      </c>
      <c r="AW306" s="129">
        <v>1</v>
      </c>
      <c r="AX306" s="197">
        <v>1</v>
      </c>
      <c r="AY306" s="197">
        <v>1</v>
      </c>
      <c r="AZ306" s="197">
        <v>1</v>
      </c>
      <c r="BA306" s="197">
        <v>1</v>
      </c>
      <c r="BB306" s="129">
        <v>1</v>
      </c>
      <c r="BC306" s="129">
        <v>1</v>
      </c>
      <c r="BD306" s="129">
        <v>1</v>
      </c>
      <c r="BE306" s="129">
        <v>1</v>
      </c>
      <c r="BF306" s="129">
        <v>1</v>
      </c>
      <c r="BG306" s="129">
        <v>1</v>
      </c>
      <c r="BH306" s="129">
        <v>1</v>
      </c>
      <c r="BI306" s="129">
        <v>1</v>
      </c>
      <c r="BJ306" s="129">
        <v>1</v>
      </c>
      <c r="BK306" s="129">
        <v>1</v>
      </c>
      <c r="BL306" s="129">
        <v>1</v>
      </c>
      <c r="BM306" s="197">
        <v>1</v>
      </c>
    </row>
    <row r="307" spans="1:65" x14ac:dyDescent="0.25">
      <c r="A307" s="121" t="s">
        <v>132</v>
      </c>
      <c r="B307" s="121" t="s">
        <v>24</v>
      </c>
      <c r="C307" s="172" t="s">
        <v>222</v>
      </c>
      <c r="D307" s="161">
        <v>10</v>
      </c>
      <c r="E307" s="29" t="str">
        <f>INDEX(ra_ScName,MATCH(D307,ra_ScNumber,0))</f>
        <v>Disclosed nominal return (incl actual asset revaluations)</v>
      </c>
      <c r="F307" s="122">
        <v>0</v>
      </c>
      <c r="G307" s="122">
        <v>0</v>
      </c>
      <c r="H307" s="122">
        <v>0</v>
      </c>
      <c r="I307" s="122">
        <v>0</v>
      </c>
      <c r="J307" s="122">
        <v>0</v>
      </c>
      <c r="K307" s="122">
        <v>0</v>
      </c>
      <c r="L307" s="122">
        <v>0</v>
      </c>
      <c r="M307" s="122">
        <v>0</v>
      </c>
      <c r="N307" s="122">
        <v>0</v>
      </c>
      <c r="O307" s="122">
        <v>0</v>
      </c>
      <c r="P307" s="122">
        <v>0</v>
      </c>
      <c r="Q307" s="122">
        <v>0</v>
      </c>
      <c r="R307" s="122">
        <v>0</v>
      </c>
      <c r="S307" s="122">
        <v>0</v>
      </c>
      <c r="T307" s="122">
        <v>0</v>
      </c>
      <c r="U307" s="122">
        <v>0</v>
      </c>
      <c r="V307" s="122">
        <v>0</v>
      </c>
      <c r="W307" s="122">
        <v>0</v>
      </c>
      <c r="X307" s="122">
        <v>0</v>
      </c>
      <c r="Y307" s="122">
        <v>0</v>
      </c>
      <c r="Z307" s="122">
        <v>0</v>
      </c>
      <c r="AA307" s="122">
        <v>0</v>
      </c>
      <c r="AB307" s="122">
        <v>0</v>
      </c>
      <c r="AC307" s="122">
        <v>0</v>
      </c>
      <c r="AD307" s="122">
        <v>0</v>
      </c>
      <c r="AE307" s="122">
        <v>0</v>
      </c>
      <c r="AF307" s="122">
        <v>0</v>
      </c>
      <c r="AG307" s="122">
        <v>0</v>
      </c>
      <c r="AH307" s="122">
        <v>0</v>
      </c>
      <c r="AI307" s="117">
        <f t="shared" si="8"/>
        <v>0</v>
      </c>
      <c r="AJ307" s="117">
        <f>SUM(F307:U307)</f>
        <v>0</v>
      </c>
      <c r="AK307" s="117">
        <f t="shared" si="9"/>
        <v>0</v>
      </c>
      <c r="AL307" s="23"/>
      <c r="AM307" s="127" t="b">
        <f>IF(INDEX($AO307:$BM307,0,$F$14)=1,TRUE,FALSE)</f>
        <v>1</v>
      </c>
      <c r="AN307" s="127" t="str">
        <f>IF(AM307,A307&amp;", "&amp;B307,"")</f>
        <v>Quality incentive adjustment, 2011/12</v>
      </c>
      <c r="AO307" s="129"/>
      <c r="AP307" s="129"/>
      <c r="AQ307" s="129">
        <v>1</v>
      </c>
      <c r="AR307" s="129">
        <v>1</v>
      </c>
      <c r="AS307" s="129">
        <v>1</v>
      </c>
      <c r="AT307" s="129">
        <v>1</v>
      </c>
      <c r="AU307" s="129">
        <v>1</v>
      </c>
      <c r="AV307" s="129">
        <v>1</v>
      </c>
      <c r="AW307" s="129">
        <v>1</v>
      </c>
      <c r="AX307" s="197">
        <v>1</v>
      </c>
      <c r="AY307" s="197">
        <v>1</v>
      </c>
      <c r="AZ307" s="197">
        <v>1</v>
      </c>
      <c r="BA307" s="197">
        <v>1</v>
      </c>
      <c r="BB307" s="129">
        <v>1</v>
      </c>
      <c r="BC307" s="129">
        <v>1</v>
      </c>
      <c r="BD307" s="129">
        <v>1</v>
      </c>
      <c r="BE307" s="129">
        <v>1</v>
      </c>
      <c r="BF307" s="129">
        <v>1</v>
      </c>
      <c r="BG307" s="129">
        <v>1</v>
      </c>
      <c r="BH307" s="129">
        <v>1</v>
      </c>
      <c r="BI307" s="129">
        <v>1</v>
      </c>
      <c r="BJ307" s="129">
        <v>1</v>
      </c>
      <c r="BK307" s="129">
        <v>1</v>
      </c>
      <c r="BL307" s="129">
        <v>1</v>
      </c>
      <c r="BM307" s="197">
        <v>1</v>
      </c>
    </row>
    <row r="308" spans="1:65" x14ac:dyDescent="0.25">
      <c r="A308" s="121" t="s">
        <v>132</v>
      </c>
      <c r="B308" s="121" t="s">
        <v>25</v>
      </c>
      <c r="C308" s="172" t="s">
        <v>222</v>
      </c>
      <c r="D308" s="161">
        <v>10</v>
      </c>
      <c r="E308" s="29" t="str">
        <f>INDEX(ra_ScName,MATCH(D308,ra_ScNumber,0))</f>
        <v>Disclosed nominal return (incl actual asset revaluations)</v>
      </c>
      <c r="F308" s="122">
        <v>0</v>
      </c>
      <c r="G308" s="122">
        <v>0</v>
      </c>
      <c r="H308" s="122">
        <v>0</v>
      </c>
      <c r="I308" s="122">
        <v>0</v>
      </c>
      <c r="J308" s="122">
        <v>0</v>
      </c>
      <c r="K308" s="122">
        <v>0</v>
      </c>
      <c r="L308" s="122">
        <v>0</v>
      </c>
      <c r="M308" s="122">
        <v>0</v>
      </c>
      <c r="N308" s="122">
        <v>0</v>
      </c>
      <c r="O308" s="122">
        <v>0</v>
      </c>
      <c r="P308" s="122">
        <v>0</v>
      </c>
      <c r="Q308" s="122">
        <v>0</v>
      </c>
      <c r="R308" s="122">
        <v>0</v>
      </c>
      <c r="S308" s="122">
        <v>0</v>
      </c>
      <c r="T308" s="122">
        <v>0</v>
      </c>
      <c r="U308" s="122">
        <v>0</v>
      </c>
      <c r="V308" s="122">
        <v>0</v>
      </c>
      <c r="W308" s="122">
        <v>0</v>
      </c>
      <c r="X308" s="122">
        <v>0</v>
      </c>
      <c r="Y308" s="122">
        <v>0</v>
      </c>
      <c r="Z308" s="122">
        <v>0</v>
      </c>
      <c r="AA308" s="122">
        <v>0</v>
      </c>
      <c r="AB308" s="122">
        <v>0</v>
      </c>
      <c r="AC308" s="122">
        <v>0</v>
      </c>
      <c r="AD308" s="122">
        <v>0</v>
      </c>
      <c r="AE308" s="122">
        <v>0</v>
      </c>
      <c r="AF308" s="122">
        <v>0</v>
      </c>
      <c r="AG308" s="122">
        <v>0</v>
      </c>
      <c r="AH308" s="122">
        <v>0</v>
      </c>
      <c r="AI308" s="117">
        <f t="shared" si="8"/>
        <v>0</v>
      </c>
      <c r="AJ308" s="117">
        <f>SUM(F308:U308)</f>
        <v>0</v>
      </c>
      <c r="AK308" s="117">
        <f t="shared" si="9"/>
        <v>0</v>
      </c>
      <c r="AL308" s="23"/>
      <c r="AM308" s="127" t="b">
        <f>IF(INDEX($AO308:$BM308,0,$F$14)=1,TRUE,FALSE)</f>
        <v>1</v>
      </c>
      <c r="AN308" s="127" t="str">
        <f>IF(AM308,A308&amp;", "&amp;B308,"")</f>
        <v>Quality incentive adjustment, 2012/13</v>
      </c>
      <c r="AO308" s="129"/>
      <c r="AP308" s="129"/>
      <c r="AQ308" s="129">
        <v>1</v>
      </c>
      <c r="AR308" s="129">
        <v>1</v>
      </c>
      <c r="AS308" s="129">
        <v>1</v>
      </c>
      <c r="AT308" s="129">
        <v>1</v>
      </c>
      <c r="AU308" s="129">
        <v>1</v>
      </c>
      <c r="AV308" s="129">
        <v>1</v>
      </c>
      <c r="AW308" s="129">
        <v>1</v>
      </c>
      <c r="AX308" s="197">
        <v>1</v>
      </c>
      <c r="AY308" s="197">
        <v>1</v>
      </c>
      <c r="AZ308" s="197">
        <v>1</v>
      </c>
      <c r="BA308" s="197">
        <v>1</v>
      </c>
      <c r="BB308" s="129">
        <v>1</v>
      </c>
      <c r="BC308" s="129">
        <v>1</v>
      </c>
      <c r="BD308" s="129">
        <v>1</v>
      </c>
      <c r="BE308" s="129">
        <v>1</v>
      </c>
      <c r="BF308" s="129">
        <v>1</v>
      </c>
      <c r="BG308" s="129">
        <v>1</v>
      </c>
      <c r="BH308" s="129">
        <v>1</v>
      </c>
      <c r="BI308" s="129">
        <v>1</v>
      </c>
      <c r="BJ308" s="129">
        <v>1</v>
      </c>
      <c r="BK308" s="129">
        <v>1</v>
      </c>
      <c r="BL308" s="129">
        <v>1</v>
      </c>
      <c r="BM308" s="197">
        <v>1</v>
      </c>
    </row>
    <row r="309" spans="1:65" x14ac:dyDescent="0.25">
      <c r="A309" s="121" t="s">
        <v>132</v>
      </c>
      <c r="B309" s="121" t="s">
        <v>26</v>
      </c>
      <c r="C309" s="172" t="s">
        <v>222</v>
      </c>
      <c r="D309" s="161">
        <v>10</v>
      </c>
      <c r="E309" s="29" t="str">
        <f>INDEX(ra_ScName,MATCH(D309,ra_ScNumber,0))</f>
        <v>Disclosed nominal return (incl actual asset revaluations)</v>
      </c>
      <c r="F309" s="122">
        <v>0</v>
      </c>
      <c r="G309" s="122">
        <v>0</v>
      </c>
      <c r="H309" s="122">
        <v>0</v>
      </c>
      <c r="I309" s="122">
        <v>0</v>
      </c>
      <c r="J309" s="122">
        <v>0</v>
      </c>
      <c r="K309" s="122">
        <v>0</v>
      </c>
      <c r="L309" s="122">
        <v>0</v>
      </c>
      <c r="M309" s="122">
        <v>0</v>
      </c>
      <c r="N309" s="122">
        <v>0</v>
      </c>
      <c r="O309" s="122">
        <v>0</v>
      </c>
      <c r="P309" s="122">
        <v>0</v>
      </c>
      <c r="Q309" s="122">
        <v>0</v>
      </c>
      <c r="R309" s="122">
        <v>0</v>
      </c>
      <c r="S309" s="122">
        <v>0</v>
      </c>
      <c r="T309" s="122">
        <v>0</v>
      </c>
      <c r="U309" s="122">
        <v>0</v>
      </c>
      <c r="V309" s="122">
        <v>0</v>
      </c>
      <c r="W309" s="122">
        <v>0</v>
      </c>
      <c r="X309" s="122">
        <v>0</v>
      </c>
      <c r="Y309" s="122">
        <v>0</v>
      </c>
      <c r="Z309" s="122">
        <v>0</v>
      </c>
      <c r="AA309" s="122">
        <v>0</v>
      </c>
      <c r="AB309" s="122">
        <v>0</v>
      </c>
      <c r="AC309" s="122">
        <v>0</v>
      </c>
      <c r="AD309" s="122">
        <v>0</v>
      </c>
      <c r="AE309" s="122">
        <v>0</v>
      </c>
      <c r="AF309" s="122">
        <v>0</v>
      </c>
      <c r="AG309" s="122">
        <v>0</v>
      </c>
      <c r="AH309" s="122">
        <v>0</v>
      </c>
      <c r="AI309" s="117">
        <f t="shared" si="8"/>
        <v>0</v>
      </c>
      <c r="AJ309" s="117">
        <f>SUM(F309:U309)</f>
        <v>0</v>
      </c>
      <c r="AK309" s="117">
        <f t="shared" si="9"/>
        <v>0</v>
      </c>
      <c r="AL309" s="23"/>
      <c r="AM309" s="127" t="b">
        <f>IF(INDEX($AO309:$BM309,0,$F$14)=1,TRUE,FALSE)</f>
        <v>1</v>
      </c>
      <c r="AN309" s="127" t="str">
        <f>IF(AM309,A309&amp;", "&amp;B309,"")</f>
        <v>Quality incentive adjustment, 2013/14</v>
      </c>
      <c r="AO309" s="129"/>
      <c r="AP309" s="129"/>
      <c r="AQ309" s="129">
        <v>1</v>
      </c>
      <c r="AR309" s="129">
        <v>1</v>
      </c>
      <c r="AS309" s="129">
        <v>1</v>
      </c>
      <c r="AT309" s="129">
        <v>1</v>
      </c>
      <c r="AU309" s="129">
        <v>1</v>
      </c>
      <c r="AV309" s="129">
        <v>1</v>
      </c>
      <c r="AW309" s="129">
        <v>1</v>
      </c>
      <c r="AX309" s="197">
        <v>1</v>
      </c>
      <c r="AY309" s="197">
        <v>1</v>
      </c>
      <c r="AZ309" s="197">
        <v>1</v>
      </c>
      <c r="BA309" s="197">
        <v>1</v>
      </c>
      <c r="BB309" s="129">
        <v>1</v>
      </c>
      <c r="BC309" s="129">
        <v>1</v>
      </c>
      <c r="BD309" s="129">
        <v>1</v>
      </c>
      <c r="BE309" s="129">
        <v>1</v>
      </c>
      <c r="BF309" s="129">
        <v>1</v>
      </c>
      <c r="BG309" s="129">
        <v>1</v>
      </c>
      <c r="BH309" s="129">
        <v>1</v>
      </c>
      <c r="BI309" s="129">
        <v>1</v>
      </c>
      <c r="BJ309" s="129">
        <v>1</v>
      </c>
      <c r="BK309" s="129">
        <v>1</v>
      </c>
      <c r="BL309" s="129">
        <v>1</v>
      </c>
      <c r="BM309" s="197">
        <v>1</v>
      </c>
    </row>
    <row r="310" spans="1:65" x14ac:dyDescent="0.25">
      <c r="A310" s="121" t="s">
        <v>132</v>
      </c>
      <c r="B310" s="121" t="s">
        <v>27</v>
      </c>
      <c r="C310" s="172" t="s">
        <v>222</v>
      </c>
      <c r="D310" s="161">
        <v>10</v>
      </c>
      <c r="E310" s="29" t="str">
        <f>INDEX(ra_ScName,MATCH(D310,ra_ScNumber,0))</f>
        <v>Disclosed nominal return (incl actual asset revaluations)</v>
      </c>
      <c r="F310" s="122">
        <v>0</v>
      </c>
      <c r="G310" s="122">
        <v>0</v>
      </c>
      <c r="H310" s="122">
        <v>0</v>
      </c>
      <c r="I310" s="122">
        <v>0</v>
      </c>
      <c r="J310" s="122">
        <v>0</v>
      </c>
      <c r="K310" s="122">
        <v>0</v>
      </c>
      <c r="L310" s="122">
        <v>0</v>
      </c>
      <c r="M310" s="122">
        <v>0</v>
      </c>
      <c r="N310" s="122">
        <v>0</v>
      </c>
      <c r="O310" s="122">
        <v>0</v>
      </c>
      <c r="P310" s="122">
        <v>0</v>
      </c>
      <c r="Q310" s="122">
        <v>0</v>
      </c>
      <c r="R310" s="122">
        <v>0</v>
      </c>
      <c r="S310" s="122">
        <v>0</v>
      </c>
      <c r="T310" s="122">
        <v>0</v>
      </c>
      <c r="U310" s="122">
        <v>0</v>
      </c>
      <c r="V310" s="122">
        <v>0</v>
      </c>
      <c r="W310" s="122">
        <v>0</v>
      </c>
      <c r="X310" s="122">
        <v>0</v>
      </c>
      <c r="Y310" s="122">
        <v>0</v>
      </c>
      <c r="Z310" s="122">
        <v>0</v>
      </c>
      <c r="AA310" s="122">
        <v>0</v>
      </c>
      <c r="AB310" s="122">
        <v>0</v>
      </c>
      <c r="AC310" s="122">
        <v>0</v>
      </c>
      <c r="AD310" s="122">
        <v>0</v>
      </c>
      <c r="AE310" s="122">
        <v>0</v>
      </c>
      <c r="AF310" s="122">
        <v>0</v>
      </c>
      <c r="AG310" s="122">
        <v>0</v>
      </c>
      <c r="AH310" s="122">
        <v>0</v>
      </c>
      <c r="AI310" s="117">
        <f t="shared" si="8"/>
        <v>0</v>
      </c>
      <c r="AJ310" s="117">
        <f>SUM(F310:U310)</f>
        <v>0</v>
      </c>
      <c r="AK310" s="117">
        <f t="shared" si="9"/>
        <v>0</v>
      </c>
      <c r="AL310" s="23"/>
      <c r="AM310" s="127" t="b">
        <f>IF(INDEX($AO310:$BM310,0,$F$14)=1,TRUE,FALSE)</f>
        <v>1</v>
      </c>
      <c r="AN310" s="127" t="str">
        <f>IF(AM310,A310&amp;", "&amp;B310,"")</f>
        <v>Quality incentive adjustment, 2014/15</v>
      </c>
      <c r="AO310" s="129"/>
      <c r="AP310" s="129"/>
      <c r="AQ310" s="129">
        <v>1</v>
      </c>
      <c r="AR310" s="129">
        <v>1</v>
      </c>
      <c r="AS310" s="129">
        <v>1</v>
      </c>
      <c r="AT310" s="129">
        <v>1</v>
      </c>
      <c r="AU310" s="129">
        <v>1</v>
      </c>
      <c r="AV310" s="129">
        <v>1</v>
      </c>
      <c r="AW310" s="129">
        <v>1</v>
      </c>
      <c r="AX310" s="197">
        <v>1</v>
      </c>
      <c r="AY310" s="197">
        <v>1</v>
      </c>
      <c r="AZ310" s="197">
        <v>1</v>
      </c>
      <c r="BA310" s="197">
        <v>1</v>
      </c>
      <c r="BB310" s="129">
        <v>1</v>
      </c>
      <c r="BC310" s="129">
        <v>1</v>
      </c>
      <c r="BD310" s="129">
        <v>1</v>
      </c>
      <c r="BE310" s="129">
        <v>1</v>
      </c>
      <c r="BF310" s="129">
        <v>1</v>
      </c>
      <c r="BG310" s="129">
        <v>1</v>
      </c>
      <c r="BH310" s="129">
        <v>1</v>
      </c>
      <c r="BI310" s="129">
        <v>1</v>
      </c>
      <c r="BJ310" s="129">
        <v>1</v>
      </c>
      <c r="BK310" s="129">
        <v>1</v>
      </c>
      <c r="BL310" s="129">
        <v>1</v>
      </c>
      <c r="BM310" s="197">
        <v>1</v>
      </c>
    </row>
    <row r="311" spans="1:65" x14ac:dyDescent="0.25">
      <c r="A311" s="121"/>
      <c r="B311" s="121"/>
      <c r="C311" s="172"/>
      <c r="D311" s="49"/>
      <c r="E311" s="49"/>
      <c r="F311" s="54"/>
      <c r="G311" s="54"/>
      <c r="H311" s="54"/>
      <c r="I311" s="54"/>
      <c r="J311" s="54"/>
      <c r="K311" s="54"/>
      <c r="L311" s="54"/>
      <c r="M311" s="54"/>
      <c r="N311" s="54"/>
      <c r="O311" s="54"/>
      <c r="P311" s="54"/>
      <c r="Q311" s="54"/>
      <c r="R311" s="54"/>
      <c r="S311" s="54"/>
      <c r="T311" s="54"/>
      <c r="U311" s="54"/>
      <c r="V311" s="54"/>
      <c r="W311" s="55"/>
      <c r="X311" s="55"/>
      <c r="Y311" s="55"/>
      <c r="Z311" s="55"/>
      <c r="AA311" s="55"/>
      <c r="AB311" s="55"/>
      <c r="AC311" s="55"/>
      <c r="AD311" s="55"/>
      <c r="AE311" s="55"/>
      <c r="AF311" s="55"/>
      <c r="AG311" s="55"/>
      <c r="AH311" s="55"/>
      <c r="AI311" s="54"/>
      <c r="AJ311" s="54"/>
      <c r="AK311" s="54"/>
      <c r="AL311" s="23"/>
      <c r="AM311" s="127"/>
      <c r="AN311" s="127"/>
      <c r="AO311" s="129"/>
      <c r="AP311" s="129"/>
      <c r="AQ311" s="129"/>
      <c r="AR311" s="129"/>
      <c r="AS311" s="129"/>
      <c r="AT311" s="129"/>
      <c r="AU311" s="129"/>
      <c r="AV311" s="129"/>
      <c r="AW311" s="129"/>
      <c r="AX311" s="197"/>
      <c r="AY311" s="197"/>
      <c r="AZ311" s="197"/>
      <c r="BA311" s="197"/>
      <c r="BB311" s="129"/>
      <c r="BC311" s="129"/>
      <c r="BD311" s="129"/>
      <c r="BE311" s="129"/>
      <c r="BF311" s="129"/>
      <c r="BG311" s="129"/>
      <c r="BH311" s="129"/>
      <c r="BI311" s="129"/>
      <c r="BJ311" s="129"/>
      <c r="BK311" s="129"/>
      <c r="BL311" s="129"/>
      <c r="BM311" s="197"/>
    </row>
    <row r="312" spans="1:65" x14ac:dyDescent="0.25">
      <c r="A312" s="121"/>
      <c r="B312" s="121"/>
      <c r="C312" s="172"/>
      <c r="D312" s="46"/>
      <c r="E312" s="46"/>
      <c r="F312" s="54"/>
      <c r="G312" s="54"/>
      <c r="H312" s="54"/>
      <c r="I312" s="54"/>
      <c r="J312" s="54"/>
      <c r="K312" s="54"/>
      <c r="L312" s="54"/>
      <c r="M312" s="54"/>
      <c r="N312" s="54"/>
      <c r="O312" s="54"/>
      <c r="P312" s="54"/>
      <c r="Q312" s="54"/>
      <c r="R312" s="54"/>
      <c r="S312" s="54"/>
      <c r="T312" s="54"/>
      <c r="U312" s="54"/>
      <c r="V312" s="54"/>
      <c r="W312" s="55"/>
      <c r="X312" s="55"/>
      <c r="Y312" s="55"/>
      <c r="Z312" s="55"/>
      <c r="AA312" s="55"/>
      <c r="AB312" s="55"/>
      <c r="AC312" s="55"/>
      <c r="AD312" s="55"/>
      <c r="AE312" s="55"/>
      <c r="AF312" s="55"/>
      <c r="AG312" s="55"/>
      <c r="AH312" s="55"/>
      <c r="AI312" s="54"/>
      <c r="AJ312" s="54"/>
      <c r="AK312" s="54"/>
      <c r="AL312" s="23"/>
      <c r="AM312" s="127"/>
      <c r="AN312" s="127"/>
      <c r="AO312" s="129"/>
      <c r="AP312" s="129"/>
      <c r="AQ312" s="129"/>
      <c r="AR312" s="129"/>
      <c r="AS312" s="129"/>
      <c r="AT312" s="129"/>
      <c r="AU312" s="129"/>
      <c r="AV312" s="129"/>
      <c r="AW312" s="129"/>
      <c r="AX312" s="197"/>
      <c r="AY312" s="197"/>
      <c r="AZ312" s="197"/>
      <c r="BA312" s="197"/>
      <c r="BB312" s="129"/>
      <c r="BC312" s="129"/>
      <c r="BD312" s="129"/>
      <c r="BE312" s="129"/>
      <c r="BF312" s="129"/>
      <c r="BG312" s="129"/>
      <c r="BH312" s="129"/>
      <c r="BI312" s="129"/>
      <c r="BJ312" s="129"/>
      <c r="BK312" s="129"/>
      <c r="BL312" s="129"/>
      <c r="BM312" s="197"/>
    </row>
    <row r="313" spans="1:65" x14ac:dyDescent="0.25">
      <c r="A313" s="121" t="s">
        <v>133</v>
      </c>
      <c r="B313" s="121" t="s">
        <v>23</v>
      </c>
      <c r="C313" s="172" t="s">
        <v>222</v>
      </c>
      <c r="D313" s="161">
        <v>1</v>
      </c>
      <c r="E313" s="29" t="str">
        <f>INDEX(ra_ScName,MATCH(D313,ra_ScNumber,0))</f>
        <v>Expected nominal return (incl forecast asset revaluations)</v>
      </c>
      <c r="F313" s="54"/>
      <c r="G313" s="54"/>
      <c r="H313" s="54"/>
      <c r="I313" s="54"/>
      <c r="J313" s="54"/>
      <c r="K313" s="54"/>
      <c r="L313" s="54"/>
      <c r="M313" s="54"/>
      <c r="N313" s="54"/>
      <c r="O313" s="54"/>
      <c r="P313" s="54"/>
      <c r="Q313" s="54"/>
      <c r="R313" s="54"/>
      <c r="S313" s="54"/>
      <c r="T313" s="54"/>
      <c r="U313" s="54"/>
      <c r="V313" s="54"/>
      <c r="W313" s="54"/>
      <c r="X313" s="54"/>
      <c r="Y313" s="54"/>
      <c r="Z313" s="54"/>
      <c r="AA313" s="54"/>
      <c r="AB313" s="54"/>
      <c r="AC313" s="54"/>
      <c r="AD313" s="54"/>
      <c r="AE313" s="54"/>
      <c r="AF313" s="54"/>
      <c r="AG313" s="54"/>
      <c r="AH313" s="54"/>
      <c r="AI313" s="117">
        <f t="shared" si="8"/>
        <v>0</v>
      </c>
      <c r="AJ313" s="117">
        <f>SUM(F313:U313)</f>
        <v>0</v>
      </c>
      <c r="AK313" s="117">
        <f t="shared" si="9"/>
        <v>0</v>
      </c>
      <c r="AL313" s="23"/>
      <c r="AM313" s="127" t="b">
        <f>IF(INDEX($AO313:$BM313,0,$F$14)=1,TRUE,FALSE)</f>
        <v>0</v>
      </c>
      <c r="AN313" s="127" t="str">
        <f>IF(AM313,A313&amp;", "&amp;B313,"")</f>
        <v/>
      </c>
      <c r="AO313" s="129">
        <v>1</v>
      </c>
      <c r="AP313" s="129">
        <v>1</v>
      </c>
      <c r="AQ313" s="129"/>
      <c r="AR313" s="129"/>
      <c r="AS313" s="129"/>
      <c r="AT313" s="129"/>
      <c r="AU313" s="129"/>
      <c r="AV313" s="129"/>
      <c r="AW313" s="129"/>
      <c r="AX313" s="197"/>
      <c r="AY313" s="197"/>
      <c r="AZ313" s="197"/>
      <c r="BA313" s="197"/>
      <c r="BB313" s="129"/>
      <c r="BC313" s="129"/>
      <c r="BD313" s="129"/>
      <c r="BE313" s="129"/>
      <c r="BF313" s="129"/>
      <c r="BG313" s="129"/>
      <c r="BH313" s="129"/>
      <c r="BI313" s="129"/>
      <c r="BJ313" s="129"/>
      <c r="BK313" s="129"/>
      <c r="BL313" s="129"/>
      <c r="BM313" s="197"/>
    </row>
    <row r="314" spans="1:65" x14ac:dyDescent="0.25">
      <c r="A314" s="121" t="s">
        <v>133</v>
      </c>
      <c r="B314" s="121" t="s">
        <v>24</v>
      </c>
      <c r="C314" s="172" t="s">
        <v>222</v>
      </c>
      <c r="D314" s="161">
        <v>1</v>
      </c>
      <c r="E314" s="29" t="str">
        <f>INDEX(ra_ScName,MATCH(D314,ra_ScNumber,0))</f>
        <v>Expected nominal return (incl forecast asset revaluations)</v>
      </c>
      <c r="F314" s="54"/>
      <c r="G314" s="54"/>
      <c r="H314" s="54"/>
      <c r="I314" s="54"/>
      <c r="J314" s="54"/>
      <c r="K314" s="54"/>
      <c r="L314" s="54"/>
      <c r="M314" s="54"/>
      <c r="N314" s="54"/>
      <c r="O314" s="54"/>
      <c r="P314" s="54"/>
      <c r="Q314" s="54"/>
      <c r="R314" s="54"/>
      <c r="S314" s="54"/>
      <c r="T314" s="54"/>
      <c r="U314" s="54"/>
      <c r="V314" s="54"/>
      <c r="W314" s="54"/>
      <c r="X314" s="54"/>
      <c r="Y314" s="54"/>
      <c r="Z314" s="54"/>
      <c r="AA314" s="54"/>
      <c r="AB314" s="54"/>
      <c r="AC314" s="54"/>
      <c r="AD314" s="54"/>
      <c r="AE314" s="54"/>
      <c r="AF314" s="54"/>
      <c r="AG314" s="54"/>
      <c r="AH314" s="54"/>
      <c r="AI314" s="117">
        <f t="shared" si="8"/>
        <v>0</v>
      </c>
      <c r="AJ314" s="117">
        <f>SUM(F314:U314)</f>
        <v>0</v>
      </c>
      <c r="AK314" s="117">
        <f t="shared" si="9"/>
        <v>0</v>
      </c>
      <c r="AL314" s="23"/>
      <c r="AM314" s="127" t="b">
        <f>IF(INDEX($AO314:$BM314,0,$F$14)=1,TRUE,FALSE)</f>
        <v>0</v>
      </c>
      <c r="AN314" s="127" t="str">
        <f>IF(AM314,A314&amp;", "&amp;B314,"")</f>
        <v/>
      </c>
      <c r="AO314" s="129">
        <v>1</v>
      </c>
      <c r="AP314" s="129">
        <v>1</v>
      </c>
      <c r="AQ314" s="129"/>
      <c r="AR314" s="129"/>
      <c r="AS314" s="129"/>
      <c r="AT314" s="129"/>
      <c r="AU314" s="129"/>
      <c r="AV314" s="129"/>
      <c r="AW314" s="129"/>
      <c r="AX314" s="197"/>
      <c r="AY314" s="197"/>
      <c r="AZ314" s="197"/>
      <c r="BA314" s="197"/>
      <c r="BB314" s="129"/>
      <c r="BC314" s="129"/>
      <c r="BD314" s="129"/>
      <c r="BE314" s="129"/>
      <c r="BF314" s="129"/>
      <c r="BG314" s="129"/>
      <c r="BH314" s="129"/>
      <c r="BI314" s="129"/>
      <c r="BJ314" s="129"/>
      <c r="BK314" s="129"/>
      <c r="BL314" s="129"/>
      <c r="BM314" s="197"/>
    </row>
    <row r="315" spans="1:65" x14ac:dyDescent="0.25">
      <c r="A315" s="121" t="s">
        <v>133</v>
      </c>
      <c r="B315" s="121" t="s">
        <v>25</v>
      </c>
      <c r="C315" s="172" t="s">
        <v>222</v>
      </c>
      <c r="D315" s="161">
        <v>1</v>
      </c>
      <c r="E315" s="29" t="str">
        <f>INDEX(ra_ScName,MATCH(D315,ra_ScNumber,0))</f>
        <v>Expected nominal return (incl forecast asset revaluations)</v>
      </c>
      <c r="F315" s="54"/>
      <c r="G315" s="54"/>
      <c r="H315" s="54"/>
      <c r="I315" s="54"/>
      <c r="J315" s="54"/>
      <c r="K315" s="54"/>
      <c r="L315" s="54"/>
      <c r="M315" s="54"/>
      <c r="N315" s="54"/>
      <c r="O315" s="54"/>
      <c r="P315" s="54"/>
      <c r="Q315" s="54"/>
      <c r="R315" s="54"/>
      <c r="S315" s="54"/>
      <c r="T315" s="54"/>
      <c r="U315" s="54"/>
      <c r="V315" s="54"/>
      <c r="W315" s="54"/>
      <c r="X315" s="54"/>
      <c r="Y315" s="54"/>
      <c r="Z315" s="54"/>
      <c r="AA315" s="54"/>
      <c r="AB315" s="54"/>
      <c r="AC315" s="54"/>
      <c r="AD315" s="54"/>
      <c r="AE315" s="54"/>
      <c r="AF315" s="54"/>
      <c r="AG315" s="54"/>
      <c r="AH315" s="54"/>
      <c r="AI315" s="117">
        <f t="shared" si="8"/>
        <v>0</v>
      </c>
      <c r="AJ315" s="117">
        <f>SUM(F315:U315)</f>
        <v>0</v>
      </c>
      <c r="AK315" s="117">
        <f t="shared" si="9"/>
        <v>0</v>
      </c>
      <c r="AL315" s="23"/>
      <c r="AM315" s="127" t="b">
        <f>IF(INDEX($AO315:$BM315,0,$F$14)=1,TRUE,FALSE)</f>
        <v>0</v>
      </c>
      <c r="AN315" s="127" t="str">
        <f>IF(AM315,A315&amp;", "&amp;B315,"")</f>
        <v/>
      </c>
      <c r="AO315" s="129">
        <v>1</v>
      </c>
      <c r="AP315" s="129">
        <v>1</v>
      </c>
      <c r="AQ315" s="129"/>
      <c r="AR315" s="129"/>
      <c r="AS315" s="129"/>
      <c r="AT315" s="129"/>
      <c r="AU315" s="129"/>
      <c r="AV315" s="129"/>
      <c r="AW315" s="129"/>
      <c r="AX315" s="197"/>
      <c r="AY315" s="197"/>
      <c r="AZ315" s="197"/>
      <c r="BA315" s="197"/>
      <c r="BB315" s="129"/>
      <c r="BC315" s="129"/>
      <c r="BD315" s="129"/>
      <c r="BE315" s="129"/>
      <c r="BF315" s="129"/>
      <c r="BG315" s="129"/>
      <c r="BH315" s="129"/>
      <c r="BI315" s="129"/>
      <c r="BJ315" s="129"/>
      <c r="BK315" s="129"/>
      <c r="BL315" s="129"/>
      <c r="BM315" s="197"/>
    </row>
    <row r="316" spans="1:65" x14ac:dyDescent="0.25">
      <c r="A316" s="121" t="s">
        <v>133</v>
      </c>
      <c r="B316" s="121" t="s">
        <v>26</v>
      </c>
      <c r="C316" s="172" t="s">
        <v>222</v>
      </c>
      <c r="D316" s="161">
        <v>1</v>
      </c>
      <c r="E316" s="29" t="str">
        <f>INDEX(ra_ScName,MATCH(D316,ra_ScNumber,0))</f>
        <v>Expected nominal return (incl forecast asset revaluations)</v>
      </c>
      <c r="F316" s="54"/>
      <c r="G316" s="54"/>
      <c r="H316" s="54"/>
      <c r="I316" s="54"/>
      <c r="J316" s="54"/>
      <c r="K316" s="54"/>
      <c r="L316" s="54"/>
      <c r="M316" s="54"/>
      <c r="N316" s="54"/>
      <c r="O316" s="54"/>
      <c r="P316" s="54"/>
      <c r="Q316" s="54"/>
      <c r="R316" s="54"/>
      <c r="S316" s="54"/>
      <c r="T316" s="54"/>
      <c r="U316" s="54"/>
      <c r="V316" s="54"/>
      <c r="W316" s="54"/>
      <c r="X316" s="54"/>
      <c r="Y316" s="54"/>
      <c r="Z316" s="54"/>
      <c r="AA316" s="54"/>
      <c r="AB316" s="54"/>
      <c r="AC316" s="54"/>
      <c r="AD316" s="54"/>
      <c r="AE316" s="54"/>
      <c r="AF316" s="54"/>
      <c r="AG316" s="54"/>
      <c r="AH316" s="54"/>
      <c r="AI316" s="117">
        <f t="shared" si="8"/>
        <v>0</v>
      </c>
      <c r="AJ316" s="117">
        <f>SUM(F316:U316)</f>
        <v>0</v>
      </c>
      <c r="AK316" s="117">
        <f t="shared" si="9"/>
        <v>0</v>
      </c>
      <c r="AL316" s="23"/>
      <c r="AM316" s="127" t="b">
        <f>IF(INDEX($AO316:$BM316,0,$F$14)=1,TRUE,FALSE)</f>
        <v>0</v>
      </c>
      <c r="AN316" s="127" t="str">
        <f>IF(AM316,A316&amp;", "&amp;B316,"")</f>
        <v/>
      </c>
      <c r="AO316" s="129">
        <v>1</v>
      </c>
      <c r="AP316" s="129">
        <v>1</v>
      </c>
      <c r="AQ316" s="129"/>
      <c r="AR316" s="129"/>
      <c r="AS316" s="129"/>
      <c r="AT316" s="129"/>
      <c r="AU316" s="129"/>
      <c r="AV316" s="129"/>
      <c r="AW316" s="129"/>
      <c r="AX316" s="197"/>
      <c r="AY316" s="197"/>
      <c r="AZ316" s="197"/>
      <c r="BA316" s="197"/>
      <c r="BB316" s="129"/>
      <c r="BC316" s="129"/>
      <c r="BD316" s="129"/>
      <c r="BE316" s="129"/>
      <c r="BF316" s="129"/>
      <c r="BG316" s="129"/>
      <c r="BH316" s="129"/>
      <c r="BI316" s="129"/>
      <c r="BJ316" s="129"/>
      <c r="BK316" s="129"/>
      <c r="BL316" s="129"/>
      <c r="BM316" s="197"/>
    </row>
    <row r="317" spans="1:65" x14ac:dyDescent="0.25">
      <c r="A317" s="121" t="s">
        <v>133</v>
      </c>
      <c r="B317" s="121" t="s">
        <v>27</v>
      </c>
      <c r="C317" s="172" t="s">
        <v>222</v>
      </c>
      <c r="D317" s="161">
        <v>1</v>
      </c>
      <c r="E317" s="29" t="str">
        <f>INDEX(ra_ScName,MATCH(D317,ra_ScNumber,0))</f>
        <v>Expected nominal return (incl forecast asset revaluations)</v>
      </c>
      <c r="F317" s="54"/>
      <c r="G317" s="54"/>
      <c r="H317" s="54"/>
      <c r="I317" s="54"/>
      <c r="J317" s="54"/>
      <c r="K317" s="54"/>
      <c r="L317" s="54"/>
      <c r="M317" s="54"/>
      <c r="N317" s="54"/>
      <c r="O317" s="54"/>
      <c r="P317" s="54"/>
      <c r="Q317" s="54"/>
      <c r="R317" s="54"/>
      <c r="S317" s="54"/>
      <c r="T317" s="54"/>
      <c r="U317" s="54"/>
      <c r="V317" s="54"/>
      <c r="W317" s="54"/>
      <c r="X317" s="54"/>
      <c r="Y317" s="54"/>
      <c r="Z317" s="54"/>
      <c r="AA317" s="54"/>
      <c r="AB317" s="54"/>
      <c r="AC317" s="54"/>
      <c r="AD317" s="54"/>
      <c r="AE317" s="54"/>
      <c r="AF317" s="54"/>
      <c r="AG317" s="54"/>
      <c r="AH317" s="54"/>
      <c r="AI317" s="117">
        <f t="shared" si="8"/>
        <v>0</v>
      </c>
      <c r="AJ317" s="117">
        <f>SUM(F317:U317)</f>
        <v>0</v>
      </c>
      <c r="AK317" s="117">
        <f t="shared" si="9"/>
        <v>0</v>
      </c>
      <c r="AL317" s="23"/>
      <c r="AM317" s="127" t="b">
        <f>IF(INDEX($AO317:$BM317,0,$F$14)=1,TRUE,FALSE)</f>
        <v>0</v>
      </c>
      <c r="AN317" s="127" t="str">
        <f>IF(AM317,A317&amp;", "&amp;B317,"")</f>
        <v/>
      </c>
      <c r="AO317" s="129">
        <v>1</v>
      </c>
      <c r="AP317" s="129">
        <v>1</v>
      </c>
      <c r="AQ317" s="129"/>
      <c r="AR317" s="129"/>
      <c r="AS317" s="129"/>
      <c r="AT317" s="129"/>
      <c r="AU317" s="129"/>
      <c r="AV317" s="129"/>
      <c r="AW317" s="129"/>
      <c r="AX317" s="197"/>
      <c r="AY317" s="197"/>
      <c r="AZ317" s="197"/>
      <c r="BA317" s="197"/>
      <c r="BB317" s="129"/>
      <c r="BC317" s="129"/>
      <c r="BD317" s="129"/>
      <c r="BE317" s="129"/>
      <c r="BF317" s="129"/>
      <c r="BG317" s="129"/>
      <c r="BH317" s="129"/>
      <c r="BI317" s="129"/>
      <c r="BJ317" s="129"/>
      <c r="BK317" s="129"/>
      <c r="BL317" s="129"/>
      <c r="BM317" s="197"/>
    </row>
    <row r="318" spans="1:65" x14ac:dyDescent="0.25">
      <c r="A318" s="121"/>
      <c r="B318" s="121"/>
      <c r="C318" s="172"/>
      <c r="D318" s="49"/>
      <c r="E318" s="49"/>
      <c r="F318" s="54"/>
      <c r="G318" s="54"/>
      <c r="H318" s="54"/>
      <c r="I318" s="54"/>
      <c r="J318" s="54"/>
      <c r="K318" s="54"/>
      <c r="L318" s="54"/>
      <c r="M318" s="54"/>
      <c r="N318" s="54"/>
      <c r="O318" s="54"/>
      <c r="P318" s="54"/>
      <c r="Q318" s="54"/>
      <c r="R318" s="54"/>
      <c r="S318" s="54"/>
      <c r="T318" s="54"/>
      <c r="U318" s="54"/>
      <c r="V318" s="54"/>
      <c r="W318" s="55"/>
      <c r="X318" s="55"/>
      <c r="Y318" s="55"/>
      <c r="Z318" s="55"/>
      <c r="AA318" s="55"/>
      <c r="AB318" s="55"/>
      <c r="AC318" s="55"/>
      <c r="AD318" s="55"/>
      <c r="AE318" s="55"/>
      <c r="AF318" s="55"/>
      <c r="AG318" s="55"/>
      <c r="AH318" s="55"/>
      <c r="AI318" s="54"/>
      <c r="AJ318" s="54"/>
      <c r="AK318" s="54"/>
      <c r="AL318" s="23"/>
      <c r="AM318" s="127"/>
      <c r="AN318" s="127"/>
      <c r="AO318" s="129"/>
      <c r="AP318" s="129"/>
      <c r="AQ318" s="129"/>
      <c r="AR318" s="129"/>
      <c r="AS318" s="129"/>
      <c r="AT318" s="129"/>
      <c r="AU318" s="129"/>
      <c r="AV318" s="129"/>
      <c r="AW318" s="129"/>
      <c r="AX318" s="197"/>
      <c r="AY318" s="197"/>
      <c r="AZ318" s="197"/>
      <c r="BA318" s="197"/>
      <c r="BB318" s="129"/>
      <c r="BC318" s="129"/>
      <c r="BD318" s="129"/>
      <c r="BE318" s="129"/>
      <c r="BF318" s="129"/>
      <c r="BG318" s="129"/>
      <c r="BH318" s="129"/>
      <c r="BI318" s="129"/>
      <c r="BJ318" s="129"/>
      <c r="BK318" s="129"/>
      <c r="BL318" s="129"/>
      <c r="BM318" s="197"/>
    </row>
    <row r="319" spans="1:65" x14ac:dyDescent="0.25">
      <c r="A319" s="121"/>
      <c r="B319" s="121"/>
      <c r="C319" s="172"/>
      <c r="D319" s="46"/>
      <c r="E319" s="46"/>
      <c r="F319" s="54"/>
      <c r="G319" s="54"/>
      <c r="H319" s="54"/>
      <c r="I319" s="54"/>
      <c r="J319" s="54"/>
      <c r="K319" s="54"/>
      <c r="L319" s="54"/>
      <c r="M319" s="54"/>
      <c r="N319" s="54"/>
      <c r="O319" s="54"/>
      <c r="P319" s="54"/>
      <c r="Q319" s="54"/>
      <c r="R319" s="54"/>
      <c r="S319" s="54"/>
      <c r="T319" s="54"/>
      <c r="U319" s="54"/>
      <c r="V319" s="54"/>
      <c r="W319" s="55"/>
      <c r="X319" s="55"/>
      <c r="Y319" s="55"/>
      <c r="Z319" s="55"/>
      <c r="AA319" s="55"/>
      <c r="AB319" s="55"/>
      <c r="AC319" s="55"/>
      <c r="AD319" s="55"/>
      <c r="AE319" s="55"/>
      <c r="AF319" s="55"/>
      <c r="AG319" s="55"/>
      <c r="AH319" s="55"/>
      <c r="AI319" s="54"/>
      <c r="AJ319" s="54"/>
      <c r="AK319" s="54"/>
      <c r="AL319" s="23"/>
      <c r="AM319" s="127"/>
      <c r="AN319" s="127"/>
      <c r="AO319" s="129"/>
      <c r="AP319" s="129"/>
      <c r="AQ319" s="129"/>
      <c r="AR319" s="129"/>
      <c r="AS319" s="129"/>
      <c r="AT319" s="129"/>
      <c r="AU319" s="129"/>
      <c r="AV319" s="129"/>
      <c r="AW319" s="129"/>
      <c r="AX319" s="197"/>
      <c r="AY319" s="197"/>
      <c r="AZ319" s="197"/>
      <c r="BA319" s="197"/>
      <c r="BB319" s="129"/>
      <c r="BC319" s="129"/>
      <c r="BD319" s="129"/>
      <c r="BE319" s="129"/>
      <c r="BF319" s="129"/>
      <c r="BG319" s="129"/>
      <c r="BH319" s="129"/>
      <c r="BI319" s="129"/>
      <c r="BJ319" s="129"/>
      <c r="BK319" s="129"/>
      <c r="BL319" s="129"/>
      <c r="BM319" s="197"/>
    </row>
    <row r="320" spans="1:65" x14ac:dyDescent="0.25">
      <c r="A320" s="121" t="s">
        <v>133</v>
      </c>
      <c r="B320" s="121" t="s">
        <v>23</v>
      </c>
      <c r="C320" s="172" t="s">
        <v>222</v>
      </c>
      <c r="D320" s="161">
        <v>10</v>
      </c>
      <c r="E320" s="29" t="str">
        <f>INDEX(ra_ScName,MATCH(D320,ra_ScNumber,0))</f>
        <v>Disclosed nominal return (incl actual asset revaluations)</v>
      </c>
      <c r="F320" s="122">
        <v>0</v>
      </c>
      <c r="G320" s="122">
        <v>0</v>
      </c>
      <c r="H320" s="122">
        <v>0</v>
      </c>
      <c r="I320" s="122">
        <v>0</v>
      </c>
      <c r="J320" s="122">
        <v>0</v>
      </c>
      <c r="K320" s="122">
        <v>0</v>
      </c>
      <c r="L320" s="122">
        <v>0</v>
      </c>
      <c r="M320" s="122">
        <v>0</v>
      </c>
      <c r="N320" s="122">
        <v>0</v>
      </c>
      <c r="O320" s="122">
        <v>0</v>
      </c>
      <c r="P320" s="122">
        <v>0</v>
      </c>
      <c r="Q320" s="122">
        <v>0</v>
      </c>
      <c r="R320" s="122">
        <v>0</v>
      </c>
      <c r="S320" s="122">
        <v>0</v>
      </c>
      <c r="T320" s="122">
        <v>0</v>
      </c>
      <c r="U320" s="122">
        <v>0</v>
      </c>
      <c r="V320" s="122">
        <v>0</v>
      </c>
      <c r="W320" s="122">
        <v>0</v>
      </c>
      <c r="X320" s="122">
        <v>0</v>
      </c>
      <c r="Y320" s="122">
        <v>0</v>
      </c>
      <c r="Z320" s="122">
        <v>0</v>
      </c>
      <c r="AA320" s="122">
        <v>0</v>
      </c>
      <c r="AB320" s="122">
        <v>0</v>
      </c>
      <c r="AC320" s="122">
        <v>0</v>
      </c>
      <c r="AD320" s="122">
        <v>0</v>
      </c>
      <c r="AE320" s="122">
        <v>0</v>
      </c>
      <c r="AF320" s="122">
        <v>0</v>
      </c>
      <c r="AG320" s="122">
        <v>0</v>
      </c>
      <c r="AH320" s="122">
        <v>0</v>
      </c>
      <c r="AI320" s="117">
        <f t="shared" si="8"/>
        <v>0</v>
      </c>
      <c r="AJ320" s="117">
        <f>SUM(F320:U320)</f>
        <v>0</v>
      </c>
      <c r="AK320" s="117">
        <f t="shared" si="9"/>
        <v>0</v>
      </c>
      <c r="AL320" s="23"/>
      <c r="AM320" s="127" t="b">
        <f>IF(INDEX($AO320:$BM320,0,$F$14)=1,TRUE,FALSE)</f>
        <v>1</v>
      </c>
      <c r="AN320" s="127" t="str">
        <f>IF(AM320,A320&amp;", "&amp;B320,"")</f>
        <v>Other financial incentives, 2010/11</v>
      </c>
      <c r="AO320" s="129"/>
      <c r="AP320" s="129"/>
      <c r="AQ320" s="129">
        <v>1</v>
      </c>
      <c r="AR320" s="129">
        <v>1</v>
      </c>
      <c r="AS320" s="129">
        <v>1</v>
      </c>
      <c r="AT320" s="129">
        <v>1</v>
      </c>
      <c r="AU320" s="129">
        <v>1</v>
      </c>
      <c r="AV320" s="129">
        <v>1</v>
      </c>
      <c r="AW320" s="129">
        <v>1</v>
      </c>
      <c r="AX320" s="197">
        <v>1</v>
      </c>
      <c r="AY320" s="197">
        <v>1</v>
      </c>
      <c r="AZ320" s="197">
        <v>1</v>
      </c>
      <c r="BA320" s="197">
        <v>1</v>
      </c>
      <c r="BB320" s="129">
        <v>1</v>
      </c>
      <c r="BC320" s="129">
        <v>1</v>
      </c>
      <c r="BD320" s="129">
        <v>1</v>
      </c>
      <c r="BE320" s="129">
        <v>1</v>
      </c>
      <c r="BF320" s="129">
        <v>1</v>
      </c>
      <c r="BG320" s="129">
        <v>1</v>
      </c>
      <c r="BH320" s="129">
        <v>1</v>
      </c>
      <c r="BI320" s="129">
        <v>1</v>
      </c>
      <c r="BJ320" s="129">
        <v>1</v>
      </c>
      <c r="BK320" s="129">
        <v>1</v>
      </c>
      <c r="BL320" s="129">
        <v>1</v>
      </c>
      <c r="BM320" s="197">
        <v>1</v>
      </c>
    </row>
    <row r="321" spans="1:65" x14ac:dyDescent="0.25">
      <c r="A321" s="121" t="s">
        <v>133</v>
      </c>
      <c r="B321" s="121" t="s">
        <v>24</v>
      </c>
      <c r="C321" s="172" t="s">
        <v>222</v>
      </c>
      <c r="D321" s="161">
        <v>10</v>
      </c>
      <c r="E321" s="29" t="str">
        <f>INDEX(ra_ScName,MATCH(D321,ra_ScNumber,0))</f>
        <v>Disclosed nominal return (incl actual asset revaluations)</v>
      </c>
      <c r="F321" s="122">
        <v>0</v>
      </c>
      <c r="G321" s="122">
        <v>0</v>
      </c>
      <c r="H321" s="122">
        <v>0</v>
      </c>
      <c r="I321" s="122">
        <v>0</v>
      </c>
      <c r="J321" s="122">
        <v>0</v>
      </c>
      <c r="K321" s="122">
        <v>0</v>
      </c>
      <c r="L321" s="122">
        <v>0</v>
      </c>
      <c r="M321" s="122">
        <v>0</v>
      </c>
      <c r="N321" s="122">
        <v>0</v>
      </c>
      <c r="O321" s="122">
        <v>0</v>
      </c>
      <c r="P321" s="122">
        <v>0</v>
      </c>
      <c r="Q321" s="122">
        <v>0</v>
      </c>
      <c r="R321" s="122">
        <v>0</v>
      </c>
      <c r="S321" s="122">
        <v>0</v>
      </c>
      <c r="T321" s="122">
        <v>0</v>
      </c>
      <c r="U321" s="122">
        <v>0</v>
      </c>
      <c r="V321" s="122">
        <v>0</v>
      </c>
      <c r="W321" s="122">
        <v>0</v>
      </c>
      <c r="X321" s="122">
        <v>0</v>
      </c>
      <c r="Y321" s="122">
        <v>0</v>
      </c>
      <c r="Z321" s="122">
        <v>0</v>
      </c>
      <c r="AA321" s="122">
        <v>0</v>
      </c>
      <c r="AB321" s="122">
        <v>0</v>
      </c>
      <c r="AC321" s="122">
        <v>0</v>
      </c>
      <c r="AD321" s="122">
        <v>0</v>
      </c>
      <c r="AE321" s="122">
        <v>0</v>
      </c>
      <c r="AF321" s="122">
        <v>0</v>
      </c>
      <c r="AG321" s="122">
        <v>0</v>
      </c>
      <c r="AH321" s="122">
        <v>0</v>
      </c>
      <c r="AI321" s="117">
        <f t="shared" si="8"/>
        <v>0</v>
      </c>
      <c r="AJ321" s="117">
        <f>SUM(F321:U321)</f>
        <v>0</v>
      </c>
      <c r="AK321" s="117">
        <f t="shared" si="9"/>
        <v>0</v>
      </c>
      <c r="AL321" s="23"/>
      <c r="AM321" s="127" t="b">
        <f>IF(INDEX($AO321:$BM321,0,$F$14)=1,TRUE,FALSE)</f>
        <v>1</v>
      </c>
      <c r="AN321" s="127" t="str">
        <f>IF(AM321,A321&amp;", "&amp;B321,"")</f>
        <v>Other financial incentives, 2011/12</v>
      </c>
      <c r="AO321" s="129"/>
      <c r="AP321" s="129"/>
      <c r="AQ321" s="129">
        <v>1</v>
      </c>
      <c r="AR321" s="129">
        <v>1</v>
      </c>
      <c r="AS321" s="129">
        <v>1</v>
      </c>
      <c r="AT321" s="129">
        <v>1</v>
      </c>
      <c r="AU321" s="129">
        <v>1</v>
      </c>
      <c r="AV321" s="129">
        <v>1</v>
      </c>
      <c r="AW321" s="129">
        <v>1</v>
      </c>
      <c r="AX321" s="197">
        <v>1</v>
      </c>
      <c r="AY321" s="197">
        <v>1</v>
      </c>
      <c r="AZ321" s="197">
        <v>1</v>
      </c>
      <c r="BA321" s="197">
        <v>1</v>
      </c>
      <c r="BB321" s="129">
        <v>1</v>
      </c>
      <c r="BC321" s="129">
        <v>1</v>
      </c>
      <c r="BD321" s="129">
        <v>1</v>
      </c>
      <c r="BE321" s="129">
        <v>1</v>
      </c>
      <c r="BF321" s="129">
        <v>1</v>
      </c>
      <c r="BG321" s="129">
        <v>1</v>
      </c>
      <c r="BH321" s="129">
        <v>1</v>
      </c>
      <c r="BI321" s="129">
        <v>1</v>
      </c>
      <c r="BJ321" s="129">
        <v>1</v>
      </c>
      <c r="BK321" s="129">
        <v>1</v>
      </c>
      <c r="BL321" s="129">
        <v>1</v>
      </c>
      <c r="BM321" s="197">
        <v>1</v>
      </c>
    </row>
    <row r="322" spans="1:65" x14ac:dyDescent="0.25">
      <c r="A322" s="121" t="s">
        <v>133</v>
      </c>
      <c r="B322" s="121" t="s">
        <v>25</v>
      </c>
      <c r="C322" s="172" t="s">
        <v>222</v>
      </c>
      <c r="D322" s="161">
        <v>10</v>
      </c>
      <c r="E322" s="29" t="str">
        <f>INDEX(ra_ScName,MATCH(D322,ra_ScNumber,0))</f>
        <v>Disclosed nominal return (incl actual asset revaluations)</v>
      </c>
      <c r="F322" s="122">
        <v>0</v>
      </c>
      <c r="G322" s="122">
        <v>0</v>
      </c>
      <c r="H322" s="122">
        <v>0</v>
      </c>
      <c r="I322" s="122">
        <v>0</v>
      </c>
      <c r="J322" s="122">
        <v>0</v>
      </c>
      <c r="K322" s="122">
        <v>0</v>
      </c>
      <c r="L322" s="122">
        <v>0</v>
      </c>
      <c r="M322" s="122">
        <v>0</v>
      </c>
      <c r="N322" s="122">
        <v>0</v>
      </c>
      <c r="O322" s="122">
        <v>0</v>
      </c>
      <c r="P322" s="122">
        <v>0</v>
      </c>
      <c r="Q322" s="122">
        <v>0</v>
      </c>
      <c r="R322" s="122">
        <v>0</v>
      </c>
      <c r="S322" s="122">
        <v>0</v>
      </c>
      <c r="T322" s="122">
        <v>0</v>
      </c>
      <c r="U322" s="122">
        <v>0</v>
      </c>
      <c r="V322" s="122">
        <v>0</v>
      </c>
      <c r="W322" s="122">
        <v>0</v>
      </c>
      <c r="X322" s="122">
        <v>0</v>
      </c>
      <c r="Y322" s="122">
        <v>0</v>
      </c>
      <c r="Z322" s="122">
        <v>0</v>
      </c>
      <c r="AA322" s="122">
        <v>0</v>
      </c>
      <c r="AB322" s="122">
        <v>0</v>
      </c>
      <c r="AC322" s="122">
        <v>0</v>
      </c>
      <c r="AD322" s="122">
        <v>0</v>
      </c>
      <c r="AE322" s="122">
        <v>0</v>
      </c>
      <c r="AF322" s="122">
        <v>0</v>
      </c>
      <c r="AG322" s="122">
        <v>0</v>
      </c>
      <c r="AH322" s="122">
        <v>0</v>
      </c>
      <c r="AI322" s="117">
        <f t="shared" si="8"/>
        <v>0</v>
      </c>
      <c r="AJ322" s="117">
        <f>SUM(F322:U322)</f>
        <v>0</v>
      </c>
      <c r="AK322" s="117">
        <f t="shared" si="9"/>
        <v>0</v>
      </c>
      <c r="AL322" s="23"/>
      <c r="AM322" s="127" t="b">
        <f>IF(INDEX($AO322:$BM322,0,$F$14)=1,TRUE,FALSE)</f>
        <v>1</v>
      </c>
      <c r="AN322" s="127" t="str">
        <f>IF(AM322,A322&amp;", "&amp;B322,"")</f>
        <v>Other financial incentives, 2012/13</v>
      </c>
      <c r="AO322" s="129"/>
      <c r="AP322" s="129"/>
      <c r="AQ322" s="129">
        <v>1</v>
      </c>
      <c r="AR322" s="129">
        <v>1</v>
      </c>
      <c r="AS322" s="129">
        <v>1</v>
      </c>
      <c r="AT322" s="129">
        <v>1</v>
      </c>
      <c r="AU322" s="129">
        <v>1</v>
      </c>
      <c r="AV322" s="129">
        <v>1</v>
      </c>
      <c r="AW322" s="129">
        <v>1</v>
      </c>
      <c r="AX322" s="197">
        <v>1</v>
      </c>
      <c r="AY322" s="197">
        <v>1</v>
      </c>
      <c r="AZ322" s="197">
        <v>1</v>
      </c>
      <c r="BA322" s="197">
        <v>1</v>
      </c>
      <c r="BB322" s="129">
        <v>1</v>
      </c>
      <c r="BC322" s="129">
        <v>1</v>
      </c>
      <c r="BD322" s="129">
        <v>1</v>
      </c>
      <c r="BE322" s="129">
        <v>1</v>
      </c>
      <c r="BF322" s="129">
        <v>1</v>
      </c>
      <c r="BG322" s="129">
        <v>1</v>
      </c>
      <c r="BH322" s="129">
        <v>1</v>
      </c>
      <c r="BI322" s="129">
        <v>1</v>
      </c>
      <c r="BJ322" s="129">
        <v>1</v>
      </c>
      <c r="BK322" s="129">
        <v>1</v>
      </c>
      <c r="BL322" s="129">
        <v>1</v>
      </c>
      <c r="BM322" s="197">
        <v>1</v>
      </c>
    </row>
    <row r="323" spans="1:65" x14ac:dyDescent="0.25">
      <c r="A323" s="121" t="s">
        <v>133</v>
      </c>
      <c r="B323" s="121" t="s">
        <v>26</v>
      </c>
      <c r="C323" s="172" t="s">
        <v>222</v>
      </c>
      <c r="D323" s="161">
        <v>10</v>
      </c>
      <c r="E323" s="29" t="str">
        <f>INDEX(ra_ScName,MATCH(D323,ra_ScNumber,0))</f>
        <v>Disclosed nominal return (incl actual asset revaluations)</v>
      </c>
      <c r="F323" s="122">
        <v>0</v>
      </c>
      <c r="G323" s="122">
        <v>0</v>
      </c>
      <c r="H323" s="122">
        <v>0</v>
      </c>
      <c r="I323" s="122">
        <v>0</v>
      </c>
      <c r="J323" s="122">
        <v>0</v>
      </c>
      <c r="K323" s="122">
        <v>0</v>
      </c>
      <c r="L323" s="122">
        <v>0</v>
      </c>
      <c r="M323" s="122">
        <v>0</v>
      </c>
      <c r="N323" s="122">
        <v>0</v>
      </c>
      <c r="O323" s="122">
        <v>0</v>
      </c>
      <c r="P323" s="122">
        <v>0</v>
      </c>
      <c r="Q323" s="122">
        <v>0</v>
      </c>
      <c r="R323" s="122">
        <v>0</v>
      </c>
      <c r="S323" s="122">
        <v>0</v>
      </c>
      <c r="T323" s="122">
        <v>0</v>
      </c>
      <c r="U323" s="122">
        <v>0</v>
      </c>
      <c r="V323" s="122">
        <v>0</v>
      </c>
      <c r="W323" s="122">
        <v>0</v>
      </c>
      <c r="X323" s="122">
        <v>0</v>
      </c>
      <c r="Y323" s="122">
        <v>0</v>
      </c>
      <c r="Z323" s="122">
        <v>0</v>
      </c>
      <c r="AA323" s="122">
        <v>0</v>
      </c>
      <c r="AB323" s="122">
        <v>0</v>
      </c>
      <c r="AC323" s="122">
        <v>0</v>
      </c>
      <c r="AD323" s="122">
        <v>0</v>
      </c>
      <c r="AE323" s="122">
        <v>0</v>
      </c>
      <c r="AF323" s="122">
        <v>0</v>
      </c>
      <c r="AG323" s="122">
        <v>0</v>
      </c>
      <c r="AH323" s="122">
        <v>0</v>
      </c>
      <c r="AI323" s="117">
        <f t="shared" si="8"/>
        <v>0</v>
      </c>
      <c r="AJ323" s="117">
        <f>SUM(F323:U323)</f>
        <v>0</v>
      </c>
      <c r="AK323" s="117">
        <f t="shared" si="9"/>
        <v>0</v>
      </c>
      <c r="AL323" s="23"/>
      <c r="AM323" s="127" t="b">
        <f>IF(INDEX($AO323:$BM323,0,$F$14)=1,TRUE,FALSE)</f>
        <v>1</v>
      </c>
      <c r="AN323" s="127" t="str">
        <f>IF(AM323,A323&amp;", "&amp;B323,"")</f>
        <v>Other financial incentives, 2013/14</v>
      </c>
      <c r="AO323" s="129"/>
      <c r="AP323" s="129"/>
      <c r="AQ323" s="129">
        <v>1</v>
      </c>
      <c r="AR323" s="129">
        <v>1</v>
      </c>
      <c r="AS323" s="129">
        <v>1</v>
      </c>
      <c r="AT323" s="129">
        <v>1</v>
      </c>
      <c r="AU323" s="129">
        <v>1</v>
      </c>
      <c r="AV323" s="129">
        <v>1</v>
      </c>
      <c r="AW323" s="129">
        <v>1</v>
      </c>
      <c r="AX323" s="197">
        <v>1</v>
      </c>
      <c r="AY323" s="197">
        <v>1</v>
      </c>
      <c r="AZ323" s="197">
        <v>1</v>
      </c>
      <c r="BA323" s="197">
        <v>1</v>
      </c>
      <c r="BB323" s="129">
        <v>1</v>
      </c>
      <c r="BC323" s="129">
        <v>1</v>
      </c>
      <c r="BD323" s="129">
        <v>1</v>
      </c>
      <c r="BE323" s="129">
        <v>1</v>
      </c>
      <c r="BF323" s="129">
        <v>1</v>
      </c>
      <c r="BG323" s="129">
        <v>1</v>
      </c>
      <c r="BH323" s="129">
        <v>1</v>
      </c>
      <c r="BI323" s="129">
        <v>1</v>
      </c>
      <c r="BJ323" s="129">
        <v>1</v>
      </c>
      <c r="BK323" s="129">
        <v>1</v>
      </c>
      <c r="BL323" s="129">
        <v>1</v>
      </c>
      <c r="BM323" s="197">
        <v>1</v>
      </c>
    </row>
    <row r="324" spans="1:65" x14ac:dyDescent="0.25">
      <c r="A324" s="121" t="s">
        <v>133</v>
      </c>
      <c r="B324" s="121" t="s">
        <v>27</v>
      </c>
      <c r="C324" s="172" t="s">
        <v>222</v>
      </c>
      <c r="D324" s="161">
        <v>10</v>
      </c>
      <c r="E324" s="29" t="str">
        <f>INDEX(ra_ScName,MATCH(D324,ra_ScNumber,0))</f>
        <v>Disclosed nominal return (incl actual asset revaluations)</v>
      </c>
      <c r="F324" s="122">
        <v>0</v>
      </c>
      <c r="G324" s="122">
        <v>0</v>
      </c>
      <c r="H324" s="122">
        <v>0</v>
      </c>
      <c r="I324" s="122">
        <v>0</v>
      </c>
      <c r="J324" s="122">
        <v>0</v>
      </c>
      <c r="K324" s="122">
        <v>0</v>
      </c>
      <c r="L324" s="122">
        <v>0</v>
      </c>
      <c r="M324" s="122">
        <v>0</v>
      </c>
      <c r="N324" s="122">
        <v>0</v>
      </c>
      <c r="O324" s="122">
        <v>0</v>
      </c>
      <c r="P324" s="122">
        <v>0</v>
      </c>
      <c r="Q324" s="122">
        <v>0</v>
      </c>
      <c r="R324" s="122">
        <v>0</v>
      </c>
      <c r="S324" s="122">
        <v>0</v>
      </c>
      <c r="T324" s="122">
        <v>0</v>
      </c>
      <c r="U324" s="122">
        <v>0</v>
      </c>
      <c r="V324" s="122">
        <v>0</v>
      </c>
      <c r="W324" s="122">
        <v>0</v>
      </c>
      <c r="X324" s="122">
        <v>0</v>
      </c>
      <c r="Y324" s="122">
        <v>0</v>
      </c>
      <c r="Z324" s="122">
        <v>0</v>
      </c>
      <c r="AA324" s="122">
        <v>0</v>
      </c>
      <c r="AB324" s="122">
        <v>0</v>
      </c>
      <c r="AC324" s="122">
        <v>0</v>
      </c>
      <c r="AD324" s="122">
        <v>0</v>
      </c>
      <c r="AE324" s="122">
        <v>0</v>
      </c>
      <c r="AF324" s="122">
        <v>0</v>
      </c>
      <c r="AG324" s="122">
        <v>0</v>
      </c>
      <c r="AH324" s="122">
        <v>0</v>
      </c>
      <c r="AI324" s="117">
        <f t="shared" si="8"/>
        <v>0</v>
      </c>
      <c r="AJ324" s="117">
        <f>SUM(F324:U324)</f>
        <v>0</v>
      </c>
      <c r="AK324" s="117">
        <f t="shared" si="9"/>
        <v>0</v>
      </c>
      <c r="AL324" s="23"/>
      <c r="AM324" s="127" t="b">
        <f>IF(INDEX($AO324:$BM324,0,$F$14)=1,TRUE,FALSE)</f>
        <v>1</v>
      </c>
      <c r="AN324" s="127" t="str">
        <f>IF(AM324,A324&amp;", "&amp;B324,"")</f>
        <v>Other financial incentives, 2014/15</v>
      </c>
      <c r="AO324" s="129"/>
      <c r="AP324" s="129"/>
      <c r="AQ324" s="129">
        <v>1</v>
      </c>
      <c r="AR324" s="129">
        <v>1</v>
      </c>
      <c r="AS324" s="129">
        <v>1</v>
      </c>
      <c r="AT324" s="129">
        <v>1</v>
      </c>
      <c r="AU324" s="129">
        <v>1</v>
      </c>
      <c r="AV324" s="129">
        <v>1</v>
      </c>
      <c r="AW324" s="129">
        <v>1</v>
      </c>
      <c r="AX324" s="197">
        <v>1</v>
      </c>
      <c r="AY324" s="197">
        <v>1</v>
      </c>
      <c r="AZ324" s="197">
        <v>1</v>
      </c>
      <c r="BA324" s="197">
        <v>1</v>
      </c>
      <c r="BB324" s="129">
        <v>1</v>
      </c>
      <c r="BC324" s="129">
        <v>1</v>
      </c>
      <c r="BD324" s="129">
        <v>1</v>
      </c>
      <c r="BE324" s="129">
        <v>1</v>
      </c>
      <c r="BF324" s="129">
        <v>1</v>
      </c>
      <c r="BG324" s="129">
        <v>1</v>
      </c>
      <c r="BH324" s="129">
        <v>1</v>
      </c>
      <c r="BI324" s="129">
        <v>1</v>
      </c>
      <c r="BJ324" s="129">
        <v>1</v>
      </c>
      <c r="BK324" s="129">
        <v>1</v>
      </c>
      <c r="BL324" s="129">
        <v>1</v>
      </c>
      <c r="BM324" s="197">
        <v>1</v>
      </c>
    </row>
    <row r="325" spans="1:65" x14ac:dyDescent="0.25">
      <c r="A325" s="121"/>
      <c r="B325" s="121"/>
      <c r="C325" s="172"/>
      <c r="D325" s="49"/>
      <c r="E325" s="49"/>
      <c r="F325" s="54"/>
      <c r="G325" s="54"/>
      <c r="H325" s="54"/>
      <c r="I325" s="54"/>
      <c r="J325" s="54"/>
      <c r="K325" s="54"/>
      <c r="L325" s="54"/>
      <c r="M325" s="54"/>
      <c r="N325" s="54"/>
      <c r="O325" s="54"/>
      <c r="P325" s="54"/>
      <c r="Q325" s="54"/>
      <c r="R325" s="54"/>
      <c r="S325" s="54"/>
      <c r="T325" s="54"/>
      <c r="U325" s="54"/>
      <c r="V325" s="54"/>
      <c r="W325" s="55"/>
      <c r="X325" s="55"/>
      <c r="Y325" s="55"/>
      <c r="Z325" s="55"/>
      <c r="AA325" s="55"/>
      <c r="AB325" s="55"/>
      <c r="AC325" s="55"/>
      <c r="AD325" s="55"/>
      <c r="AE325" s="55"/>
      <c r="AF325" s="55"/>
      <c r="AG325" s="55"/>
      <c r="AH325" s="55"/>
      <c r="AI325" s="54"/>
      <c r="AJ325" s="54"/>
      <c r="AK325" s="54"/>
      <c r="AL325" s="23"/>
      <c r="AM325" s="127"/>
      <c r="AN325" s="127"/>
      <c r="AO325" s="129"/>
      <c r="AP325" s="129"/>
      <c r="AQ325" s="129"/>
      <c r="AR325" s="129"/>
      <c r="AS325" s="129"/>
      <c r="AT325" s="129"/>
      <c r="AU325" s="129"/>
      <c r="AV325" s="129"/>
      <c r="AW325" s="129"/>
      <c r="AX325" s="197"/>
      <c r="AY325" s="197"/>
      <c r="AZ325" s="197"/>
      <c r="BA325" s="197"/>
      <c r="BB325" s="129"/>
      <c r="BC325" s="129"/>
      <c r="BD325" s="129"/>
      <c r="BE325" s="129"/>
      <c r="BF325" s="129"/>
      <c r="BG325" s="129"/>
      <c r="BH325" s="129"/>
      <c r="BI325" s="129"/>
      <c r="BJ325" s="129"/>
      <c r="BK325" s="129"/>
      <c r="BL325" s="129"/>
      <c r="BM325" s="197"/>
    </row>
    <row r="326" spans="1:65" x14ac:dyDescent="0.25">
      <c r="A326" s="121"/>
      <c r="B326" s="121"/>
      <c r="C326" s="172"/>
      <c r="D326" s="46"/>
      <c r="E326" s="46"/>
      <c r="F326" s="54"/>
      <c r="G326" s="54"/>
      <c r="H326" s="54"/>
      <c r="I326" s="54"/>
      <c r="J326" s="54"/>
      <c r="K326" s="54"/>
      <c r="L326" s="54"/>
      <c r="M326" s="54"/>
      <c r="N326" s="54"/>
      <c r="O326" s="54"/>
      <c r="P326" s="54"/>
      <c r="Q326" s="54"/>
      <c r="R326" s="54"/>
      <c r="S326" s="54"/>
      <c r="T326" s="54"/>
      <c r="U326" s="54"/>
      <c r="V326" s="54"/>
      <c r="W326" s="55"/>
      <c r="X326" s="55"/>
      <c r="Y326" s="55"/>
      <c r="Z326" s="55"/>
      <c r="AA326" s="55"/>
      <c r="AB326" s="55"/>
      <c r="AC326" s="55"/>
      <c r="AD326" s="55"/>
      <c r="AE326" s="55"/>
      <c r="AF326" s="55"/>
      <c r="AG326" s="55"/>
      <c r="AH326" s="55"/>
      <c r="AI326" s="54"/>
      <c r="AJ326" s="54"/>
      <c r="AK326" s="54"/>
      <c r="AL326" s="23"/>
      <c r="AM326" s="127"/>
      <c r="AN326" s="127"/>
      <c r="AO326" s="129"/>
      <c r="AP326" s="129"/>
      <c r="AQ326" s="129"/>
      <c r="AR326" s="129"/>
      <c r="AS326" s="129"/>
      <c r="AT326" s="129"/>
      <c r="AU326" s="129"/>
      <c r="AV326" s="129"/>
      <c r="AW326" s="129"/>
      <c r="AX326" s="197"/>
      <c r="AY326" s="197"/>
      <c r="AZ326" s="197"/>
      <c r="BA326" s="197"/>
      <c r="BB326" s="129"/>
      <c r="BC326" s="129"/>
      <c r="BD326" s="129"/>
      <c r="BE326" s="129"/>
      <c r="BF326" s="129"/>
      <c r="BG326" s="129"/>
      <c r="BH326" s="129"/>
      <c r="BI326" s="129"/>
      <c r="BJ326" s="129"/>
      <c r="BK326" s="129"/>
      <c r="BL326" s="129"/>
      <c r="BM326" s="197"/>
    </row>
    <row r="327" spans="1:65" x14ac:dyDescent="0.25">
      <c r="A327" s="121" t="s">
        <v>134</v>
      </c>
      <c r="B327" s="121" t="s">
        <v>23</v>
      </c>
      <c r="C327" s="172" t="s">
        <v>222</v>
      </c>
      <c r="D327" s="161">
        <v>1</v>
      </c>
      <c r="E327" s="29" t="str">
        <f>INDEX(ra_ScName,MATCH(D327,ra_ScNumber,0))</f>
        <v>Expected nominal return (incl forecast asset revaluations)</v>
      </c>
      <c r="F327" s="54"/>
      <c r="G327" s="54"/>
      <c r="H327" s="54"/>
      <c r="I327" s="54"/>
      <c r="J327" s="54"/>
      <c r="K327" s="54"/>
      <c r="L327" s="54"/>
      <c r="M327" s="54"/>
      <c r="N327" s="54"/>
      <c r="O327" s="54"/>
      <c r="P327" s="54"/>
      <c r="Q327" s="54"/>
      <c r="R327" s="54"/>
      <c r="S327" s="54"/>
      <c r="T327" s="54"/>
      <c r="U327" s="54"/>
      <c r="V327" s="54"/>
      <c r="W327" s="54"/>
      <c r="X327" s="54"/>
      <c r="Y327" s="54"/>
      <c r="Z327" s="54"/>
      <c r="AA327" s="54"/>
      <c r="AB327" s="54"/>
      <c r="AC327" s="54"/>
      <c r="AD327" s="54"/>
      <c r="AE327" s="54"/>
      <c r="AF327" s="54"/>
      <c r="AG327" s="54"/>
      <c r="AH327" s="54"/>
      <c r="AI327" s="117">
        <f t="shared" si="8"/>
        <v>0</v>
      </c>
      <c r="AJ327" s="117">
        <f>SUM(F327:U327)</f>
        <v>0</v>
      </c>
      <c r="AK327" s="117">
        <f t="shared" si="9"/>
        <v>0</v>
      </c>
      <c r="AL327" s="23"/>
      <c r="AM327" s="127" t="b">
        <f>IF(INDEX($AO327:$BM327,0,$F$14)=1,TRUE,FALSE)</f>
        <v>0</v>
      </c>
      <c r="AN327" s="127" t="str">
        <f>IF(AM327,A327&amp;", "&amp;B327,"")</f>
        <v/>
      </c>
      <c r="AO327" s="129">
        <v>1</v>
      </c>
      <c r="AP327" s="129">
        <v>1</v>
      </c>
      <c r="AQ327" s="129"/>
      <c r="AR327" s="129"/>
      <c r="AS327" s="129"/>
      <c r="AT327" s="129"/>
      <c r="AU327" s="129"/>
      <c r="AV327" s="129"/>
      <c r="AW327" s="129"/>
      <c r="AX327" s="197"/>
      <c r="AY327" s="197"/>
      <c r="AZ327" s="197"/>
      <c r="BA327" s="197"/>
      <c r="BB327" s="129"/>
      <c r="BC327" s="129"/>
      <c r="BD327" s="129"/>
      <c r="BE327" s="129"/>
      <c r="BF327" s="129"/>
      <c r="BG327" s="129"/>
      <c r="BH327" s="129"/>
      <c r="BI327" s="129"/>
      <c r="BJ327" s="129"/>
      <c r="BK327" s="129"/>
      <c r="BL327" s="129"/>
      <c r="BM327" s="197"/>
    </row>
    <row r="328" spans="1:65" x14ac:dyDescent="0.25">
      <c r="A328" s="121" t="s">
        <v>134</v>
      </c>
      <c r="B328" s="121" t="s">
        <v>24</v>
      </c>
      <c r="C328" s="172" t="s">
        <v>222</v>
      </c>
      <c r="D328" s="161">
        <v>1</v>
      </c>
      <c r="E328" s="29" t="str">
        <f>INDEX(ra_ScName,MATCH(D328,ra_ScNumber,0))</f>
        <v>Expected nominal return (incl forecast asset revaluations)</v>
      </c>
      <c r="F328" s="54"/>
      <c r="G328" s="54"/>
      <c r="H328" s="54"/>
      <c r="I328" s="54"/>
      <c r="J328" s="54"/>
      <c r="K328" s="54"/>
      <c r="L328" s="54"/>
      <c r="M328" s="54"/>
      <c r="N328" s="54"/>
      <c r="O328" s="54"/>
      <c r="P328" s="54"/>
      <c r="Q328" s="54"/>
      <c r="R328" s="54"/>
      <c r="S328" s="54"/>
      <c r="T328" s="54"/>
      <c r="U328" s="54"/>
      <c r="V328" s="54"/>
      <c r="W328" s="54"/>
      <c r="X328" s="54"/>
      <c r="Y328" s="54"/>
      <c r="Z328" s="54"/>
      <c r="AA328" s="54"/>
      <c r="AB328" s="54"/>
      <c r="AC328" s="54"/>
      <c r="AD328" s="54"/>
      <c r="AE328" s="54"/>
      <c r="AF328" s="54"/>
      <c r="AG328" s="54"/>
      <c r="AH328" s="54"/>
      <c r="AI328" s="117">
        <f t="shared" si="8"/>
        <v>0</v>
      </c>
      <c r="AJ328" s="117">
        <f>SUM(F328:U328)</f>
        <v>0</v>
      </c>
      <c r="AK328" s="117">
        <f t="shared" si="9"/>
        <v>0</v>
      </c>
      <c r="AL328" s="23"/>
      <c r="AM328" s="127" t="b">
        <f>IF(INDEX($AO328:$BM328,0,$F$14)=1,TRUE,FALSE)</f>
        <v>0</v>
      </c>
      <c r="AN328" s="127" t="str">
        <f>IF(AM328,A328&amp;", "&amp;B328,"")</f>
        <v/>
      </c>
      <c r="AO328" s="129">
        <v>1</v>
      </c>
      <c r="AP328" s="129">
        <v>1</v>
      </c>
      <c r="AQ328" s="129"/>
      <c r="AR328" s="129"/>
      <c r="AS328" s="129"/>
      <c r="AT328" s="129"/>
      <c r="AU328" s="129"/>
      <c r="AV328" s="129"/>
      <c r="AW328" s="129"/>
      <c r="AX328" s="197"/>
      <c r="AY328" s="197"/>
      <c r="AZ328" s="197"/>
      <c r="BA328" s="197"/>
      <c r="BB328" s="129"/>
      <c r="BC328" s="129"/>
      <c r="BD328" s="129"/>
      <c r="BE328" s="129"/>
      <c r="BF328" s="129"/>
      <c r="BG328" s="129"/>
      <c r="BH328" s="129"/>
      <c r="BI328" s="129"/>
      <c r="BJ328" s="129"/>
      <c r="BK328" s="129"/>
      <c r="BL328" s="129"/>
      <c r="BM328" s="197"/>
    </row>
    <row r="329" spans="1:65" x14ac:dyDescent="0.25">
      <c r="A329" s="121" t="s">
        <v>134</v>
      </c>
      <c r="B329" s="121" t="s">
        <v>25</v>
      </c>
      <c r="C329" s="172" t="s">
        <v>222</v>
      </c>
      <c r="D329" s="161">
        <v>1</v>
      </c>
      <c r="E329" s="29" t="str">
        <f>INDEX(ra_ScName,MATCH(D329,ra_ScNumber,0))</f>
        <v>Expected nominal return (incl forecast asset revaluations)</v>
      </c>
      <c r="F329" s="54"/>
      <c r="G329" s="54"/>
      <c r="H329" s="54"/>
      <c r="I329" s="54"/>
      <c r="J329" s="54"/>
      <c r="K329" s="54"/>
      <c r="L329" s="54"/>
      <c r="M329" s="54"/>
      <c r="N329" s="54"/>
      <c r="O329" s="54"/>
      <c r="P329" s="54"/>
      <c r="Q329" s="54"/>
      <c r="R329" s="54"/>
      <c r="S329" s="54"/>
      <c r="T329" s="54"/>
      <c r="U329" s="54"/>
      <c r="V329" s="54"/>
      <c r="W329" s="54"/>
      <c r="X329" s="54"/>
      <c r="Y329" s="54"/>
      <c r="Z329" s="54"/>
      <c r="AA329" s="54"/>
      <c r="AB329" s="54"/>
      <c r="AC329" s="54"/>
      <c r="AD329" s="54"/>
      <c r="AE329" s="54"/>
      <c r="AF329" s="54"/>
      <c r="AG329" s="54"/>
      <c r="AH329" s="54"/>
      <c r="AI329" s="117">
        <f t="shared" si="8"/>
        <v>0</v>
      </c>
      <c r="AJ329" s="117">
        <f>SUM(F329:U329)</f>
        <v>0</v>
      </c>
      <c r="AK329" s="117">
        <f t="shared" si="9"/>
        <v>0</v>
      </c>
      <c r="AL329" s="23"/>
      <c r="AM329" s="127" t="b">
        <f>IF(INDEX($AO329:$BM329,0,$F$14)=1,TRUE,FALSE)</f>
        <v>0</v>
      </c>
      <c r="AN329" s="127" t="str">
        <f>IF(AM329,A329&amp;", "&amp;B329,"")</f>
        <v/>
      </c>
      <c r="AO329" s="129">
        <v>1</v>
      </c>
      <c r="AP329" s="129">
        <v>1</v>
      </c>
      <c r="AQ329" s="129"/>
      <c r="AR329" s="129"/>
      <c r="AS329" s="129"/>
      <c r="AT329" s="129"/>
      <c r="AU329" s="129"/>
      <c r="AV329" s="129"/>
      <c r="AW329" s="129"/>
      <c r="AX329" s="197"/>
      <c r="AY329" s="197"/>
      <c r="AZ329" s="197"/>
      <c r="BA329" s="197"/>
      <c r="BB329" s="129"/>
      <c r="BC329" s="129"/>
      <c r="BD329" s="129"/>
      <c r="BE329" s="129"/>
      <c r="BF329" s="129"/>
      <c r="BG329" s="129"/>
      <c r="BH329" s="129"/>
      <c r="BI329" s="129"/>
      <c r="BJ329" s="129"/>
      <c r="BK329" s="129"/>
      <c r="BL329" s="129"/>
      <c r="BM329" s="197"/>
    </row>
    <row r="330" spans="1:65" x14ac:dyDescent="0.25">
      <c r="A330" s="121" t="s">
        <v>134</v>
      </c>
      <c r="B330" s="121" t="s">
        <v>26</v>
      </c>
      <c r="C330" s="172" t="s">
        <v>222</v>
      </c>
      <c r="D330" s="161">
        <v>1</v>
      </c>
      <c r="E330" s="29" t="str">
        <f>INDEX(ra_ScName,MATCH(D330,ra_ScNumber,0))</f>
        <v>Expected nominal return (incl forecast asset revaluations)</v>
      </c>
      <c r="F330" s="54"/>
      <c r="G330" s="54"/>
      <c r="H330" s="54"/>
      <c r="I330" s="54"/>
      <c r="J330" s="54"/>
      <c r="K330" s="54"/>
      <c r="L330" s="54"/>
      <c r="M330" s="54"/>
      <c r="N330" s="54"/>
      <c r="O330" s="54"/>
      <c r="P330" s="54"/>
      <c r="Q330" s="54"/>
      <c r="R330" s="54"/>
      <c r="S330" s="54"/>
      <c r="T330" s="54"/>
      <c r="U330" s="54"/>
      <c r="V330" s="54"/>
      <c r="W330" s="54"/>
      <c r="X330" s="54"/>
      <c r="Y330" s="54"/>
      <c r="Z330" s="54"/>
      <c r="AA330" s="54"/>
      <c r="AB330" s="54"/>
      <c r="AC330" s="54"/>
      <c r="AD330" s="54"/>
      <c r="AE330" s="54"/>
      <c r="AF330" s="54"/>
      <c r="AG330" s="54"/>
      <c r="AH330" s="54"/>
      <c r="AI330" s="117">
        <f t="shared" si="8"/>
        <v>0</v>
      </c>
      <c r="AJ330" s="117">
        <f>SUM(F330:U330)</f>
        <v>0</v>
      </c>
      <c r="AK330" s="117">
        <f t="shared" si="9"/>
        <v>0</v>
      </c>
      <c r="AL330" s="23"/>
      <c r="AM330" s="127" t="b">
        <f>IF(INDEX($AO330:$BM330,0,$F$14)=1,TRUE,FALSE)</f>
        <v>0</v>
      </c>
      <c r="AN330" s="127" t="str">
        <f>IF(AM330,A330&amp;", "&amp;B330,"")</f>
        <v/>
      </c>
      <c r="AO330" s="129">
        <v>1</v>
      </c>
      <c r="AP330" s="129">
        <v>1</v>
      </c>
      <c r="AQ330" s="129"/>
      <c r="AR330" s="129"/>
      <c r="AS330" s="129"/>
      <c r="AT330" s="129"/>
      <c r="AU330" s="129"/>
      <c r="AV330" s="129"/>
      <c r="AW330" s="129"/>
      <c r="AX330" s="197"/>
      <c r="AY330" s="197"/>
      <c r="AZ330" s="197"/>
      <c r="BA330" s="197"/>
      <c r="BB330" s="129"/>
      <c r="BC330" s="129"/>
      <c r="BD330" s="129"/>
      <c r="BE330" s="129"/>
      <c r="BF330" s="129"/>
      <c r="BG330" s="129"/>
      <c r="BH330" s="129"/>
      <c r="BI330" s="129"/>
      <c r="BJ330" s="129"/>
      <c r="BK330" s="129"/>
      <c r="BL330" s="129"/>
      <c r="BM330" s="197"/>
    </row>
    <row r="331" spans="1:65" x14ac:dyDescent="0.25">
      <c r="A331" s="121" t="s">
        <v>134</v>
      </c>
      <c r="B331" s="121" t="s">
        <v>27</v>
      </c>
      <c r="C331" s="172" t="s">
        <v>222</v>
      </c>
      <c r="D331" s="161">
        <v>1</v>
      </c>
      <c r="E331" s="29" t="str">
        <f>INDEX(ra_ScName,MATCH(D331,ra_ScNumber,0))</f>
        <v>Expected nominal return (incl forecast asset revaluations)</v>
      </c>
      <c r="F331" s="54"/>
      <c r="G331" s="54"/>
      <c r="H331" s="54"/>
      <c r="I331" s="54"/>
      <c r="J331" s="54"/>
      <c r="K331" s="54"/>
      <c r="L331" s="54"/>
      <c r="M331" s="54"/>
      <c r="N331" s="54"/>
      <c r="O331" s="54"/>
      <c r="P331" s="54"/>
      <c r="Q331" s="54"/>
      <c r="R331" s="54"/>
      <c r="S331" s="54"/>
      <c r="T331" s="54"/>
      <c r="U331" s="54"/>
      <c r="V331" s="54"/>
      <c r="W331" s="54"/>
      <c r="X331" s="54"/>
      <c r="Y331" s="54"/>
      <c r="Z331" s="54"/>
      <c r="AA331" s="54"/>
      <c r="AB331" s="54"/>
      <c r="AC331" s="54"/>
      <c r="AD331" s="54"/>
      <c r="AE331" s="54"/>
      <c r="AF331" s="54"/>
      <c r="AG331" s="54"/>
      <c r="AH331" s="54"/>
      <c r="AI331" s="117">
        <f t="shared" si="8"/>
        <v>0</v>
      </c>
      <c r="AJ331" s="117">
        <f>SUM(F331:U331)</f>
        <v>0</v>
      </c>
      <c r="AK331" s="117">
        <f t="shared" si="9"/>
        <v>0</v>
      </c>
      <c r="AL331" s="23"/>
      <c r="AM331" s="127" t="b">
        <f>IF(INDEX($AO331:$BM331,0,$F$14)=1,TRUE,FALSE)</f>
        <v>0</v>
      </c>
      <c r="AN331" s="127" t="str">
        <f>IF(AM331,A331&amp;", "&amp;B331,"")</f>
        <v/>
      </c>
      <c r="AO331" s="129">
        <v>1</v>
      </c>
      <c r="AP331" s="129">
        <v>1</v>
      </c>
      <c r="AQ331" s="129"/>
      <c r="AR331" s="129"/>
      <c r="AS331" s="129"/>
      <c r="AT331" s="129"/>
      <c r="AU331" s="129"/>
      <c r="AV331" s="129"/>
      <c r="AW331" s="129"/>
      <c r="AX331" s="197"/>
      <c r="AY331" s="197"/>
      <c r="AZ331" s="197"/>
      <c r="BA331" s="197"/>
      <c r="BB331" s="129"/>
      <c r="BC331" s="129"/>
      <c r="BD331" s="129"/>
      <c r="BE331" s="129"/>
      <c r="BF331" s="129"/>
      <c r="BG331" s="129"/>
      <c r="BH331" s="129"/>
      <c r="BI331" s="129"/>
      <c r="BJ331" s="129"/>
      <c r="BK331" s="129"/>
      <c r="BL331" s="129"/>
      <c r="BM331" s="197"/>
    </row>
    <row r="332" spans="1:65" x14ac:dyDescent="0.25">
      <c r="A332" s="121"/>
      <c r="B332" s="121"/>
      <c r="C332" s="172"/>
      <c r="D332" s="49"/>
      <c r="E332" s="49"/>
      <c r="F332" s="54"/>
      <c r="G332" s="54"/>
      <c r="H332" s="54"/>
      <c r="I332" s="54"/>
      <c r="J332" s="54"/>
      <c r="K332" s="54"/>
      <c r="L332" s="54"/>
      <c r="M332" s="54"/>
      <c r="N332" s="54"/>
      <c r="O332" s="54"/>
      <c r="P332" s="54"/>
      <c r="Q332" s="54"/>
      <c r="R332" s="54"/>
      <c r="S332" s="54"/>
      <c r="T332" s="54"/>
      <c r="U332" s="54"/>
      <c r="V332" s="54"/>
      <c r="W332" s="55"/>
      <c r="X332" s="55"/>
      <c r="Y332" s="55"/>
      <c r="Z332" s="55"/>
      <c r="AA332" s="55"/>
      <c r="AB332" s="55"/>
      <c r="AC332" s="55"/>
      <c r="AD332" s="55"/>
      <c r="AE332" s="55"/>
      <c r="AF332" s="55"/>
      <c r="AG332" s="55"/>
      <c r="AH332" s="55"/>
      <c r="AI332" s="54"/>
      <c r="AJ332" s="54"/>
      <c r="AK332" s="54"/>
      <c r="AL332" s="23"/>
      <c r="AM332" s="127"/>
      <c r="AN332" s="127"/>
      <c r="AO332" s="129"/>
      <c r="AP332" s="129"/>
      <c r="AQ332" s="129"/>
      <c r="AR332" s="129"/>
      <c r="AS332" s="129"/>
      <c r="AT332" s="129"/>
      <c r="AU332" s="129"/>
      <c r="AV332" s="129"/>
      <c r="AW332" s="129"/>
      <c r="AX332" s="197"/>
      <c r="AY332" s="197"/>
      <c r="AZ332" s="197"/>
      <c r="BA332" s="197"/>
      <c r="BB332" s="129"/>
      <c r="BC332" s="129"/>
      <c r="BD332" s="129"/>
      <c r="BE332" s="129"/>
      <c r="BF332" s="129"/>
      <c r="BG332" s="129"/>
      <c r="BH332" s="129"/>
      <c r="BI332" s="129"/>
      <c r="BJ332" s="129"/>
      <c r="BK332" s="129"/>
      <c r="BL332" s="129"/>
      <c r="BM332" s="197"/>
    </row>
    <row r="333" spans="1:65" x14ac:dyDescent="0.25">
      <c r="A333" s="121"/>
      <c r="B333" s="121"/>
      <c r="C333" s="172"/>
      <c r="D333" s="46"/>
      <c r="E333" s="46"/>
      <c r="F333" s="54"/>
      <c r="G333" s="54"/>
      <c r="H333" s="54"/>
      <c r="I333" s="54"/>
      <c r="J333" s="54"/>
      <c r="K333" s="54"/>
      <c r="L333" s="54"/>
      <c r="M333" s="54"/>
      <c r="N333" s="54"/>
      <c r="O333" s="54"/>
      <c r="P333" s="54"/>
      <c r="Q333" s="54"/>
      <c r="R333" s="54"/>
      <c r="S333" s="54"/>
      <c r="T333" s="54"/>
      <c r="U333" s="54"/>
      <c r="V333" s="54"/>
      <c r="W333" s="55"/>
      <c r="X333" s="55"/>
      <c r="Y333" s="55"/>
      <c r="Z333" s="55"/>
      <c r="AA333" s="55"/>
      <c r="AB333" s="55"/>
      <c r="AC333" s="55"/>
      <c r="AD333" s="55"/>
      <c r="AE333" s="55"/>
      <c r="AF333" s="55"/>
      <c r="AG333" s="55"/>
      <c r="AH333" s="55"/>
      <c r="AI333" s="54"/>
      <c r="AJ333" s="54"/>
      <c r="AK333" s="54"/>
      <c r="AL333" s="23"/>
      <c r="AM333" s="127"/>
      <c r="AN333" s="127"/>
      <c r="AO333" s="129"/>
      <c r="AP333" s="129"/>
      <c r="AQ333" s="129"/>
      <c r="AR333" s="129"/>
      <c r="AS333" s="129"/>
      <c r="AT333" s="129"/>
      <c r="AU333" s="129"/>
      <c r="AV333" s="129"/>
      <c r="AW333" s="129"/>
      <c r="AX333" s="197"/>
      <c r="AY333" s="197"/>
      <c r="AZ333" s="197"/>
      <c r="BA333" s="197"/>
      <c r="BB333" s="129"/>
      <c r="BC333" s="129"/>
      <c r="BD333" s="129"/>
      <c r="BE333" s="129"/>
      <c r="BF333" s="129"/>
      <c r="BG333" s="129"/>
      <c r="BH333" s="129"/>
      <c r="BI333" s="129"/>
      <c r="BJ333" s="129"/>
      <c r="BK333" s="129"/>
      <c r="BL333" s="129"/>
      <c r="BM333" s="197"/>
    </row>
    <row r="334" spans="1:65" x14ac:dyDescent="0.25">
      <c r="A334" s="121" t="s">
        <v>134</v>
      </c>
      <c r="B334" s="121" t="s">
        <v>23</v>
      </c>
      <c r="C334" s="172" t="s">
        <v>222</v>
      </c>
      <c r="D334" s="161">
        <v>10</v>
      </c>
      <c r="E334" s="29" t="str">
        <f>INDEX(ra_ScName,MATCH(D334,ra_ScNumber,0))</f>
        <v>Disclosed nominal return (incl actual asset revaluations)</v>
      </c>
      <c r="F334" s="122">
        <v>0</v>
      </c>
      <c r="G334" s="122">
        <v>0</v>
      </c>
      <c r="H334" s="122">
        <v>0</v>
      </c>
      <c r="I334" s="122">
        <v>0</v>
      </c>
      <c r="J334" s="122">
        <v>0</v>
      </c>
      <c r="K334" s="122">
        <v>0</v>
      </c>
      <c r="L334" s="122">
        <v>0</v>
      </c>
      <c r="M334" s="122">
        <v>0</v>
      </c>
      <c r="N334" s="122">
        <v>0</v>
      </c>
      <c r="O334" s="122">
        <v>0</v>
      </c>
      <c r="P334" s="122">
        <v>0</v>
      </c>
      <c r="Q334" s="122">
        <v>0</v>
      </c>
      <c r="R334" s="122">
        <v>0</v>
      </c>
      <c r="S334" s="122">
        <v>0</v>
      </c>
      <c r="T334" s="122">
        <v>0</v>
      </c>
      <c r="U334" s="122">
        <v>0</v>
      </c>
      <c r="V334" s="122">
        <v>0</v>
      </c>
      <c r="W334" s="122">
        <v>0</v>
      </c>
      <c r="X334" s="122">
        <v>0</v>
      </c>
      <c r="Y334" s="122">
        <v>0</v>
      </c>
      <c r="Z334" s="122">
        <v>0</v>
      </c>
      <c r="AA334" s="122">
        <v>0</v>
      </c>
      <c r="AB334" s="122">
        <v>0</v>
      </c>
      <c r="AC334" s="122">
        <v>0</v>
      </c>
      <c r="AD334" s="122">
        <v>0</v>
      </c>
      <c r="AE334" s="122">
        <v>0</v>
      </c>
      <c r="AF334" s="122">
        <v>0</v>
      </c>
      <c r="AG334" s="122">
        <v>0</v>
      </c>
      <c r="AH334" s="122">
        <v>0</v>
      </c>
      <c r="AI334" s="117">
        <f t="shared" si="8"/>
        <v>0</v>
      </c>
      <c r="AJ334" s="117">
        <f>SUM(F334:U334)</f>
        <v>0</v>
      </c>
      <c r="AK334" s="117">
        <f t="shared" si="9"/>
        <v>0</v>
      </c>
      <c r="AL334" s="23"/>
      <c r="AM334" s="127" t="b">
        <f>IF(INDEX($AO334:$BM334,0,$F$14)=1,TRUE,FALSE)</f>
        <v>1</v>
      </c>
      <c r="AN334" s="127" t="str">
        <f>IF(AM334,A334&amp;", "&amp;B334,"")</f>
        <v>Input methodology claw-back, 2010/11</v>
      </c>
      <c r="AO334" s="129"/>
      <c r="AP334" s="129"/>
      <c r="AQ334" s="129">
        <v>1</v>
      </c>
      <c r="AR334" s="129">
        <v>1</v>
      </c>
      <c r="AS334" s="129">
        <v>1</v>
      </c>
      <c r="AT334" s="129">
        <v>1</v>
      </c>
      <c r="AU334" s="129">
        <v>1</v>
      </c>
      <c r="AV334" s="129">
        <v>1</v>
      </c>
      <c r="AW334" s="129">
        <v>1</v>
      </c>
      <c r="AX334" s="197">
        <v>1</v>
      </c>
      <c r="AY334" s="197">
        <v>1</v>
      </c>
      <c r="AZ334" s="197">
        <v>1</v>
      </c>
      <c r="BA334" s="197">
        <v>1</v>
      </c>
      <c r="BB334" s="129">
        <v>1</v>
      </c>
      <c r="BC334" s="129">
        <v>1</v>
      </c>
      <c r="BD334" s="129">
        <v>1</v>
      </c>
      <c r="BE334" s="129">
        <v>1</v>
      </c>
      <c r="BF334" s="129">
        <v>1</v>
      </c>
      <c r="BG334" s="129">
        <v>1</v>
      </c>
      <c r="BH334" s="129">
        <v>1</v>
      </c>
      <c r="BI334" s="129">
        <v>1</v>
      </c>
      <c r="BJ334" s="129">
        <v>1</v>
      </c>
      <c r="BK334" s="129">
        <v>1</v>
      </c>
      <c r="BL334" s="129">
        <v>1</v>
      </c>
      <c r="BM334" s="197">
        <v>1</v>
      </c>
    </row>
    <row r="335" spans="1:65" x14ac:dyDescent="0.25">
      <c r="A335" s="121" t="s">
        <v>134</v>
      </c>
      <c r="B335" s="121" t="s">
        <v>24</v>
      </c>
      <c r="C335" s="172" t="s">
        <v>222</v>
      </c>
      <c r="D335" s="161">
        <v>10</v>
      </c>
      <c r="E335" s="29" t="str">
        <f>INDEX(ra_ScName,MATCH(D335,ra_ScNumber,0))</f>
        <v>Disclosed nominal return (incl actual asset revaluations)</v>
      </c>
      <c r="F335" s="122">
        <v>0</v>
      </c>
      <c r="G335" s="122">
        <v>0</v>
      </c>
      <c r="H335" s="122">
        <v>0</v>
      </c>
      <c r="I335" s="122">
        <v>0</v>
      </c>
      <c r="J335" s="122">
        <v>0</v>
      </c>
      <c r="K335" s="122">
        <v>0</v>
      </c>
      <c r="L335" s="122">
        <v>0</v>
      </c>
      <c r="M335" s="122">
        <v>0</v>
      </c>
      <c r="N335" s="122">
        <v>0</v>
      </c>
      <c r="O335" s="122">
        <v>0</v>
      </c>
      <c r="P335" s="122">
        <v>0</v>
      </c>
      <c r="Q335" s="122">
        <v>0</v>
      </c>
      <c r="R335" s="122">
        <v>0</v>
      </c>
      <c r="S335" s="122">
        <v>0</v>
      </c>
      <c r="T335" s="122">
        <v>0</v>
      </c>
      <c r="U335" s="122">
        <v>0</v>
      </c>
      <c r="V335" s="122">
        <v>0</v>
      </c>
      <c r="W335" s="122">
        <v>0</v>
      </c>
      <c r="X335" s="122">
        <v>0</v>
      </c>
      <c r="Y335" s="122">
        <v>0</v>
      </c>
      <c r="Z335" s="122">
        <v>0</v>
      </c>
      <c r="AA335" s="122">
        <v>0</v>
      </c>
      <c r="AB335" s="122">
        <v>0</v>
      </c>
      <c r="AC335" s="122">
        <v>0</v>
      </c>
      <c r="AD335" s="122">
        <v>0</v>
      </c>
      <c r="AE335" s="122">
        <v>0</v>
      </c>
      <c r="AF335" s="122">
        <v>0</v>
      </c>
      <c r="AG335" s="122">
        <v>0</v>
      </c>
      <c r="AH335" s="122">
        <v>0</v>
      </c>
      <c r="AI335" s="117">
        <f t="shared" si="8"/>
        <v>0</v>
      </c>
      <c r="AJ335" s="117">
        <f>SUM(F335:U335)</f>
        <v>0</v>
      </c>
      <c r="AK335" s="117">
        <f t="shared" si="9"/>
        <v>0</v>
      </c>
      <c r="AL335" s="23"/>
      <c r="AM335" s="127" t="b">
        <f>IF(INDEX($AO335:$BM335,0,$F$14)=1,TRUE,FALSE)</f>
        <v>1</v>
      </c>
      <c r="AN335" s="127" t="str">
        <f>IF(AM335,A335&amp;", "&amp;B335,"")</f>
        <v>Input methodology claw-back, 2011/12</v>
      </c>
      <c r="AO335" s="129"/>
      <c r="AP335" s="129"/>
      <c r="AQ335" s="129">
        <v>1</v>
      </c>
      <c r="AR335" s="129">
        <v>1</v>
      </c>
      <c r="AS335" s="129">
        <v>1</v>
      </c>
      <c r="AT335" s="129">
        <v>1</v>
      </c>
      <c r="AU335" s="129">
        <v>1</v>
      </c>
      <c r="AV335" s="129">
        <v>1</v>
      </c>
      <c r="AW335" s="129">
        <v>1</v>
      </c>
      <c r="AX335" s="197">
        <v>1</v>
      </c>
      <c r="AY335" s="197">
        <v>1</v>
      </c>
      <c r="AZ335" s="197">
        <v>1</v>
      </c>
      <c r="BA335" s="197">
        <v>1</v>
      </c>
      <c r="BB335" s="129">
        <v>1</v>
      </c>
      <c r="BC335" s="129">
        <v>1</v>
      </c>
      <c r="BD335" s="129">
        <v>1</v>
      </c>
      <c r="BE335" s="129">
        <v>1</v>
      </c>
      <c r="BF335" s="129">
        <v>1</v>
      </c>
      <c r="BG335" s="129">
        <v>1</v>
      </c>
      <c r="BH335" s="129">
        <v>1</v>
      </c>
      <c r="BI335" s="129">
        <v>1</v>
      </c>
      <c r="BJ335" s="129">
        <v>1</v>
      </c>
      <c r="BK335" s="129">
        <v>1</v>
      </c>
      <c r="BL335" s="129">
        <v>1</v>
      </c>
      <c r="BM335" s="197">
        <v>1</v>
      </c>
    </row>
    <row r="336" spans="1:65" x14ac:dyDescent="0.25">
      <c r="A336" s="121" t="s">
        <v>134</v>
      </c>
      <c r="B336" s="121" t="s">
        <v>25</v>
      </c>
      <c r="C336" s="172" t="s">
        <v>222</v>
      </c>
      <c r="D336" s="161">
        <v>10</v>
      </c>
      <c r="E336" s="29" t="str">
        <f>INDEX(ra_ScName,MATCH(D336,ra_ScNumber,0))</f>
        <v>Disclosed nominal return (incl actual asset revaluations)</v>
      </c>
      <c r="F336" s="122">
        <v>0</v>
      </c>
      <c r="G336" s="122">
        <v>0</v>
      </c>
      <c r="H336" s="122">
        <v>0</v>
      </c>
      <c r="I336" s="122">
        <v>0</v>
      </c>
      <c r="J336" s="122">
        <v>0</v>
      </c>
      <c r="K336" s="122">
        <v>0</v>
      </c>
      <c r="L336" s="122">
        <v>0</v>
      </c>
      <c r="M336" s="122">
        <v>0</v>
      </c>
      <c r="N336" s="122">
        <v>0</v>
      </c>
      <c r="O336" s="122">
        <v>0</v>
      </c>
      <c r="P336" s="122">
        <v>0</v>
      </c>
      <c r="Q336" s="122">
        <v>0</v>
      </c>
      <c r="R336" s="122">
        <v>0</v>
      </c>
      <c r="S336" s="122">
        <v>0</v>
      </c>
      <c r="T336" s="122">
        <v>0</v>
      </c>
      <c r="U336" s="122">
        <v>0</v>
      </c>
      <c r="V336" s="122">
        <v>0</v>
      </c>
      <c r="W336" s="122">
        <v>0</v>
      </c>
      <c r="X336" s="122">
        <v>0</v>
      </c>
      <c r="Y336" s="122">
        <v>0</v>
      </c>
      <c r="Z336" s="122">
        <v>0</v>
      </c>
      <c r="AA336" s="122">
        <v>0</v>
      </c>
      <c r="AB336" s="122">
        <v>0</v>
      </c>
      <c r="AC336" s="122">
        <v>0</v>
      </c>
      <c r="AD336" s="122">
        <v>0</v>
      </c>
      <c r="AE336" s="122">
        <v>0</v>
      </c>
      <c r="AF336" s="122">
        <v>0</v>
      </c>
      <c r="AG336" s="122">
        <v>0</v>
      </c>
      <c r="AH336" s="122">
        <v>0</v>
      </c>
      <c r="AI336" s="117">
        <f t="shared" si="8"/>
        <v>0</v>
      </c>
      <c r="AJ336" s="117">
        <f>SUM(F336:U336)</f>
        <v>0</v>
      </c>
      <c r="AK336" s="117">
        <f t="shared" si="9"/>
        <v>0</v>
      </c>
      <c r="AL336" s="23"/>
      <c r="AM336" s="127" t="b">
        <f>IF(INDEX($AO336:$BM336,0,$F$14)=1,TRUE,FALSE)</f>
        <v>1</v>
      </c>
      <c r="AN336" s="127" t="str">
        <f>IF(AM336,A336&amp;", "&amp;B336,"")</f>
        <v>Input methodology claw-back, 2012/13</v>
      </c>
      <c r="AO336" s="129"/>
      <c r="AP336" s="129"/>
      <c r="AQ336" s="129">
        <v>1</v>
      </c>
      <c r="AR336" s="129">
        <v>1</v>
      </c>
      <c r="AS336" s="129">
        <v>1</v>
      </c>
      <c r="AT336" s="129">
        <v>1</v>
      </c>
      <c r="AU336" s="129">
        <v>1</v>
      </c>
      <c r="AV336" s="129">
        <v>1</v>
      </c>
      <c r="AW336" s="129">
        <v>1</v>
      </c>
      <c r="AX336" s="197">
        <v>1</v>
      </c>
      <c r="AY336" s="197">
        <v>1</v>
      </c>
      <c r="AZ336" s="197">
        <v>1</v>
      </c>
      <c r="BA336" s="197">
        <v>1</v>
      </c>
      <c r="BB336" s="129">
        <v>1</v>
      </c>
      <c r="BC336" s="129">
        <v>1</v>
      </c>
      <c r="BD336" s="129">
        <v>1</v>
      </c>
      <c r="BE336" s="129">
        <v>1</v>
      </c>
      <c r="BF336" s="129">
        <v>1</v>
      </c>
      <c r="BG336" s="129">
        <v>1</v>
      </c>
      <c r="BH336" s="129">
        <v>1</v>
      </c>
      <c r="BI336" s="129">
        <v>1</v>
      </c>
      <c r="BJ336" s="129">
        <v>1</v>
      </c>
      <c r="BK336" s="129">
        <v>1</v>
      </c>
      <c r="BL336" s="129">
        <v>1</v>
      </c>
      <c r="BM336" s="197">
        <v>1</v>
      </c>
    </row>
    <row r="337" spans="1:65" x14ac:dyDescent="0.25">
      <c r="A337" s="121" t="s">
        <v>134</v>
      </c>
      <c r="B337" s="121" t="s">
        <v>26</v>
      </c>
      <c r="C337" s="172" t="s">
        <v>222</v>
      </c>
      <c r="D337" s="161">
        <v>10</v>
      </c>
      <c r="E337" s="29" t="str">
        <f>INDEX(ra_ScName,MATCH(D337,ra_ScNumber,0))</f>
        <v>Disclosed nominal return (incl actual asset revaluations)</v>
      </c>
      <c r="F337" s="122">
        <v>0</v>
      </c>
      <c r="G337" s="122">
        <v>0</v>
      </c>
      <c r="H337" s="122">
        <v>0</v>
      </c>
      <c r="I337" s="122">
        <v>0</v>
      </c>
      <c r="J337" s="122">
        <v>0</v>
      </c>
      <c r="K337" s="122">
        <v>0</v>
      </c>
      <c r="L337" s="122">
        <v>0</v>
      </c>
      <c r="M337" s="122">
        <v>0</v>
      </c>
      <c r="N337" s="122">
        <v>0</v>
      </c>
      <c r="O337" s="122">
        <v>0</v>
      </c>
      <c r="P337" s="122">
        <v>0</v>
      </c>
      <c r="Q337" s="122">
        <v>0</v>
      </c>
      <c r="R337" s="122">
        <v>0</v>
      </c>
      <c r="S337" s="122">
        <v>0</v>
      </c>
      <c r="T337" s="122">
        <v>0</v>
      </c>
      <c r="U337" s="122">
        <v>0</v>
      </c>
      <c r="V337" s="122">
        <v>0</v>
      </c>
      <c r="W337" s="122">
        <v>0</v>
      </c>
      <c r="X337" s="122">
        <v>0</v>
      </c>
      <c r="Y337" s="122">
        <v>0</v>
      </c>
      <c r="Z337" s="122">
        <v>0</v>
      </c>
      <c r="AA337" s="122">
        <v>0</v>
      </c>
      <c r="AB337" s="122">
        <v>0</v>
      </c>
      <c r="AC337" s="122">
        <v>0</v>
      </c>
      <c r="AD337" s="122">
        <v>0</v>
      </c>
      <c r="AE337" s="122">
        <v>0</v>
      </c>
      <c r="AF337" s="122">
        <v>0</v>
      </c>
      <c r="AG337" s="122">
        <v>0</v>
      </c>
      <c r="AH337" s="122">
        <v>0</v>
      </c>
      <c r="AI337" s="117">
        <f t="shared" si="8"/>
        <v>0</v>
      </c>
      <c r="AJ337" s="117">
        <f>SUM(F337:U337)</f>
        <v>0</v>
      </c>
      <c r="AK337" s="117">
        <f t="shared" si="9"/>
        <v>0</v>
      </c>
      <c r="AL337" s="23"/>
      <c r="AM337" s="127" t="b">
        <f>IF(INDEX($AO337:$BM337,0,$F$14)=1,TRUE,FALSE)</f>
        <v>1</v>
      </c>
      <c r="AN337" s="127" t="str">
        <f>IF(AM337,A337&amp;", "&amp;B337,"")</f>
        <v>Input methodology claw-back, 2013/14</v>
      </c>
      <c r="AO337" s="129"/>
      <c r="AP337" s="129"/>
      <c r="AQ337" s="129">
        <v>1</v>
      </c>
      <c r="AR337" s="129">
        <v>1</v>
      </c>
      <c r="AS337" s="129">
        <v>1</v>
      </c>
      <c r="AT337" s="129">
        <v>1</v>
      </c>
      <c r="AU337" s="129">
        <v>1</v>
      </c>
      <c r="AV337" s="129">
        <v>1</v>
      </c>
      <c r="AW337" s="129">
        <v>1</v>
      </c>
      <c r="AX337" s="197">
        <v>1</v>
      </c>
      <c r="AY337" s="197">
        <v>1</v>
      </c>
      <c r="AZ337" s="197">
        <v>1</v>
      </c>
      <c r="BA337" s="197">
        <v>1</v>
      </c>
      <c r="BB337" s="129">
        <v>1</v>
      </c>
      <c r="BC337" s="129">
        <v>1</v>
      </c>
      <c r="BD337" s="129">
        <v>1</v>
      </c>
      <c r="BE337" s="129">
        <v>1</v>
      </c>
      <c r="BF337" s="129">
        <v>1</v>
      </c>
      <c r="BG337" s="129">
        <v>1</v>
      </c>
      <c r="BH337" s="129">
        <v>1</v>
      </c>
      <c r="BI337" s="129">
        <v>1</v>
      </c>
      <c r="BJ337" s="129">
        <v>1</v>
      </c>
      <c r="BK337" s="129">
        <v>1</v>
      </c>
      <c r="BL337" s="129">
        <v>1</v>
      </c>
      <c r="BM337" s="197">
        <v>1</v>
      </c>
    </row>
    <row r="338" spans="1:65" x14ac:dyDescent="0.25">
      <c r="A338" s="121" t="s">
        <v>134</v>
      </c>
      <c r="B338" s="121" t="s">
        <v>27</v>
      </c>
      <c r="C338" s="172" t="s">
        <v>222</v>
      </c>
      <c r="D338" s="161">
        <v>10</v>
      </c>
      <c r="E338" s="29" t="str">
        <f>INDEX(ra_ScName,MATCH(D338,ra_ScNumber,0))</f>
        <v>Disclosed nominal return (incl actual asset revaluations)</v>
      </c>
      <c r="F338" s="122">
        <v>0</v>
      </c>
      <c r="G338" s="122">
        <v>0</v>
      </c>
      <c r="H338" s="122">
        <v>0</v>
      </c>
      <c r="I338" s="122">
        <v>0</v>
      </c>
      <c r="J338" s="122">
        <v>0</v>
      </c>
      <c r="K338" s="122">
        <v>0</v>
      </c>
      <c r="L338" s="122">
        <v>0</v>
      </c>
      <c r="M338" s="122">
        <v>0</v>
      </c>
      <c r="N338" s="122">
        <v>0</v>
      </c>
      <c r="O338" s="122">
        <v>0</v>
      </c>
      <c r="P338" s="122">
        <v>0</v>
      </c>
      <c r="Q338" s="122">
        <v>0</v>
      </c>
      <c r="R338" s="122">
        <v>0</v>
      </c>
      <c r="S338" s="122">
        <v>0</v>
      </c>
      <c r="T338" s="122">
        <v>0</v>
      </c>
      <c r="U338" s="122">
        <v>0</v>
      </c>
      <c r="V338" s="122">
        <v>0</v>
      </c>
      <c r="W338" s="122">
        <v>0</v>
      </c>
      <c r="X338" s="122">
        <v>0</v>
      </c>
      <c r="Y338" s="122">
        <v>0</v>
      </c>
      <c r="Z338" s="122">
        <v>0</v>
      </c>
      <c r="AA338" s="122">
        <v>0</v>
      </c>
      <c r="AB338" s="122">
        <v>0</v>
      </c>
      <c r="AC338" s="122">
        <v>0</v>
      </c>
      <c r="AD338" s="122">
        <v>0</v>
      </c>
      <c r="AE338" s="122">
        <v>0</v>
      </c>
      <c r="AF338" s="122">
        <v>0</v>
      </c>
      <c r="AG338" s="122">
        <v>0</v>
      </c>
      <c r="AH338" s="122">
        <v>0</v>
      </c>
      <c r="AI338" s="117">
        <f t="shared" si="8"/>
        <v>0</v>
      </c>
      <c r="AJ338" s="117">
        <f>SUM(F338:U338)</f>
        <v>0</v>
      </c>
      <c r="AK338" s="117">
        <f t="shared" si="9"/>
        <v>0</v>
      </c>
      <c r="AL338" s="23"/>
      <c r="AM338" s="127" t="b">
        <f>IF(INDEX($AO338:$BM338,0,$F$14)=1,TRUE,FALSE)</f>
        <v>1</v>
      </c>
      <c r="AN338" s="127" t="str">
        <f>IF(AM338,A338&amp;", "&amp;B338,"")</f>
        <v>Input methodology claw-back, 2014/15</v>
      </c>
      <c r="AO338" s="129"/>
      <c r="AP338" s="129"/>
      <c r="AQ338" s="129">
        <v>1</v>
      </c>
      <c r="AR338" s="129">
        <v>1</v>
      </c>
      <c r="AS338" s="129">
        <v>1</v>
      </c>
      <c r="AT338" s="129">
        <v>1</v>
      </c>
      <c r="AU338" s="129">
        <v>1</v>
      </c>
      <c r="AV338" s="129">
        <v>1</v>
      </c>
      <c r="AW338" s="129">
        <v>1</v>
      </c>
      <c r="AX338" s="197">
        <v>1</v>
      </c>
      <c r="AY338" s="197">
        <v>1</v>
      </c>
      <c r="AZ338" s="197">
        <v>1</v>
      </c>
      <c r="BA338" s="197">
        <v>1</v>
      </c>
      <c r="BB338" s="129">
        <v>1</v>
      </c>
      <c r="BC338" s="129">
        <v>1</v>
      </c>
      <c r="BD338" s="129">
        <v>1</v>
      </c>
      <c r="BE338" s="129">
        <v>1</v>
      </c>
      <c r="BF338" s="129">
        <v>1</v>
      </c>
      <c r="BG338" s="129">
        <v>1</v>
      </c>
      <c r="BH338" s="129">
        <v>1</v>
      </c>
      <c r="BI338" s="129">
        <v>1</v>
      </c>
      <c r="BJ338" s="129">
        <v>1</v>
      </c>
      <c r="BK338" s="129">
        <v>1</v>
      </c>
      <c r="BL338" s="129">
        <v>1</v>
      </c>
      <c r="BM338" s="197">
        <v>1</v>
      </c>
    </row>
    <row r="339" spans="1:65" x14ac:dyDescent="0.25">
      <c r="A339" s="121"/>
      <c r="B339" s="121"/>
      <c r="C339" s="172"/>
      <c r="D339" s="49"/>
      <c r="E339" s="49"/>
      <c r="F339" s="54"/>
      <c r="G339" s="54"/>
      <c r="H339" s="54"/>
      <c r="I339" s="54"/>
      <c r="J339" s="54"/>
      <c r="K339" s="54"/>
      <c r="L339" s="54"/>
      <c r="M339" s="54"/>
      <c r="N339" s="54"/>
      <c r="O339" s="54"/>
      <c r="P339" s="54"/>
      <c r="Q339" s="54"/>
      <c r="R339" s="54"/>
      <c r="S339" s="54"/>
      <c r="T339" s="54"/>
      <c r="U339" s="54"/>
      <c r="V339" s="54"/>
      <c r="W339" s="55"/>
      <c r="X339" s="55"/>
      <c r="Y339" s="55"/>
      <c r="Z339" s="55"/>
      <c r="AA339" s="55"/>
      <c r="AB339" s="55"/>
      <c r="AC339" s="55"/>
      <c r="AD339" s="55"/>
      <c r="AE339" s="55"/>
      <c r="AF339" s="55"/>
      <c r="AG339" s="55"/>
      <c r="AH339" s="55"/>
      <c r="AI339" s="54"/>
      <c r="AJ339" s="54"/>
      <c r="AK339" s="54"/>
      <c r="AL339" s="23"/>
      <c r="AM339" s="127"/>
      <c r="AN339" s="127"/>
      <c r="AO339" s="129"/>
      <c r="AP339" s="129"/>
      <c r="AQ339" s="129"/>
      <c r="AR339" s="129"/>
      <c r="AS339" s="129"/>
      <c r="AT339" s="129"/>
      <c r="AU339" s="129"/>
      <c r="AV339" s="129"/>
      <c r="AW339" s="129"/>
      <c r="AX339" s="197"/>
      <c r="AY339" s="197"/>
      <c r="AZ339" s="197"/>
      <c r="BA339" s="197"/>
      <c r="BB339" s="129"/>
      <c r="BC339" s="129"/>
      <c r="BD339" s="129"/>
      <c r="BE339" s="129"/>
      <c r="BF339" s="129"/>
      <c r="BG339" s="129"/>
      <c r="BH339" s="129"/>
      <c r="BI339" s="129"/>
      <c r="BJ339" s="129"/>
      <c r="BK339" s="129"/>
      <c r="BL339" s="129"/>
      <c r="BM339" s="197"/>
    </row>
    <row r="340" spans="1:65" x14ac:dyDescent="0.25">
      <c r="A340" s="121"/>
      <c r="B340" s="121"/>
      <c r="C340" s="172"/>
      <c r="D340" s="46"/>
      <c r="E340" s="46"/>
      <c r="F340" s="54"/>
      <c r="G340" s="54"/>
      <c r="H340" s="54"/>
      <c r="I340" s="54"/>
      <c r="J340" s="54"/>
      <c r="K340" s="54"/>
      <c r="L340" s="54"/>
      <c r="M340" s="54"/>
      <c r="N340" s="54"/>
      <c r="O340" s="54"/>
      <c r="P340" s="54"/>
      <c r="Q340" s="54"/>
      <c r="R340" s="54"/>
      <c r="S340" s="54"/>
      <c r="T340" s="54"/>
      <c r="U340" s="54"/>
      <c r="V340" s="54"/>
      <c r="W340" s="55"/>
      <c r="X340" s="55"/>
      <c r="Y340" s="55"/>
      <c r="Z340" s="55"/>
      <c r="AA340" s="55"/>
      <c r="AB340" s="55"/>
      <c r="AC340" s="55"/>
      <c r="AD340" s="55"/>
      <c r="AE340" s="55"/>
      <c r="AF340" s="55"/>
      <c r="AG340" s="55"/>
      <c r="AH340" s="55"/>
      <c r="AI340" s="54"/>
      <c r="AJ340" s="54"/>
      <c r="AK340" s="54"/>
      <c r="AL340" s="23"/>
      <c r="AM340" s="127"/>
      <c r="AN340" s="127"/>
      <c r="AO340" s="129"/>
      <c r="AP340" s="129"/>
      <c r="AQ340" s="129"/>
      <c r="AR340" s="129"/>
      <c r="AS340" s="129"/>
      <c r="AT340" s="129"/>
      <c r="AU340" s="129"/>
      <c r="AV340" s="129"/>
      <c r="AW340" s="129"/>
      <c r="AX340" s="197"/>
      <c r="AY340" s="197"/>
      <c r="AZ340" s="197"/>
      <c r="BA340" s="197"/>
      <c r="BB340" s="129"/>
      <c r="BC340" s="129"/>
      <c r="BD340" s="129"/>
      <c r="BE340" s="129"/>
      <c r="BF340" s="129"/>
      <c r="BG340" s="129"/>
      <c r="BH340" s="129"/>
      <c r="BI340" s="129"/>
      <c r="BJ340" s="129"/>
      <c r="BK340" s="129"/>
      <c r="BL340" s="129"/>
      <c r="BM340" s="197"/>
    </row>
    <row r="341" spans="1:65" x14ac:dyDescent="0.25">
      <c r="A341" s="121" t="s">
        <v>135</v>
      </c>
      <c r="B341" s="121" t="s">
        <v>23</v>
      </c>
      <c r="C341" s="172" t="s">
        <v>222</v>
      </c>
      <c r="D341" s="161">
        <v>1</v>
      </c>
      <c r="E341" s="29" t="str">
        <f>INDEX(ra_ScName,MATCH(D341,ra_ScNumber,0))</f>
        <v>Expected nominal return (incl forecast asset revaluations)</v>
      </c>
      <c r="F341" s="54"/>
      <c r="G341" s="54"/>
      <c r="H341" s="54"/>
      <c r="I341" s="54"/>
      <c r="J341" s="54"/>
      <c r="K341" s="54"/>
      <c r="L341" s="54"/>
      <c r="M341" s="54"/>
      <c r="N341" s="54"/>
      <c r="O341" s="54"/>
      <c r="P341" s="54"/>
      <c r="Q341" s="54"/>
      <c r="R341" s="54"/>
      <c r="S341" s="54"/>
      <c r="T341" s="54"/>
      <c r="U341" s="54"/>
      <c r="V341" s="54"/>
      <c r="W341" s="54"/>
      <c r="X341" s="54"/>
      <c r="Y341" s="54"/>
      <c r="Z341" s="54"/>
      <c r="AA341" s="54"/>
      <c r="AB341" s="54"/>
      <c r="AC341" s="54"/>
      <c r="AD341" s="54"/>
      <c r="AE341" s="54"/>
      <c r="AF341" s="54"/>
      <c r="AG341" s="54"/>
      <c r="AH341" s="54"/>
      <c r="AI341" s="117">
        <f t="shared" si="8"/>
        <v>0</v>
      </c>
      <c r="AJ341" s="117">
        <f>SUM(F341:U341)</f>
        <v>0</v>
      </c>
      <c r="AK341" s="117">
        <f t="shared" si="9"/>
        <v>0</v>
      </c>
      <c r="AL341" s="23"/>
      <c r="AM341" s="127" t="b">
        <f>IF(INDEX($AO341:$BM341,0,$F$14)=1,TRUE,FALSE)</f>
        <v>0</v>
      </c>
      <c r="AN341" s="127" t="str">
        <f>IF(AM341,A341&amp;", "&amp;B341,"")</f>
        <v/>
      </c>
      <c r="AO341" s="129">
        <v>1</v>
      </c>
      <c r="AP341" s="129">
        <v>1</v>
      </c>
      <c r="AQ341" s="129"/>
      <c r="AR341" s="129"/>
      <c r="AS341" s="129"/>
      <c r="AT341" s="129"/>
      <c r="AU341" s="129"/>
      <c r="AV341" s="129"/>
      <c r="AW341" s="129"/>
      <c r="AX341" s="197"/>
      <c r="AY341" s="197"/>
      <c r="AZ341" s="197"/>
      <c r="BA341" s="197"/>
      <c r="BB341" s="129"/>
      <c r="BC341" s="129"/>
      <c r="BD341" s="129"/>
      <c r="BE341" s="129"/>
      <c r="BF341" s="129"/>
      <c r="BG341" s="129"/>
      <c r="BH341" s="129"/>
      <c r="BI341" s="129"/>
      <c r="BJ341" s="129"/>
      <c r="BK341" s="129"/>
      <c r="BL341" s="129"/>
      <c r="BM341" s="197"/>
    </row>
    <row r="342" spans="1:65" x14ac:dyDescent="0.25">
      <c r="A342" s="121" t="s">
        <v>135</v>
      </c>
      <c r="B342" s="121" t="s">
        <v>24</v>
      </c>
      <c r="C342" s="172" t="s">
        <v>222</v>
      </c>
      <c r="D342" s="161">
        <v>1</v>
      </c>
      <c r="E342" s="29" t="str">
        <f>INDEX(ra_ScName,MATCH(D342,ra_ScNumber,0))</f>
        <v>Expected nominal return (incl forecast asset revaluations)</v>
      </c>
      <c r="F342" s="54"/>
      <c r="G342" s="54"/>
      <c r="H342" s="54"/>
      <c r="I342" s="54"/>
      <c r="J342" s="54"/>
      <c r="K342" s="54"/>
      <c r="L342" s="54"/>
      <c r="M342" s="54"/>
      <c r="N342" s="54"/>
      <c r="O342" s="54"/>
      <c r="P342" s="54"/>
      <c r="Q342" s="54"/>
      <c r="R342" s="54"/>
      <c r="S342" s="54"/>
      <c r="T342" s="54"/>
      <c r="U342" s="54"/>
      <c r="V342" s="54"/>
      <c r="W342" s="54"/>
      <c r="X342" s="54"/>
      <c r="Y342" s="54"/>
      <c r="Z342" s="54"/>
      <c r="AA342" s="54"/>
      <c r="AB342" s="54"/>
      <c r="AC342" s="54"/>
      <c r="AD342" s="54"/>
      <c r="AE342" s="54"/>
      <c r="AF342" s="54"/>
      <c r="AG342" s="54"/>
      <c r="AH342" s="54"/>
      <c r="AI342" s="117">
        <f t="shared" si="8"/>
        <v>0</v>
      </c>
      <c r="AJ342" s="117">
        <f>SUM(F342:U342)</f>
        <v>0</v>
      </c>
      <c r="AK342" s="117">
        <f t="shared" si="9"/>
        <v>0</v>
      </c>
      <c r="AL342" s="23"/>
      <c r="AM342" s="127" t="b">
        <f>IF(INDEX($AO342:$BM342,0,$F$14)=1,TRUE,FALSE)</f>
        <v>0</v>
      </c>
      <c r="AN342" s="127" t="str">
        <f>IF(AM342,A342&amp;", "&amp;B342,"")</f>
        <v/>
      </c>
      <c r="AO342" s="129">
        <v>1</v>
      </c>
      <c r="AP342" s="129">
        <v>1</v>
      </c>
      <c r="AQ342" s="129"/>
      <c r="AR342" s="129"/>
      <c r="AS342" s="129"/>
      <c r="AT342" s="129"/>
      <c r="AU342" s="129"/>
      <c r="AV342" s="129"/>
      <c r="AW342" s="129"/>
      <c r="AX342" s="197"/>
      <c r="AY342" s="197"/>
      <c r="AZ342" s="197"/>
      <c r="BA342" s="197"/>
      <c r="BB342" s="129"/>
      <c r="BC342" s="129"/>
      <c r="BD342" s="129"/>
      <c r="BE342" s="129"/>
      <c r="BF342" s="129"/>
      <c r="BG342" s="129"/>
      <c r="BH342" s="129"/>
      <c r="BI342" s="129"/>
      <c r="BJ342" s="129"/>
      <c r="BK342" s="129"/>
      <c r="BL342" s="129"/>
      <c r="BM342" s="197"/>
    </row>
    <row r="343" spans="1:65" x14ac:dyDescent="0.25">
      <c r="A343" s="121" t="s">
        <v>135</v>
      </c>
      <c r="B343" s="121" t="s">
        <v>25</v>
      </c>
      <c r="C343" s="172" t="s">
        <v>222</v>
      </c>
      <c r="D343" s="161">
        <v>1</v>
      </c>
      <c r="E343" s="29" t="str">
        <f>INDEX(ra_ScName,MATCH(D343,ra_ScNumber,0))</f>
        <v>Expected nominal return (incl forecast asset revaluations)</v>
      </c>
      <c r="F343" s="54"/>
      <c r="G343" s="54"/>
      <c r="H343" s="54"/>
      <c r="I343" s="54"/>
      <c r="J343" s="54"/>
      <c r="K343" s="54"/>
      <c r="L343" s="54"/>
      <c r="M343" s="54"/>
      <c r="N343" s="54"/>
      <c r="O343" s="54"/>
      <c r="P343" s="54"/>
      <c r="Q343" s="54"/>
      <c r="R343" s="54"/>
      <c r="S343" s="54"/>
      <c r="T343" s="54"/>
      <c r="U343" s="54"/>
      <c r="V343" s="54"/>
      <c r="W343" s="54"/>
      <c r="X343" s="54"/>
      <c r="Y343" s="54"/>
      <c r="Z343" s="54"/>
      <c r="AA343" s="54"/>
      <c r="AB343" s="54"/>
      <c r="AC343" s="54"/>
      <c r="AD343" s="54"/>
      <c r="AE343" s="54"/>
      <c r="AF343" s="54"/>
      <c r="AG343" s="54"/>
      <c r="AH343" s="54"/>
      <c r="AI343" s="117">
        <f t="shared" si="8"/>
        <v>0</v>
      </c>
      <c r="AJ343" s="117">
        <f>SUM(F343:U343)</f>
        <v>0</v>
      </c>
      <c r="AK343" s="117">
        <f t="shared" si="9"/>
        <v>0</v>
      </c>
      <c r="AL343" s="23"/>
      <c r="AM343" s="127" t="b">
        <f>IF(INDEX($AO343:$BM343,0,$F$14)=1,TRUE,FALSE)</f>
        <v>0</v>
      </c>
      <c r="AN343" s="127" t="str">
        <f>IF(AM343,A343&amp;", "&amp;B343,"")</f>
        <v/>
      </c>
      <c r="AO343" s="129">
        <v>1</v>
      </c>
      <c r="AP343" s="129">
        <v>1</v>
      </c>
      <c r="AQ343" s="129"/>
      <c r="AR343" s="129"/>
      <c r="AS343" s="129"/>
      <c r="AT343" s="129"/>
      <c r="AU343" s="129"/>
      <c r="AV343" s="129"/>
      <c r="AW343" s="129"/>
      <c r="AX343" s="197"/>
      <c r="AY343" s="197"/>
      <c r="AZ343" s="197"/>
      <c r="BA343" s="197"/>
      <c r="BB343" s="129"/>
      <c r="BC343" s="129"/>
      <c r="BD343" s="129"/>
      <c r="BE343" s="129"/>
      <c r="BF343" s="129"/>
      <c r="BG343" s="129"/>
      <c r="BH343" s="129"/>
      <c r="BI343" s="129"/>
      <c r="BJ343" s="129"/>
      <c r="BK343" s="129"/>
      <c r="BL343" s="129"/>
      <c r="BM343" s="197"/>
    </row>
    <row r="344" spans="1:65" x14ac:dyDescent="0.25">
      <c r="A344" s="121" t="s">
        <v>135</v>
      </c>
      <c r="B344" s="121" t="s">
        <v>26</v>
      </c>
      <c r="C344" s="172" t="s">
        <v>222</v>
      </c>
      <c r="D344" s="161">
        <v>1</v>
      </c>
      <c r="E344" s="29" t="str">
        <f>INDEX(ra_ScName,MATCH(D344,ra_ScNumber,0))</f>
        <v>Expected nominal return (incl forecast asset revaluations)</v>
      </c>
      <c r="F344" s="54"/>
      <c r="G344" s="54"/>
      <c r="H344" s="54"/>
      <c r="I344" s="54"/>
      <c r="J344" s="54"/>
      <c r="K344" s="54"/>
      <c r="L344" s="54"/>
      <c r="M344" s="54"/>
      <c r="N344" s="54"/>
      <c r="O344" s="54"/>
      <c r="P344" s="54"/>
      <c r="Q344" s="54"/>
      <c r="R344" s="54"/>
      <c r="S344" s="54"/>
      <c r="T344" s="54"/>
      <c r="U344" s="54"/>
      <c r="V344" s="54"/>
      <c r="W344" s="54"/>
      <c r="X344" s="54"/>
      <c r="Y344" s="54"/>
      <c r="Z344" s="54"/>
      <c r="AA344" s="54"/>
      <c r="AB344" s="54"/>
      <c r="AC344" s="54"/>
      <c r="AD344" s="54"/>
      <c r="AE344" s="54"/>
      <c r="AF344" s="54"/>
      <c r="AG344" s="54"/>
      <c r="AH344" s="54"/>
      <c r="AI344" s="117">
        <f t="shared" si="8"/>
        <v>0</v>
      </c>
      <c r="AJ344" s="117">
        <f>SUM(F344:U344)</f>
        <v>0</v>
      </c>
      <c r="AK344" s="117">
        <f t="shared" si="9"/>
        <v>0</v>
      </c>
      <c r="AL344" s="23"/>
      <c r="AM344" s="127" t="b">
        <f>IF(INDEX($AO344:$BM344,0,$F$14)=1,TRUE,FALSE)</f>
        <v>0</v>
      </c>
      <c r="AN344" s="127" t="str">
        <f>IF(AM344,A344&amp;", "&amp;B344,"")</f>
        <v/>
      </c>
      <c r="AO344" s="129">
        <v>1</v>
      </c>
      <c r="AP344" s="129">
        <v>1</v>
      </c>
      <c r="AQ344" s="129"/>
      <c r="AR344" s="129"/>
      <c r="AS344" s="129"/>
      <c r="AT344" s="129"/>
      <c r="AU344" s="129"/>
      <c r="AV344" s="129"/>
      <c r="AW344" s="129"/>
      <c r="AX344" s="197"/>
      <c r="AY344" s="197"/>
      <c r="AZ344" s="197"/>
      <c r="BA344" s="197"/>
      <c r="BB344" s="129"/>
      <c r="BC344" s="129"/>
      <c r="BD344" s="129"/>
      <c r="BE344" s="129"/>
      <c r="BF344" s="129"/>
      <c r="BG344" s="129"/>
      <c r="BH344" s="129"/>
      <c r="BI344" s="129"/>
      <c r="BJ344" s="129"/>
      <c r="BK344" s="129"/>
      <c r="BL344" s="129"/>
      <c r="BM344" s="197"/>
    </row>
    <row r="345" spans="1:65" x14ac:dyDescent="0.25">
      <c r="A345" s="121" t="s">
        <v>135</v>
      </c>
      <c r="B345" s="121" t="s">
        <v>27</v>
      </c>
      <c r="C345" s="172" t="s">
        <v>222</v>
      </c>
      <c r="D345" s="161">
        <v>1</v>
      </c>
      <c r="E345" s="29" t="str">
        <f>INDEX(ra_ScName,MATCH(D345,ra_ScNumber,0))</f>
        <v>Expected nominal return (incl forecast asset revaluations)</v>
      </c>
      <c r="F345" s="54"/>
      <c r="G345" s="54"/>
      <c r="H345" s="54"/>
      <c r="I345" s="54"/>
      <c r="J345" s="54"/>
      <c r="K345" s="54"/>
      <c r="L345" s="54"/>
      <c r="M345" s="54"/>
      <c r="N345" s="54"/>
      <c r="O345" s="54"/>
      <c r="P345" s="54"/>
      <c r="Q345" s="54"/>
      <c r="R345" s="54"/>
      <c r="S345" s="54"/>
      <c r="T345" s="54"/>
      <c r="U345" s="54"/>
      <c r="V345" s="54"/>
      <c r="W345" s="54"/>
      <c r="X345" s="54"/>
      <c r="Y345" s="54"/>
      <c r="Z345" s="54"/>
      <c r="AA345" s="54"/>
      <c r="AB345" s="54"/>
      <c r="AC345" s="54"/>
      <c r="AD345" s="54"/>
      <c r="AE345" s="54"/>
      <c r="AF345" s="54"/>
      <c r="AG345" s="54"/>
      <c r="AH345" s="54"/>
      <c r="AI345" s="117">
        <f t="shared" si="8"/>
        <v>0</v>
      </c>
      <c r="AJ345" s="117">
        <f>SUM(F345:U345)</f>
        <v>0</v>
      </c>
      <c r="AK345" s="117">
        <f t="shared" si="9"/>
        <v>0</v>
      </c>
      <c r="AL345" s="23"/>
      <c r="AM345" s="127" t="b">
        <f>IF(INDEX($AO345:$BM345,0,$F$14)=1,TRUE,FALSE)</f>
        <v>0</v>
      </c>
      <c r="AN345" s="127" t="str">
        <f>IF(AM345,A345&amp;", "&amp;B345,"")</f>
        <v/>
      </c>
      <c r="AO345" s="129">
        <v>1</v>
      </c>
      <c r="AP345" s="129">
        <v>1</v>
      </c>
      <c r="AQ345" s="129"/>
      <c r="AR345" s="129"/>
      <c r="AS345" s="129"/>
      <c r="AT345" s="129"/>
      <c r="AU345" s="129"/>
      <c r="AV345" s="129"/>
      <c r="AW345" s="129"/>
      <c r="AX345" s="197"/>
      <c r="AY345" s="197"/>
      <c r="AZ345" s="197"/>
      <c r="BA345" s="197"/>
      <c r="BB345" s="129"/>
      <c r="BC345" s="129"/>
      <c r="BD345" s="129"/>
      <c r="BE345" s="129"/>
      <c r="BF345" s="129"/>
      <c r="BG345" s="129"/>
      <c r="BH345" s="129"/>
      <c r="BI345" s="129"/>
      <c r="BJ345" s="129"/>
      <c r="BK345" s="129"/>
      <c r="BL345" s="129"/>
      <c r="BM345" s="197"/>
    </row>
    <row r="346" spans="1:65" x14ac:dyDescent="0.25">
      <c r="A346" s="121"/>
      <c r="B346" s="121"/>
      <c r="C346" s="172"/>
      <c r="D346" s="49"/>
      <c r="E346" s="49"/>
      <c r="F346" s="54"/>
      <c r="G346" s="54"/>
      <c r="H346" s="54"/>
      <c r="I346" s="54"/>
      <c r="J346" s="54"/>
      <c r="K346" s="54"/>
      <c r="L346" s="54"/>
      <c r="M346" s="54"/>
      <c r="N346" s="54"/>
      <c r="O346" s="54"/>
      <c r="P346" s="54"/>
      <c r="Q346" s="54"/>
      <c r="R346" s="54"/>
      <c r="S346" s="54"/>
      <c r="T346" s="54"/>
      <c r="U346" s="54"/>
      <c r="V346" s="54"/>
      <c r="W346" s="55"/>
      <c r="X346" s="55"/>
      <c r="Y346" s="55"/>
      <c r="Z346" s="55"/>
      <c r="AA346" s="55"/>
      <c r="AB346" s="55"/>
      <c r="AC346" s="55"/>
      <c r="AD346" s="55"/>
      <c r="AE346" s="55"/>
      <c r="AF346" s="55"/>
      <c r="AG346" s="55"/>
      <c r="AH346" s="55"/>
      <c r="AI346" s="54"/>
      <c r="AJ346" s="54"/>
      <c r="AK346" s="54"/>
      <c r="AL346" s="23"/>
      <c r="AM346" s="127"/>
      <c r="AN346" s="127"/>
      <c r="AO346" s="129"/>
      <c r="AP346" s="129"/>
      <c r="AQ346" s="129"/>
      <c r="AR346" s="129"/>
      <c r="AS346" s="129"/>
      <c r="AT346" s="129"/>
      <c r="AU346" s="129"/>
      <c r="AV346" s="129"/>
      <c r="AW346" s="129"/>
      <c r="AX346" s="197"/>
      <c r="AY346" s="197"/>
      <c r="AZ346" s="197"/>
      <c r="BA346" s="197"/>
      <c r="BB346" s="129"/>
      <c r="BC346" s="129"/>
      <c r="BD346" s="129"/>
      <c r="BE346" s="129"/>
      <c r="BF346" s="129"/>
      <c r="BG346" s="129"/>
      <c r="BH346" s="129"/>
      <c r="BI346" s="129"/>
      <c r="BJ346" s="129"/>
      <c r="BK346" s="129"/>
      <c r="BL346" s="129"/>
      <c r="BM346" s="197"/>
    </row>
    <row r="347" spans="1:65" x14ac:dyDescent="0.25">
      <c r="A347" s="121"/>
      <c r="B347" s="121"/>
      <c r="C347" s="172"/>
      <c r="D347" s="46"/>
      <c r="E347" s="46"/>
      <c r="F347" s="54"/>
      <c r="G347" s="54"/>
      <c r="H347" s="54"/>
      <c r="I347" s="54"/>
      <c r="J347" s="54"/>
      <c r="K347" s="54"/>
      <c r="L347" s="54"/>
      <c r="M347" s="54"/>
      <c r="N347" s="54"/>
      <c r="O347" s="54"/>
      <c r="P347" s="54"/>
      <c r="Q347" s="54"/>
      <c r="R347" s="54"/>
      <c r="S347" s="54"/>
      <c r="T347" s="54"/>
      <c r="U347" s="54"/>
      <c r="V347" s="54"/>
      <c r="W347" s="55"/>
      <c r="X347" s="55"/>
      <c r="Y347" s="55"/>
      <c r="Z347" s="55"/>
      <c r="AA347" s="55"/>
      <c r="AB347" s="55"/>
      <c r="AC347" s="55"/>
      <c r="AD347" s="55"/>
      <c r="AE347" s="55"/>
      <c r="AF347" s="55"/>
      <c r="AG347" s="55"/>
      <c r="AH347" s="55"/>
      <c r="AI347" s="54"/>
      <c r="AJ347" s="54"/>
      <c r="AK347" s="54"/>
      <c r="AL347" s="23"/>
      <c r="AM347" s="127"/>
      <c r="AN347" s="127"/>
      <c r="AO347" s="129"/>
      <c r="AP347" s="129"/>
      <c r="AQ347" s="129"/>
      <c r="AR347" s="129"/>
      <c r="AS347" s="129"/>
      <c r="AT347" s="129"/>
      <c r="AU347" s="129"/>
      <c r="AV347" s="129"/>
      <c r="AW347" s="129"/>
      <c r="AX347" s="197"/>
      <c r="AY347" s="197"/>
      <c r="AZ347" s="197"/>
      <c r="BA347" s="197"/>
      <c r="BB347" s="129"/>
      <c r="BC347" s="129"/>
      <c r="BD347" s="129"/>
      <c r="BE347" s="129"/>
      <c r="BF347" s="129"/>
      <c r="BG347" s="129"/>
      <c r="BH347" s="129"/>
      <c r="BI347" s="129"/>
      <c r="BJ347" s="129"/>
      <c r="BK347" s="129"/>
      <c r="BL347" s="129"/>
      <c r="BM347" s="197"/>
    </row>
    <row r="348" spans="1:65" x14ac:dyDescent="0.25">
      <c r="A348" s="121" t="s">
        <v>135</v>
      </c>
      <c r="B348" s="121" t="s">
        <v>23</v>
      </c>
      <c r="C348" s="172" t="s">
        <v>222</v>
      </c>
      <c r="D348" s="161">
        <v>10</v>
      </c>
      <c r="E348" s="29" t="str">
        <f>INDEX(ra_ScName,MATCH(D348,ra_ScNumber,0))</f>
        <v>Disclosed nominal return (incl actual asset revaluations)</v>
      </c>
      <c r="F348" s="122">
        <v>0</v>
      </c>
      <c r="G348" s="122">
        <v>0</v>
      </c>
      <c r="H348" s="122">
        <v>0</v>
      </c>
      <c r="I348" s="122">
        <v>0</v>
      </c>
      <c r="J348" s="122">
        <v>0</v>
      </c>
      <c r="K348" s="122">
        <v>0</v>
      </c>
      <c r="L348" s="122">
        <v>0</v>
      </c>
      <c r="M348" s="122">
        <v>0</v>
      </c>
      <c r="N348" s="122">
        <v>0</v>
      </c>
      <c r="O348" s="122">
        <v>0</v>
      </c>
      <c r="P348" s="122">
        <v>0</v>
      </c>
      <c r="Q348" s="122">
        <v>0</v>
      </c>
      <c r="R348" s="122">
        <v>0</v>
      </c>
      <c r="S348" s="122">
        <v>0</v>
      </c>
      <c r="T348" s="122">
        <v>0</v>
      </c>
      <c r="U348" s="122">
        <v>0</v>
      </c>
      <c r="V348" s="122">
        <v>0</v>
      </c>
      <c r="W348" s="122">
        <v>0</v>
      </c>
      <c r="X348" s="122">
        <v>0</v>
      </c>
      <c r="Y348" s="122">
        <v>0</v>
      </c>
      <c r="Z348" s="122">
        <v>0</v>
      </c>
      <c r="AA348" s="122">
        <v>0</v>
      </c>
      <c r="AB348" s="122">
        <v>0</v>
      </c>
      <c r="AC348" s="122">
        <v>0</v>
      </c>
      <c r="AD348" s="122">
        <v>0</v>
      </c>
      <c r="AE348" s="122">
        <v>0</v>
      </c>
      <c r="AF348" s="122">
        <v>0</v>
      </c>
      <c r="AG348" s="122">
        <v>0</v>
      </c>
      <c r="AH348" s="122">
        <v>0</v>
      </c>
      <c r="AI348" s="117">
        <f t="shared" ref="AI348:AI408" si="10">SUM(F348:AH348)</f>
        <v>0</v>
      </c>
      <c r="AJ348" s="117">
        <f>SUM(F348:U348)</f>
        <v>0</v>
      </c>
      <c r="AK348" s="117">
        <f t="shared" ref="AK348:AK408" si="11">SUM(W348:AH348)</f>
        <v>0</v>
      </c>
      <c r="AL348" s="23"/>
      <c r="AM348" s="127" t="b">
        <f>IF(INDEX($AO348:$BM348,0,$F$14)=1,TRUE,FALSE)</f>
        <v>1</v>
      </c>
      <c r="AN348" s="127" t="str">
        <f>IF(AM348,A348&amp;", "&amp;B348,"")</f>
        <v>Recoverable customised price-quality path costs, 2010/11</v>
      </c>
      <c r="AO348" s="129"/>
      <c r="AP348" s="129"/>
      <c r="AQ348" s="129">
        <v>1</v>
      </c>
      <c r="AR348" s="129">
        <v>1</v>
      </c>
      <c r="AS348" s="129">
        <v>1</v>
      </c>
      <c r="AT348" s="129">
        <v>1</v>
      </c>
      <c r="AU348" s="129">
        <v>1</v>
      </c>
      <c r="AV348" s="129">
        <v>1</v>
      </c>
      <c r="AW348" s="129">
        <v>1</v>
      </c>
      <c r="AX348" s="197">
        <v>1</v>
      </c>
      <c r="AY348" s="197">
        <v>1</v>
      </c>
      <c r="AZ348" s="197">
        <v>1</v>
      </c>
      <c r="BA348" s="197">
        <v>1</v>
      </c>
      <c r="BB348" s="129">
        <v>1</v>
      </c>
      <c r="BC348" s="129">
        <v>1</v>
      </c>
      <c r="BD348" s="129">
        <v>1</v>
      </c>
      <c r="BE348" s="129">
        <v>1</v>
      </c>
      <c r="BF348" s="129">
        <v>1</v>
      </c>
      <c r="BG348" s="129">
        <v>1</v>
      </c>
      <c r="BH348" s="129">
        <v>1</v>
      </c>
      <c r="BI348" s="129">
        <v>1</v>
      </c>
      <c r="BJ348" s="129">
        <v>1</v>
      </c>
      <c r="BK348" s="129">
        <v>1</v>
      </c>
      <c r="BL348" s="129">
        <v>1</v>
      </c>
      <c r="BM348" s="197">
        <v>1</v>
      </c>
    </row>
    <row r="349" spans="1:65" x14ac:dyDescent="0.25">
      <c r="A349" s="121" t="s">
        <v>135</v>
      </c>
      <c r="B349" s="121" t="s">
        <v>24</v>
      </c>
      <c r="C349" s="172" t="s">
        <v>222</v>
      </c>
      <c r="D349" s="161">
        <v>10</v>
      </c>
      <c r="E349" s="29" t="str">
        <f>INDEX(ra_ScName,MATCH(D349,ra_ScNumber,0))</f>
        <v>Disclosed nominal return (incl actual asset revaluations)</v>
      </c>
      <c r="F349" s="122">
        <v>0</v>
      </c>
      <c r="G349" s="122">
        <v>0</v>
      </c>
      <c r="H349" s="122">
        <v>0</v>
      </c>
      <c r="I349" s="122">
        <v>0</v>
      </c>
      <c r="J349" s="122">
        <v>0</v>
      </c>
      <c r="K349" s="122">
        <v>0</v>
      </c>
      <c r="L349" s="122">
        <v>0</v>
      </c>
      <c r="M349" s="122">
        <v>0</v>
      </c>
      <c r="N349" s="122">
        <v>0</v>
      </c>
      <c r="O349" s="122">
        <v>0</v>
      </c>
      <c r="P349" s="122">
        <v>0</v>
      </c>
      <c r="Q349" s="122">
        <v>0</v>
      </c>
      <c r="R349" s="122">
        <v>0</v>
      </c>
      <c r="S349" s="122">
        <v>0</v>
      </c>
      <c r="T349" s="122">
        <v>0</v>
      </c>
      <c r="U349" s="122">
        <v>0</v>
      </c>
      <c r="V349" s="122">
        <v>0</v>
      </c>
      <c r="W349" s="122">
        <v>0</v>
      </c>
      <c r="X349" s="122">
        <v>0</v>
      </c>
      <c r="Y349" s="122">
        <v>0</v>
      </c>
      <c r="Z349" s="122">
        <v>0</v>
      </c>
      <c r="AA349" s="122">
        <v>0</v>
      </c>
      <c r="AB349" s="122">
        <v>0</v>
      </c>
      <c r="AC349" s="122">
        <v>0</v>
      </c>
      <c r="AD349" s="122">
        <v>0</v>
      </c>
      <c r="AE349" s="122">
        <v>0</v>
      </c>
      <c r="AF349" s="122">
        <v>0</v>
      </c>
      <c r="AG349" s="122">
        <v>0</v>
      </c>
      <c r="AH349" s="122">
        <v>0</v>
      </c>
      <c r="AI349" s="117">
        <f t="shared" si="10"/>
        <v>0</v>
      </c>
      <c r="AJ349" s="117">
        <f>SUM(F349:U349)</f>
        <v>0</v>
      </c>
      <c r="AK349" s="117">
        <f t="shared" si="11"/>
        <v>0</v>
      </c>
      <c r="AL349" s="23"/>
      <c r="AM349" s="127" t="b">
        <f>IF(INDEX($AO349:$BM349,0,$F$14)=1,TRUE,FALSE)</f>
        <v>1</v>
      </c>
      <c r="AN349" s="127" t="str">
        <f>IF(AM349,A349&amp;", "&amp;B349,"")</f>
        <v>Recoverable customised price-quality path costs, 2011/12</v>
      </c>
      <c r="AO349" s="129"/>
      <c r="AP349" s="129"/>
      <c r="AQ349" s="129">
        <v>1</v>
      </c>
      <c r="AR349" s="129">
        <v>1</v>
      </c>
      <c r="AS349" s="129">
        <v>1</v>
      </c>
      <c r="AT349" s="129">
        <v>1</v>
      </c>
      <c r="AU349" s="129">
        <v>1</v>
      </c>
      <c r="AV349" s="129">
        <v>1</v>
      </c>
      <c r="AW349" s="129">
        <v>1</v>
      </c>
      <c r="AX349" s="197">
        <v>1</v>
      </c>
      <c r="AY349" s="197">
        <v>1</v>
      </c>
      <c r="AZ349" s="197">
        <v>1</v>
      </c>
      <c r="BA349" s="197">
        <v>1</v>
      </c>
      <c r="BB349" s="129">
        <v>1</v>
      </c>
      <c r="BC349" s="129">
        <v>1</v>
      </c>
      <c r="BD349" s="129">
        <v>1</v>
      </c>
      <c r="BE349" s="129">
        <v>1</v>
      </c>
      <c r="BF349" s="129">
        <v>1</v>
      </c>
      <c r="BG349" s="129">
        <v>1</v>
      </c>
      <c r="BH349" s="129">
        <v>1</v>
      </c>
      <c r="BI349" s="129">
        <v>1</v>
      </c>
      <c r="BJ349" s="129">
        <v>1</v>
      </c>
      <c r="BK349" s="129">
        <v>1</v>
      </c>
      <c r="BL349" s="129">
        <v>1</v>
      </c>
      <c r="BM349" s="197">
        <v>1</v>
      </c>
    </row>
    <row r="350" spans="1:65" x14ac:dyDescent="0.25">
      <c r="A350" s="121" t="s">
        <v>135</v>
      </c>
      <c r="B350" s="121" t="s">
        <v>25</v>
      </c>
      <c r="C350" s="172" t="s">
        <v>222</v>
      </c>
      <c r="D350" s="161">
        <v>10</v>
      </c>
      <c r="E350" s="29" t="str">
        <f>INDEX(ra_ScName,MATCH(D350,ra_ScNumber,0))</f>
        <v>Disclosed nominal return (incl actual asset revaluations)</v>
      </c>
      <c r="F350" s="122">
        <v>0</v>
      </c>
      <c r="G350" s="122">
        <v>0</v>
      </c>
      <c r="H350" s="122">
        <v>0</v>
      </c>
      <c r="I350" s="122">
        <v>0</v>
      </c>
      <c r="J350" s="122">
        <v>0</v>
      </c>
      <c r="K350" s="122">
        <v>0</v>
      </c>
      <c r="L350" s="122">
        <v>0</v>
      </c>
      <c r="M350" s="122">
        <v>0</v>
      </c>
      <c r="N350" s="122">
        <v>0</v>
      </c>
      <c r="O350" s="122">
        <v>0</v>
      </c>
      <c r="P350" s="122">
        <v>0</v>
      </c>
      <c r="Q350" s="122">
        <v>0</v>
      </c>
      <c r="R350" s="122">
        <v>0</v>
      </c>
      <c r="S350" s="122">
        <v>0</v>
      </c>
      <c r="T350" s="122">
        <v>0</v>
      </c>
      <c r="U350" s="122">
        <v>0</v>
      </c>
      <c r="V350" s="122">
        <v>0</v>
      </c>
      <c r="W350" s="122">
        <v>0</v>
      </c>
      <c r="X350" s="122">
        <v>0</v>
      </c>
      <c r="Y350" s="122">
        <v>0</v>
      </c>
      <c r="Z350" s="122">
        <v>0</v>
      </c>
      <c r="AA350" s="122">
        <v>0</v>
      </c>
      <c r="AB350" s="122">
        <v>0</v>
      </c>
      <c r="AC350" s="122">
        <v>0</v>
      </c>
      <c r="AD350" s="122">
        <v>0</v>
      </c>
      <c r="AE350" s="122">
        <v>0</v>
      </c>
      <c r="AF350" s="122">
        <v>0</v>
      </c>
      <c r="AG350" s="122">
        <v>0</v>
      </c>
      <c r="AH350" s="122">
        <v>0</v>
      </c>
      <c r="AI350" s="117">
        <f t="shared" si="10"/>
        <v>0</v>
      </c>
      <c r="AJ350" s="117">
        <f>SUM(F350:U350)</f>
        <v>0</v>
      </c>
      <c r="AK350" s="117">
        <f t="shared" si="11"/>
        <v>0</v>
      </c>
      <c r="AL350" s="23"/>
      <c r="AM350" s="127" t="b">
        <f>IF(INDEX($AO350:$BM350,0,$F$14)=1,TRUE,FALSE)</f>
        <v>1</v>
      </c>
      <c r="AN350" s="127" t="str">
        <f>IF(AM350,A350&amp;", "&amp;B350,"")</f>
        <v>Recoverable customised price-quality path costs, 2012/13</v>
      </c>
      <c r="AO350" s="129"/>
      <c r="AP350" s="129"/>
      <c r="AQ350" s="129">
        <v>1</v>
      </c>
      <c r="AR350" s="129">
        <v>1</v>
      </c>
      <c r="AS350" s="129">
        <v>1</v>
      </c>
      <c r="AT350" s="129">
        <v>1</v>
      </c>
      <c r="AU350" s="129">
        <v>1</v>
      </c>
      <c r="AV350" s="129">
        <v>1</v>
      </c>
      <c r="AW350" s="129">
        <v>1</v>
      </c>
      <c r="AX350" s="197">
        <v>1</v>
      </c>
      <c r="AY350" s="197">
        <v>1</v>
      </c>
      <c r="AZ350" s="197">
        <v>1</v>
      </c>
      <c r="BA350" s="197">
        <v>1</v>
      </c>
      <c r="BB350" s="129">
        <v>1</v>
      </c>
      <c r="BC350" s="129">
        <v>1</v>
      </c>
      <c r="BD350" s="129">
        <v>1</v>
      </c>
      <c r="BE350" s="129">
        <v>1</v>
      </c>
      <c r="BF350" s="129">
        <v>1</v>
      </c>
      <c r="BG350" s="129">
        <v>1</v>
      </c>
      <c r="BH350" s="129">
        <v>1</v>
      </c>
      <c r="BI350" s="129">
        <v>1</v>
      </c>
      <c r="BJ350" s="129">
        <v>1</v>
      </c>
      <c r="BK350" s="129">
        <v>1</v>
      </c>
      <c r="BL350" s="129">
        <v>1</v>
      </c>
      <c r="BM350" s="197">
        <v>1</v>
      </c>
    </row>
    <row r="351" spans="1:65" x14ac:dyDescent="0.25">
      <c r="A351" s="121" t="s">
        <v>135</v>
      </c>
      <c r="B351" s="121" t="s">
        <v>26</v>
      </c>
      <c r="C351" s="172" t="s">
        <v>222</v>
      </c>
      <c r="D351" s="161">
        <v>10</v>
      </c>
      <c r="E351" s="29" t="str">
        <f>INDEX(ra_ScName,MATCH(D351,ra_ScNumber,0))</f>
        <v>Disclosed nominal return (incl actual asset revaluations)</v>
      </c>
      <c r="F351" s="122">
        <v>0</v>
      </c>
      <c r="G351" s="122">
        <v>0</v>
      </c>
      <c r="H351" s="122">
        <v>0</v>
      </c>
      <c r="I351" s="122">
        <v>0</v>
      </c>
      <c r="J351" s="122">
        <v>0</v>
      </c>
      <c r="K351" s="122">
        <v>0</v>
      </c>
      <c r="L351" s="122">
        <v>0</v>
      </c>
      <c r="M351" s="122">
        <v>0</v>
      </c>
      <c r="N351" s="122">
        <v>0</v>
      </c>
      <c r="O351" s="122">
        <v>0</v>
      </c>
      <c r="P351" s="122">
        <v>0</v>
      </c>
      <c r="Q351" s="122">
        <v>0</v>
      </c>
      <c r="R351" s="122">
        <v>0</v>
      </c>
      <c r="S351" s="122">
        <v>0</v>
      </c>
      <c r="T351" s="122">
        <v>0</v>
      </c>
      <c r="U351" s="122">
        <v>0</v>
      </c>
      <c r="V351" s="122">
        <v>0</v>
      </c>
      <c r="W351" s="122">
        <v>0</v>
      </c>
      <c r="X351" s="122">
        <v>0</v>
      </c>
      <c r="Y351" s="122">
        <v>0</v>
      </c>
      <c r="Z351" s="122">
        <v>0</v>
      </c>
      <c r="AA351" s="122">
        <v>0</v>
      </c>
      <c r="AB351" s="122">
        <v>0</v>
      </c>
      <c r="AC351" s="122">
        <v>0</v>
      </c>
      <c r="AD351" s="122">
        <v>0</v>
      </c>
      <c r="AE351" s="122">
        <v>0</v>
      </c>
      <c r="AF351" s="122">
        <v>0</v>
      </c>
      <c r="AG351" s="122">
        <v>0</v>
      </c>
      <c r="AH351" s="122">
        <v>0</v>
      </c>
      <c r="AI351" s="117">
        <f t="shared" si="10"/>
        <v>0</v>
      </c>
      <c r="AJ351" s="117">
        <f>SUM(F351:U351)</f>
        <v>0</v>
      </c>
      <c r="AK351" s="117">
        <f t="shared" si="11"/>
        <v>0</v>
      </c>
      <c r="AL351" s="23"/>
      <c r="AM351" s="127" t="b">
        <f>IF(INDEX($AO351:$BM351,0,$F$14)=1,TRUE,FALSE)</f>
        <v>1</v>
      </c>
      <c r="AN351" s="127" t="str">
        <f>IF(AM351,A351&amp;", "&amp;B351,"")</f>
        <v>Recoverable customised price-quality path costs, 2013/14</v>
      </c>
      <c r="AO351" s="129"/>
      <c r="AP351" s="129"/>
      <c r="AQ351" s="129">
        <v>1</v>
      </c>
      <c r="AR351" s="129">
        <v>1</v>
      </c>
      <c r="AS351" s="129">
        <v>1</v>
      </c>
      <c r="AT351" s="129">
        <v>1</v>
      </c>
      <c r="AU351" s="129">
        <v>1</v>
      </c>
      <c r="AV351" s="129">
        <v>1</v>
      </c>
      <c r="AW351" s="129">
        <v>1</v>
      </c>
      <c r="AX351" s="197">
        <v>1</v>
      </c>
      <c r="AY351" s="197">
        <v>1</v>
      </c>
      <c r="AZ351" s="197">
        <v>1</v>
      </c>
      <c r="BA351" s="197">
        <v>1</v>
      </c>
      <c r="BB351" s="129">
        <v>1</v>
      </c>
      <c r="BC351" s="129">
        <v>1</v>
      </c>
      <c r="BD351" s="129">
        <v>1</v>
      </c>
      <c r="BE351" s="129">
        <v>1</v>
      </c>
      <c r="BF351" s="129">
        <v>1</v>
      </c>
      <c r="BG351" s="129">
        <v>1</v>
      </c>
      <c r="BH351" s="129">
        <v>1</v>
      </c>
      <c r="BI351" s="129">
        <v>1</v>
      </c>
      <c r="BJ351" s="129">
        <v>1</v>
      </c>
      <c r="BK351" s="129">
        <v>1</v>
      </c>
      <c r="BL351" s="129">
        <v>1</v>
      </c>
      <c r="BM351" s="197">
        <v>1</v>
      </c>
    </row>
    <row r="352" spans="1:65" x14ac:dyDescent="0.25">
      <c r="A352" s="121" t="s">
        <v>135</v>
      </c>
      <c r="B352" s="121" t="s">
        <v>27</v>
      </c>
      <c r="C352" s="172" t="s">
        <v>222</v>
      </c>
      <c r="D352" s="161">
        <v>10</v>
      </c>
      <c r="E352" s="29" t="str">
        <f>INDEX(ra_ScName,MATCH(D352,ra_ScNumber,0))</f>
        <v>Disclosed nominal return (incl actual asset revaluations)</v>
      </c>
      <c r="F352" s="122">
        <v>0</v>
      </c>
      <c r="G352" s="122">
        <v>0</v>
      </c>
      <c r="H352" s="122">
        <v>0</v>
      </c>
      <c r="I352" s="122">
        <v>0</v>
      </c>
      <c r="J352" s="122">
        <v>0</v>
      </c>
      <c r="K352" s="122">
        <v>0</v>
      </c>
      <c r="L352" s="122">
        <v>0</v>
      </c>
      <c r="M352" s="122">
        <v>0</v>
      </c>
      <c r="N352" s="122">
        <v>0</v>
      </c>
      <c r="O352" s="122">
        <v>0</v>
      </c>
      <c r="P352" s="122">
        <v>0</v>
      </c>
      <c r="Q352" s="122">
        <v>0</v>
      </c>
      <c r="R352" s="122">
        <v>0</v>
      </c>
      <c r="S352" s="122">
        <v>0</v>
      </c>
      <c r="T352" s="122">
        <v>0</v>
      </c>
      <c r="U352" s="122">
        <v>0</v>
      </c>
      <c r="V352" s="122">
        <v>0</v>
      </c>
      <c r="W352" s="122">
        <v>0</v>
      </c>
      <c r="X352" s="122">
        <v>0</v>
      </c>
      <c r="Y352" s="122">
        <v>0</v>
      </c>
      <c r="Z352" s="122">
        <v>0</v>
      </c>
      <c r="AA352" s="122">
        <v>0</v>
      </c>
      <c r="AB352" s="122">
        <v>0</v>
      </c>
      <c r="AC352" s="122">
        <v>0</v>
      </c>
      <c r="AD352" s="122">
        <v>0</v>
      </c>
      <c r="AE352" s="122">
        <v>0</v>
      </c>
      <c r="AF352" s="122">
        <v>0</v>
      </c>
      <c r="AG352" s="122">
        <v>0</v>
      </c>
      <c r="AH352" s="122">
        <v>0</v>
      </c>
      <c r="AI352" s="117">
        <f t="shared" si="10"/>
        <v>0</v>
      </c>
      <c r="AJ352" s="117">
        <f>SUM(F352:U352)</f>
        <v>0</v>
      </c>
      <c r="AK352" s="117">
        <f t="shared" si="11"/>
        <v>0</v>
      </c>
      <c r="AL352" s="23"/>
      <c r="AM352" s="127" t="b">
        <f>IF(INDEX($AO352:$BM352,0,$F$14)=1,TRUE,FALSE)</f>
        <v>1</v>
      </c>
      <c r="AN352" s="127" t="str">
        <f>IF(AM352,A352&amp;", "&amp;B352,"")</f>
        <v>Recoverable customised price-quality path costs, 2014/15</v>
      </c>
      <c r="AO352" s="129"/>
      <c r="AP352" s="129"/>
      <c r="AQ352" s="129">
        <v>1</v>
      </c>
      <c r="AR352" s="129">
        <v>1</v>
      </c>
      <c r="AS352" s="129">
        <v>1</v>
      </c>
      <c r="AT352" s="129">
        <v>1</v>
      </c>
      <c r="AU352" s="129">
        <v>1</v>
      </c>
      <c r="AV352" s="129">
        <v>1</v>
      </c>
      <c r="AW352" s="129">
        <v>1</v>
      </c>
      <c r="AX352" s="197">
        <v>1</v>
      </c>
      <c r="AY352" s="197">
        <v>1</v>
      </c>
      <c r="AZ352" s="197">
        <v>1</v>
      </c>
      <c r="BA352" s="197">
        <v>1</v>
      </c>
      <c r="BB352" s="129">
        <v>1</v>
      </c>
      <c r="BC352" s="129">
        <v>1</v>
      </c>
      <c r="BD352" s="129">
        <v>1</v>
      </c>
      <c r="BE352" s="129">
        <v>1</v>
      </c>
      <c r="BF352" s="129">
        <v>1</v>
      </c>
      <c r="BG352" s="129">
        <v>1</v>
      </c>
      <c r="BH352" s="129">
        <v>1</v>
      </c>
      <c r="BI352" s="129">
        <v>1</v>
      </c>
      <c r="BJ352" s="129">
        <v>1</v>
      </c>
      <c r="BK352" s="129">
        <v>1</v>
      </c>
      <c r="BL352" s="129">
        <v>1</v>
      </c>
      <c r="BM352" s="197">
        <v>1</v>
      </c>
    </row>
    <row r="353" spans="1:65" x14ac:dyDescent="0.25">
      <c r="A353" s="49"/>
      <c r="B353" s="121"/>
      <c r="C353" s="172"/>
      <c r="D353" s="49"/>
      <c r="E353" s="49"/>
      <c r="F353" s="54"/>
      <c r="G353" s="54"/>
      <c r="H353" s="54"/>
      <c r="I353" s="54"/>
      <c r="J353" s="54"/>
      <c r="K353" s="54"/>
      <c r="L353" s="54"/>
      <c r="M353" s="54"/>
      <c r="N353" s="54"/>
      <c r="O353" s="54"/>
      <c r="P353" s="54"/>
      <c r="Q353" s="54"/>
      <c r="R353" s="54"/>
      <c r="S353" s="54"/>
      <c r="T353" s="54"/>
      <c r="U353" s="54"/>
      <c r="V353" s="54"/>
      <c r="W353" s="55"/>
      <c r="X353" s="55"/>
      <c r="Y353" s="55"/>
      <c r="Z353" s="55"/>
      <c r="AA353" s="55"/>
      <c r="AB353" s="55"/>
      <c r="AC353" s="55"/>
      <c r="AD353" s="55"/>
      <c r="AE353" s="55"/>
      <c r="AF353" s="55"/>
      <c r="AG353" s="55"/>
      <c r="AH353" s="55"/>
      <c r="AI353" s="54"/>
      <c r="AJ353" s="54"/>
      <c r="AK353" s="54"/>
      <c r="AL353" s="23"/>
      <c r="AM353" s="127"/>
      <c r="AN353" s="127"/>
      <c r="AO353" s="129"/>
      <c r="AP353" s="129"/>
      <c r="AQ353" s="129"/>
      <c r="AR353" s="129"/>
      <c r="AS353" s="129"/>
      <c r="AT353" s="129"/>
      <c r="AU353" s="129"/>
      <c r="AV353" s="129"/>
      <c r="AW353" s="129"/>
      <c r="AX353" s="197"/>
      <c r="AY353" s="197"/>
      <c r="AZ353" s="197"/>
      <c r="BA353" s="197"/>
      <c r="BB353" s="129"/>
      <c r="BC353" s="129"/>
      <c r="BD353" s="129"/>
      <c r="BE353" s="129"/>
      <c r="BF353" s="129"/>
      <c r="BG353" s="129"/>
      <c r="BH353" s="129"/>
      <c r="BI353" s="129"/>
      <c r="BJ353" s="129"/>
      <c r="BK353" s="129"/>
      <c r="BL353" s="129"/>
      <c r="BM353" s="197"/>
    </row>
    <row r="354" spans="1:65" x14ac:dyDescent="0.25">
      <c r="A354" s="121"/>
      <c r="B354" s="121"/>
      <c r="C354" s="172"/>
      <c r="D354" s="46"/>
      <c r="E354" s="46"/>
      <c r="F354" s="54"/>
      <c r="G354" s="54"/>
      <c r="H354" s="54"/>
      <c r="I354" s="54"/>
      <c r="J354" s="54"/>
      <c r="K354" s="54"/>
      <c r="L354" s="54"/>
      <c r="M354" s="54"/>
      <c r="N354" s="54"/>
      <c r="O354" s="54"/>
      <c r="P354" s="54"/>
      <c r="Q354" s="54"/>
      <c r="R354" s="54"/>
      <c r="S354" s="54"/>
      <c r="T354" s="54"/>
      <c r="U354" s="54"/>
      <c r="V354" s="54"/>
      <c r="W354" s="55"/>
      <c r="X354" s="55"/>
      <c r="Y354" s="55"/>
      <c r="Z354" s="55"/>
      <c r="AA354" s="55"/>
      <c r="AB354" s="55"/>
      <c r="AC354" s="55"/>
      <c r="AD354" s="55"/>
      <c r="AE354" s="55"/>
      <c r="AF354" s="55"/>
      <c r="AG354" s="55"/>
      <c r="AH354" s="55"/>
      <c r="AI354" s="54"/>
      <c r="AJ354" s="54"/>
      <c r="AK354" s="54"/>
      <c r="AL354" s="23"/>
      <c r="AM354" s="127"/>
      <c r="AN354" s="127"/>
      <c r="AO354" s="129"/>
      <c r="AP354" s="129"/>
      <c r="AQ354" s="129"/>
      <c r="AR354" s="129"/>
      <c r="AS354" s="129"/>
      <c r="AT354" s="129"/>
      <c r="AU354" s="129"/>
      <c r="AV354" s="129"/>
      <c r="AW354" s="129"/>
      <c r="AX354" s="197"/>
      <c r="AY354" s="197"/>
      <c r="AZ354" s="197"/>
      <c r="BA354" s="197"/>
      <c r="BB354" s="129"/>
      <c r="BC354" s="129"/>
      <c r="BD354" s="129"/>
      <c r="BE354" s="129"/>
      <c r="BF354" s="129"/>
      <c r="BG354" s="129"/>
      <c r="BH354" s="129"/>
      <c r="BI354" s="129"/>
      <c r="BJ354" s="129"/>
      <c r="BK354" s="129"/>
      <c r="BL354" s="129"/>
      <c r="BM354" s="197"/>
    </row>
    <row r="355" spans="1:65" x14ac:dyDescent="0.25">
      <c r="A355" s="121" t="s">
        <v>136</v>
      </c>
      <c r="B355" s="121" t="s">
        <v>23</v>
      </c>
      <c r="C355" s="172" t="s">
        <v>222</v>
      </c>
      <c r="D355" s="161">
        <v>1</v>
      </c>
      <c r="E355" s="29" t="str">
        <f>INDEX(ra_ScName,MATCH(D355,ra_ScNumber,0))</f>
        <v>Expected nominal return (incl forecast asset revaluations)</v>
      </c>
      <c r="F355" s="54"/>
      <c r="G355" s="54"/>
      <c r="H355" s="54"/>
      <c r="I355" s="54"/>
      <c r="J355" s="54"/>
      <c r="K355" s="54"/>
      <c r="L355" s="54"/>
      <c r="M355" s="54"/>
      <c r="N355" s="54"/>
      <c r="O355" s="54"/>
      <c r="P355" s="54"/>
      <c r="Q355" s="54"/>
      <c r="R355" s="54"/>
      <c r="S355" s="54"/>
      <c r="T355" s="54"/>
      <c r="U355" s="54"/>
      <c r="V355" s="54"/>
      <c r="W355" s="54"/>
      <c r="X355" s="54"/>
      <c r="Y355" s="54"/>
      <c r="Z355" s="54"/>
      <c r="AA355" s="54"/>
      <c r="AB355" s="54"/>
      <c r="AC355" s="54"/>
      <c r="AD355" s="54"/>
      <c r="AE355" s="54"/>
      <c r="AF355" s="54"/>
      <c r="AG355" s="54"/>
      <c r="AH355" s="54"/>
      <c r="AI355" s="117">
        <f t="shared" si="10"/>
        <v>0</v>
      </c>
      <c r="AJ355" s="117">
        <f>SUM(F355:U355)</f>
        <v>0</v>
      </c>
      <c r="AK355" s="117">
        <f t="shared" si="11"/>
        <v>0</v>
      </c>
      <c r="AL355" s="23"/>
      <c r="AM355" s="127" t="b">
        <f>IF(INDEX($AO355:$BM355,0,$F$14)=1,TRUE,FALSE)</f>
        <v>0</v>
      </c>
      <c r="AN355" s="127" t="str">
        <f>IF(AM355,A355&amp;", "&amp;B355,"")</f>
        <v/>
      </c>
      <c r="AO355" s="129">
        <v>1</v>
      </c>
      <c r="AP355" s="129">
        <v>1</v>
      </c>
      <c r="AQ355" s="129"/>
      <c r="AR355" s="129"/>
      <c r="AS355" s="129"/>
      <c r="AT355" s="129"/>
      <c r="AU355" s="129"/>
      <c r="AV355" s="129"/>
      <c r="AW355" s="129"/>
      <c r="AX355" s="197"/>
      <c r="AY355" s="197"/>
      <c r="AZ355" s="197"/>
      <c r="BA355" s="197"/>
      <c r="BB355" s="129"/>
      <c r="BC355" s="129"/>
      <c r="BD355" s="129"/>
      <c r="BE355" s="129"/>
      <c r="BF355" s="129"/>
      <c r="BG355" s="129"/>
      <c r="BH355" s="129"/>
      <c r="BI355" s="129"/>
      <c r="BJ355" s="129"/>
      <c r="BK355" s="129"/>
      <c r="BL355" s="129"/>
      <c r="BM355" s="197"/>
    </row>
    <row r="356" spans="1:65" x14ac:dyDescent="0.25">
      <c r="A356" s="121" t="s">
        <v>136</v>
      </c>
      <c r="B356" s="121" t="s">
        <v>24</v>
      </c>
      <c r="C356" s="172" t="s">
        <v>222</v>
      </c>
      <c r="D356" s="161">
        <v>1</v>
      </c>
      <c r="E356" s="29" t="str">
        <f>INDEX(ra_ScName,MATCH(D356,ra_ScNumber,0))</f>
        <v>Expected nominal return (incl forecast asset revaluations)</v>
      </c>
      <c r="F356" s="54"/>
      <c r="G356" s="54"/>
      <c r="H356" s="54"/>
      <c r="I356" s="54"/>
      <c r="J356" s="54"/>
      <c r="K356" s="54"/>
      <c r="L356" s="54"/>
      <c r="M356" s="54"/>
      <c r="N356" s="54"/>
      <c r="O356" s="54"/>
      <c r="P356" s="54"/>
      <c r="Q356" s="54"/>
      <c r="R356" s="54"/>
      <c r="S356" s="54"/>
      <c r="T356" s="54"/>
      <c r="U356" s="54"/>
      <c r="V356" s="54"/>
      <c r="W356" s="54"/>
      <c r="X356" s="54"/>
      <c r="Y356" s="54"/>
      <c r="Z356" s="54"/>
      <c r="AA356" s="54"/>
      <c r="AB356" s="54"/>
      <c r="AC356" s="54"/>
      <c r="AD356" s="54"/>
      <c r="AE356" s="54"/>
      <c r="AF356" s="54"/>
      <c r="AG356" s="54"/>
      <c r="AH356" s="54"/>
      <c r="AI356" s="117">
        <f t="shared" si="10"/>
        <v>0</v>
      </c>
      <c r="AJ356" s="117">
        <f>SUM(F356:U356)</f>
        <v>0</v>
      </c>
      <c r="AK356" s="117">
        <f t="shared" si="11"/>
        <v>0</v>
      </c>
      <c r="AL356" s="23"/>
      <c r="AM356" s="127" t="b">
        <f>IF(INDEX($AO356:$BM356,0,$F$14)=1,TRUE,FALSE)</f>
        <v>0</v>
      </c>
      <c r="AN356" s="127" t="str">
        <f>IF(AM356,A356&amp;", "&amp;B356,"")</f>
        <v/>
      </c>
      <c r="AO356" s="129">
        <v>1</v>
      </c>
      <c r="AP356" s="129">
        <v>1</v>
      </c>
      <c r="AQ356" s="129"/>
      <c r="AR356" s="129"/>
      <c r="AS356" s="129"/>
      <c r="AT356" s="129"/>
      <c r="AU356" s="129"/>
      <c r="AV356" s="129"/>
      <c r="AW356" s="129"/>
      <c r="AX356" s="197"/>
      <c r="AY356" s="197"/>
      <c r="AZ356" s="197"/>
      <c r="BA356" s="197"/>
      <c r="BB356" s="129"/>
      <c r="BC356" s="129"/>
      <c r="BD356" s="129"/>
      <c r="BE356" s="129"/>
      <c r="BF356" s="129"/>
      <c r="BG356" s="129"/>
      <c r="BH356" s="129"/>
      <c r="BI356" s="129"/>
      <c r="BJ356" s="129"/>
      <c r="BK356" s="129"/>
      <c r="BL356" s="129"/>
      <c r="BM356" s="197"/>
    </row>
    <row r="357" spans="1:65" x14ac:dyDescent="0.25">
      <c r="A357" s="121" t="s">
        <v>136</v>
      </c>
      <c r="B357" s="121" t="s">
        <v>25</v>
      </c>
      <c r="C357" s="172" t="s">
        <v>222</v>
      </c>
      <c r="D357" s="161">
        <v>1</v>
      </c>
      <c r="E357" s="29" t="str">
        <f>INDEX(ra_ScName,MATCH(D357,ra_ScNumber,0))</f>
        <v>Expected nominal return (incl forecast asset revaluations)</v>
      </c>
      <c r="F357" s="54"/>
      <c r="G357" s="54"/>
      <c r="H357" s="54"/>
      <c r="I357" s="54"/>
      <c r="J357" s="54"/>
      <c r="K357" s="54"/>
      <c r="L357" s="54"/>
      <c r="M357" s="54"/>
      <c r="N357" s="54"/>
      <c r="O357" s="54"/>
      <c r="P357" s="54"/>
      <c r="Q357" s="54"/>
      <c r="R357" s="54"/>
      <c r="S357" s="54"/>
      <c r="T357" s="54"/>
      <c r="U357" s="54"/>
      <c r="V357" s="54"/>
      <c r="W357" s="54"/>
      <c r="X357" s="54"/>
      <c r="Y357" s="54"/>
      <c r="Z357" s="54"/>
      <c r="AA357" s="54"/>
      <c r="AB357" s="54"/>
      <c r="AC357" s="54"/>
      <c r="AD357" s="54"/>
      <c r="AE357" s="54"/>
      <c r="AF357" s="54"/>
      <c r="AG357" s="54"/>
      <c r="AH357" s="54"/>
      <c r="AI357" s="117">
        <f t="shared" si="10"/>
        <v>0</v>
      </c>
      <c r="AJ357" s="117">
        <f>SUM(F357:U357)</f>
        <v>0</v>
      </c>
      <c r="AK357" s="117">
        <f t="shared" si="11"/>
        <v>0</v>
      </c>
      <c r="AL357" s="23"/>
      <c r="AM357" s="127" t="b">
        <f>IF(INDEX($AO357:$BM357,0,$F$14)=1,TRUE,FALSE)</f>
        <v>0</v>
      </c>
      <c r="AN357" s="127" t="str">
        <f>IF(AM357,A357&amp;", "&amp;B357,"")</f>
        <v/>
      </c>
      <c r="AO357" s="129">
        <v>1</v>
      </c>
      <c r="AP357" s="129">
        <v>1</v>
      </c>
      <c r="AQ357" s="129"/>
      <c r="AR357" s="129"/>
      <c r="AS357" s="129"/>
      <c r="AT357" s="129"/>
      <c r="AU357" s="129"/>
      <c r="AV357" s="129"/>
      <c r="AW357" s="129"/>
      <c r="AX357" s="197"/>
      <c r="AY357" s="197"/>
      <c r="AZ357" s="197"/>
      <c r="BA357" s="197"/>
      <c r="BB357" s="129"/>
      <c r="BC357" s="129"/>
      <c r="BD357" s="129"/>
      <c r="BE357" s="129"/>
      <c r="BF357" s="129"/>
      <c r="BG357" s="129"/>
      <c r="BH357" s="129"/>
      <c r="BI357" s="129"/>
      <c r="BJ357" s="129"/>
      <c r="BK357" s="129"/>
      <c r="BL357" s="129"/>
      <c r="BM357" s="197"/>
    </row>
    <row r="358" spans="1:65" x14ac:dyDescent="0.25">
      <c r="A358" s="121" t="s">
        <v>136</v>
      </c>
      <c r="B358" s="121" t="s">
        <v>26</v>
      </c>
      <c r="C358" s="172" t="s">
        <v>222</v>
      </c>
      <c r="D358" s="161">
        <v>1</v>
      </c>
      <c r="E358" s="29" t="str">
        <f>INDEX(ra_ScName,MATCH(D358,ra_ScNumber,0))</f>
        <v>Expected nominal return (incl forecast asset revaluations)</v>
      </c>
      <c r="F358" s="54"/>
      <c r="G358" s="54"/>
      <c r="H358" s="54"/>
      <c r="I358" s="54"/>
      <c r="J358" s="54"/>
      <c r="K358" s="54"/>
      <c r="L358" s="54"/>
      <c r="M358" s="54"/>
      <c r="N358" s="54"/>
      <c r="O358" s="54"/>
      <c r="P358" s="54"/>
      <c r="Q358" s="54"/>
      <c r="R358" s="54"/>
      <c r="S358" s="54"/>
      <c r="T358" s="54"/>
      <c r="U358" s="54"/>
      <c r="V358" s="54"/>
      <c r="W358" s="54"/>
      <c r="X358" s="54"/>
      <c r="Y358" s="54"/>
      <c r="Z358" s="54"/>
      <c r="AA358" s="54"/>
      <c r="AB358" s="54"/>
      <c r="AC358" s="54"/>
      <c r="AD358" s="54"/>
      <c r="AE358" s="54"/>
      <c r="AF358" s="54"/>
      <c r="AG358" s="54"/>
      <c r="AH358" s="54"/>
      <c r="AI358" s="117">
        <f t="shared" si="10"/>
        <v>0</v>
      </c>
      <c r="AJ358" s="117">
        <f>SUM(F358:U358)</f>
        <v>0</v>
      </c>
      <c r="AK358" s="117">
        <f t="shared" si="11"/>
        <v>0</v>
      </c>
      <c r="AL358" s="23"/>
      <c r="AM358" s="127" t="b">
        <f>IF(INDEX($AO358:$BM358,0,$F$14)=1,TRUE,FALSE)</f>
        <v>0</v>
      </c>
      <c r="AN358" s="127" t="str">
        <f>IF(AM358,A358&amp;", "&amp;B358,"")</f>
        <v/>
      </c>
      <c r="AO358" s="129">
        <v>1</v>
      </c>
      <c r="AP358" s="129">
        <v>1</v>
      </c>
      <c r="AQ358" s="129"/>
      <c r="AR358" s="129"/>
      <c r="AS358" s="129"/>
      <c r="AT358" s="129"/>
      <c r="AU358" s="129"/>
      <c r="AV358" s="129"/>
      <c r="AW358" s="129"/>
      <c r="AX358" s="197"/>
      <c r="AY358" s="197"/>
      <c r="AZ358" s="197"/>
      <c r="BA358" s="197"/>
      <c r="BB358" s="129"/>
      <c r="BC358" s="129"/>
      <c r="BD358" s="129"/>
      <c r="BE358" s="129"/>
      <c r="BF358" s="129"/>
      <c r="BG358" s="129"/>
      <c r="BH358" s="129"/>
      <c r="BI358" s="129"/>
      <c r="BJ358" s="129"/>
      <c r="BK358" s="129"/>
      <c r="BL358" s="129"/>
      <c r="BM358" s="197"/>
    </row>
    <row r="359" spans="1:65" x14ac:dyDescent="0.25">
      <c r="A359" s="121" t="s">
        <v>136</v>
      </c>
      <c r="B359" s="121" t="s">
        <v>27</v>
      </c>
      <c r="C359" s="172" t="s">
        <v>222</v>
      </c>
      <c r="D359" s="161">
        <v>1</v>
      </c>
      <c r="E359" s="29" t="str">
        <f>INDEX(ra_ScName,MATCH(D359,ra_ScNumber,0))</f>
        <v>Expected nominal return (incl forecast asset revaluations)</v>
      </c>
      <c r="F359" s="54"/>
      <c r="G359" s="54"/>
      <c r="H359" s="54"/>
      <c r="I359" s="54"/>
      <c r="J359" s="54"/>
      <c r="K359" s="54"/>
      <c r="L359" s="54"/>
      <c r="M359" s="54"/>
      <c r="N359" s="54"/>
      <c r="O359" s="54"/>
      <c r="P359" s="54"/>
      <c r="Q359" s="54"/>
      <c r="R359" s="54"/>
      <c r="S359" s="54"/>
      <c r="T359" s="54"/>
      <c r="U359" s="54"/>
      <c r="V359" s="54"/>
      <c r="W359" s="54"/>
      <c r="X359" s="54"/>
      <c r="Y359" s="54"/>
      <c r="Z359" s="54"/>
      <c r="AA359" s="54"/>
      <c r="AB359" s="54"/>
      <c r="AC359" s="54"/>
      <c r="AD359" s="54"/>
      <c r="AE359" s="54"/>
      <c r="AF359" s="54"/>
      <c r="AG359" s="54"/>
      <c r="AH359" s="54"/>
      <c r="AI359" s="117">
        <f t="shared" si="10"/>
        <v>0</v>
      </c>
      <c r="AJ359" s="117">
        <f>SUM(F359:U359)</f>
        <v>0</v>
      </c>
      <c r="AK359" s="117">
        <f t="shared" si="11"/>
        <v>0</v>
      </c>
      <c r="AL359" s="23"/>
      <c r="AM359" s="127" t="b">
        <f>IF(INDEX($AO359:$BM359,0,$F$14)=1,TRUE,FALSE)</f>
        <v>0</v>
      </c>
      <c r="AN359" s="127" t="str">
        <f>IF(AM359,A359&amp;", "&amp;B359,"")</f>
        <v/>
      </c>
      <c r="AO359" s="129">
        <v>1</v>
      </c>
      <c r="AP359" s="129">
        <v>1</v>
      </c>
      <c r="AQ359" s="129"/>
      <c r="AR359" s="129"/>
      <c r="AS359" s="129"/>
      <c r="AT359" s="129"/>
      <c r="AU359" s="129"/>
      <c r="AV359" s="129"/>
      <c r="AW359" s="129"/>
      <c r="AX359" s="197"/>
      <c r="AY359" s="197"/>
      <c r="AZ359" s="197"/>
      <c r="BA359" s="197"/>
      <c r="BB359" s="129"/>
      <c r="BC359" s="129"/>
      <c r="BD359" s="129"/>
      <c r="BE359" s="129"/>
      <c r="BF359" s="129"/>
      <c r="BG359" s="129"/>
      <c r="BH359" s="129"/>
      <c r="BI359" s="129"/>
      <c r="BJ359" s="129"/>
      <c r="BK359" s="129"/>
      <c r="BL359" s="129"/>
      <c r="BM359" s="197"/>
    </row>
    <row r="360" spans="1:65" x14ac:dyDescent="0.25">
      <c r="A360" s="121"/>
      <c r="B360" s="121"/>
      <c r="C360" s="172"/>
      <c r="D360" s="49"/>
      <c r="E360" s="49"/>
      <c r="F360" s="54"/>
      <c r="G360" s="54"/>
      <c r="H360" s="54"/>
      <c r="I360" s="54"/>
      <c r="J360" s="54"/>
      <c r="K360" s="54"/>
      <c r="L360" s="54"/>
      <c r="M360" s="54"/>
      <c r="N360" s="54"/>
      <c r="O360" s="54"/>
      <c r="P360" s="54"/>
      <c r="Q360" s="54"/>
      <c r="R360" s="54"/>
      <c r="S360" s="54"/>
      <c r="T360" s="54"/>
      <c r="U360" s="54"/>
      <c r="V360" s="54"/>
      <c r="W360" s="55"/>
      <c r="X360" s="55"/>
      <c r="Y360" s="55"/>
      <c r="Z360" s="55"/>
      <c r="AA360" s="55"/>
      <c r="AB360" s="55"/>
      <c r="AC360" s="55"/>
      <c r="AD360" s="55"/>
      <c r="AE360" s="55"/>
      <c r="AF360" s="55"/>
      <c r="AG360" s="55"/>
      <c r="AH360" s="55"/>
      <c r="AI360" s="54"/>
      <c r="AJ360" s="54"/>
      <c r="AK360" s="54"/>
      <c r="AL360" s="23"/>
      <c r="AM360" s="127"/>
      <c r="AN360" s="127"/>
      <c r="AO360" s="129"/>
      <c r="AP360" s="129"/>
      <c r="AQ360" s="129"/>
      <c r="AR360" s="129"/>
      <c r="AS360" s="129"/>
      <c r="AT360" s="129"/>
      <c r="AU360" s="129"/>
      <c r="AV360" s="129"/>
      <c r="AW360" s="129"/>
      <c r="AX360" s="197"/>
      <c r="AY360" s="197"/>
      <c r="AZ360" s="197"/>
      <c r="BA360" s="197"/>
      <c r="BB360" s="129"/>
      <c r="BC360" s="129"/>
      <c r="BD360" s="129"/>
      <c r="BE360" s="129"/>
      <c r="BF360" s="129"/>
      <c r="BG360" s="129"/>
      <c r="BH360" s="129"/>
      <c r="BI360" s="129"/>
      <c r="BJ360" s="129"/>
      <c r="BK360" s="129"/>
      <c r="BL360" s="129"/>
      <c r="BM360" s="197"/>
    </row>
    <row r="361" spans="1:65" x14ac:dyDescent="0.25">
      <c r="A361" s="121"/>
      <c r="B361" s="121"/>
      <c r="C361" s="172"/>
      <c r="D361" s="46"/>
      <c r="E361" s="46"/>
      <c r="F361" s="54"/>
      <c r="G361" s="54"/>
      <c r="H361" s="54"/>
      <c r="I361" s="54"/>
      <c r="J361" s="54"/>
      <c r="K361" s="54"/>
      <c r="L361" s="54"/>
      <c r="M361" s="54"/>
      <c r="N361" s="54"/>
      <c r="O361" s="54"/>
      <c r="P361" s="54"/>
      <c r="Q361" s="54"/>
      <c r="R361" s="54"/>
      <c r="S361" s="54"/>
      <c r="T361" s="54"/>
      <c r="U361" s="54"/>
      <c r="V361" s="54"/>
      <c r="W361" s="55"/>
      <c r="X361" s="55"/>
      <c r="Y361" s="55"/>
      <c r="Z361" s="55"/>
      <c r="AA361" s="55"/>
      <c r="AB361" s="55"/>
      <c r="AC361" s="55"/>
      <c r="AD361" s="55"/>
      <c r="AE361" s="55"/>
      <c r="AF361" s="55"/>
      <c r="AG361" s="55"/>
      <c r="AH361" s="55"/>
      <c r="AI361" s="54"/>
      <c r="AJ361" s="54"/>
      <c r="AK361" s="54"/>
      <c r="AL361" s="23"/>
      <c r="AM361" s="127"/>
      <c r="AN361" s="127"/>
      <c r="AO361" s="129"/>
      <c r="AP361" s="129"/>
      <c r="AQ361" s="129"/>
      <c r="AR361" s="129"/>
      <c r="AS361" s="129"/>
      <c r="AT361" s="129"/>
      <c r="AU361" s="129"/>
      <c r="AV361" s="129"/>
      <c r="AW361" s="129"/>
      <c r="AX361" s="197"/>
      <c r="AY361" s="197"/>
      <c r="AZ361" s="197"/>
      <c r="BA361" s="197"/>
      <c r="BB361" s="129"/>
      <c r="BC361" s="129"/>
      <c r="BD361" s="129"/>
      <c r="BE361" s="129"/>
      <c r="BF361" s="129"/>
      <c r="BG361" s="129"/>
      <c r="BH361" s="129"/>
      <c r="BI361" s="129"/>
      <c r="BJ361" s="129"/>
      <c r="BK361" s="129"/>
      <c r="BL361" s="129"/>
      <c r="BM361" s="197"/>
    </row>
    <row r="362" spans="1:65" x14ac:dyDescent="0.25">
      <c r="A362" s="121" t="s">
        <v>136</v>
      </c>
      <c r="B362" s="121" t="s">
        <v>23</v>
      </c>
      <c r="C362" s="172" t="s">
        <v>222</v>
      </c>
      <c r="D362" s="161">
        <v>10</v>
      </c>
      <c r="E362" s="29" t="str">
        <f>INDEX(ra_ScName,MATCH(D362,ra_ScNumber,0))</f>
        <v>Disclosed nominal return (incl actual asset revaluations)</v>
      </c>
      <c r="F362" s="122">
        <v>0</v>
      </c>
      <c r="G362" s="122">
        <v>0</v>
      </c>
      <c r="H362" s="122">
        <v>0</v>
      </c>
      <c r="I362" s="122">
        <v>0</v>
      </c>
      <c r="J362" s="122">
        <v>0</v>
      </c>
      <c r="K362" s="122">
        <v>0</v>
      </c>
      <c r="L362" s="122">
        <v>0</v>
      </c>
      <c r="M362" s="122">
        <v>0</v>
      </c>
      <c r="N362" s="122">
        <v>0</v>
      </c>
      <c r="O362" s="122">
        <v>0</v>
      </c>
      <c r="P362" s="122">
        <v>0</v>
      </c>
      <c r="Q362" s="122">
        <v>0</v>
      </c>
      <c r="R362" s="122">
        <v>0</v>
      </c>
      <c r="S362" s="122">
        <v>0</v>
      </c>
      <c r="T362" s="122">
        <v>0</v>
      </c>
      <c r="U362" s="122">
        <v>0</v>
      </c>
      <c r="V362" s="122">
        <v>0</v>
      </c>
      <c r="W362" s="122">
        <v>0</v>
      </c>
      <c r="X362" s="122">
        <v>0</v>
      </c>
      <c r="Y362" s="122">
        <v>0</v>
      </c>
      <c r="Z362" s="122">
        <v>0</v>
      </c>
      <c r="AA362" s="122">
        <v>0</v>
      </c>
      <c r="AB362" s="122">
        <v>0</v>
      </c>
      <c r="AC362" s="122">
        <v>0</v>
      </c>
      <c r="AD362" s="122">
        <v>0</v>
      </c>
      <c r="AE362" s="122">
        <v>0</v>
      </c>
      <c r="AF362" s="122">
        <v>0</v>
      </c>
      <c r="AG362" s="122">
        <v>0</v>
      </c>
      <c r="AH362" s="122">
        <v>0</v>
      </c>
      <c r="AI362" s="117">
        <f t="shared" si="10"/>
        <v>0</v>
      </c>
      <c r="AJ362" s="117">
        <f>SUM(F362:U362)</f>
        <v>0</v>
      </c>
      <c r="AK362" s="117">
        <f t="shared" si="11"/>
        <v>0</v>
      </c>
      <c r="AL362" s="23"/>
      <c r="AM362" s="127" t="b">
        <f>IF(INDEX($AO362:$BM362,0,$F$14)=1,TRUE,FALSE)</f>
        <v>1</v>
      </c>
      <c r="AN362" s="127" t="str">
        <f>IF(AM362,A362&amp;", "&amp;B362,"")</f>
        <v>Catastrophic event allowance, 2010/11</v>
      </c>
      <c r="AO362" s="129"/>
      <c r="AP362" s="129"/>
      <c r="AQ362" s="129">
        <v>1</v>
      </c>
      <c r="AR362" s="129">
        <v>1</v>
      </c>
      <c r="AS362" s="129">
        <v>1</v>
      </c>
      <c r="AT362" s="129">
        <v>1</v>
      </c>
      <c r="AU362" s="129">
        <v>1</v>
      </c>
      <c r="AV362" s="129">
        <v>1</v>
      </c>
      <c r="AW362" s="129">
        <v>1</v>
      </c>
      <c r="AX362" s="197">
        <v>1</v>
      </c>
      <c r="AY362" s="197">
        <v>1</v>
      </c>
      <c r="AZ362" s="197">
        <v>1</v>
      </c>
      <c r="BA362" s="197">
        <v>1</v>
      </c>
      <c r="BB362" s="129">
        <v>1</v>
      </c>
      <c r="BC362" s="129">
        <v>1</v>
      </c>
      <c r="BD362" s="129">
        <v>1</v>
      </c>
      <c r="BE362" s="129">
        <v>1</v>
      </c>
      <c r="BF362" s="129">
        <v>1</v>
      </c>
      <c r="BG362" s="129">
        <v>1</v>
      </c>
      <c r="BH362" s="129">
        <v>1</v>
      </c>
      <c r="BI362" s="129">
        <v>1</v>
      </c>
      <c r="BJ362" s="129">
        <v>1</v>
      </c>
      <c r="BK362" s="129">
        <v>1</v>
      </c>
      <c r="BL362" s="129">
        <v>1</v>
      </c>
      <c r="BM362" s="197">
        <v>1</v>
      </c>
    </row>
    <row r="363" spans="1:65" x14ac:dyDescent="0.25">
      <c r="A363" s="121" t="s">
        <v>136</v>
      </c>
      <c r="B363" s="121" t="s">
        <v>24</v>
      </c>
      <c r="C363" s="172" t="s">
        <v>222</v>
      </c>
      <c r="D363" s="161">
        <v>10</v>
      </c>
      <c r="E363" s="29" t="str">
        <f>INDEX(ra_ScName,MATCH(D363,ra_ScNumber,0))</f>
        <v>Disclosed nominal return (incl actual asset revaluations)</v>
      </c>
      <c r="F363" s="122">
        <v>0</v>
      </c>
      <c r="G363" s="122">
        <v>0</v>
      </c>
      <c r="H363" s="122">
        <v>0</v>
      </c>
      <c r="I363" s="122">
        <v>0</v>
      </c>
      <c r="J363" s="122">
        <v>0</v>
      </c>
      <c r="K363" s="122">
        <v>0</v>
      </c>
      <c r="L363" s="122">
        <v>0</v>
      </c>
      <c r="M363" s="122">
        <v>0</v>
      </c>
      <c r="N363" s="122">
        <v>0</v>
      </c>
      <c r="O363" s="122">
        <v>0</v>
      </c>
      <c r="P363" s="122">
        <v>0</v>
      </c>
      <c r="Q363" s="122">
        <v>0</v>
      </c>
      <c r="R363" s="122">
        <v>0</v>
      </c>
      <c r="S363" s="122">
        <v>0</v>
      </c>
      <c r="T363" s="122">
        <v>0</v>
      </c>
      <c r="U363" s="122">
        <v>0</v>
      </c>
      <c r="V363" s="122">
        <v>0</v>
      </c>
      <c r="W363" s="122">
        <v>0</v>
      </c>
      <c r="X363" s="122">
        <v>0</v>
      </c>
      <c r="Y363" s="122">
        <v>0</v>
      </c>
      <c r="Z363" s="122">
        <v>0</v>
      </c>
      <c r="AA363" s="122">
        <v>0</v>
      </c>
      <c r="AB363" s="122">
        <v>0</v>
      </c>
      <c r="AC363" s="122">
        <v>0</v>
      </c>
      <c r="AD363" s="122">
        <v>0</v>
      </c>
      <c r="AE363" s="122">
        <v>0</v>
      </c>
      <c r="AF363" s="122">
        <v>0</v>
      </c>
      <c r="AG363" s="122">
        <v>0</v>
      </c>
      <c r="AH363" s="122">
        <v>0</v>
      </c>
      <c r="AI363" s="117">
        <f t="shared" si="10"/>
        <v>0</v>
      </c>
      <c r="AJ363" s="117">
        <f>SUM(F363:U363)</f>
        <v>0</v>
      </c>
      <c r="AK363" s="117">
        <f t="shared" si="11"/>
        <v>0</v>
      </c>
      <c r="AL363" s="23"/>
      <c r="AM363" s="127" t="b">
        <f>IF(INDEX($AO363:$BM363,0,$F$14)=1,TRUE,FALSE)</f>
        <v>1</v>
      </c>
      <c r="AN363" s="127" t="str">
        <f>IF(AM363,A363&amp;", "&amp;B363,"")</f>
        <v>Catastrophic event allowance, 2011/12</v>
      </c>
      <c r="AO363" s="129"/>
      <c r="AP363" s="129"/>
      <c r="AQ363" s="129">
        <v>1</v>
      </c>
      <c r="AR363" s="129">
        <v>1</v>
      </c>
      <c r="AS363" s="129">
        <v>1</v>
      </c>
      <c r="AT363" s="129">
        <v>1</v>
      </c>
      <c r="AU363" s="129">
        <v>1</v>
      </c>
      <c r="AV363" s="129">
        <v>1</v>
      </c>
      <c r="AW363" s="129">
        <v>1</v>
      </c>
      <c r="AX363" s="197">
        <v>1</v>
      </c>
      <c r="AY363" s="197">
        <v>1</v>
      </c>
      <c r="AZ363" s="197">
        <v>1</v>
      </c>
      <c r="BA363" s="197">
        <v>1</v>
      </c>
      <c r="BB363" s="129">
        <v>1</v>
      </c>
      <c r="BC363" s="129">
        <v>1</v>
      </c>
      <c r="BD363" s="129">
        <v>1</v>
      </c>
      <c r="BE363" s="129">
        <v>1</v>
      </c>
      <c r="BF363" s="129">
        <v>1</v>
      </c>
      <c r="BG363" s="129">
        <v>1</v>
      </c>
      <c r="BH363" s="129">
        <v>1</v>
      </c>
      <c r="BI363" s="129">
        <v>1</v>
      </c>
      <c r="BJ363" s="129">
        <v>1</v>
      </c>
      <c r="BK363" s="129">
        <v>1</v>
      </c>
      <c r="BL363" s="129">
        <v>1</v>
      </c>
      <c r="BM363" s="197">
        <v>1</v>
      </c>
    </row>
    <row r="364" spans="1:65" x14ac:dyDescent="0.25">
      <c r="A364" s="121" t="s">
        <v>136</v>
      </c>
      <c r="B364" s="121" t="s">
        <v>25</v>
      </c>
      <c r="C364" s="172" t="s">
        <v>222</v>
      </c>
      <c r="D364" s="161">
        <v>10</v>
      </c>
      <c r="E364" s="29" t="str">
        <f>INDEX(ra_ScName,MATCH(D364,ra_ScNumber,0))</f>
        <v>Disclosed nominal return (incl actual asset revaluations)</v>
      </c>
      <c r="F364" s="122">
        <v>0</v>
      </c>
      <c r="G364" s="122">
        <v>0</v>
      </c>
      <c r="H364" s="122">
        <v>0</v>
      </c>
      <c r="I364" s="122">
        <v>0</v>
      </c>
      <c r="J364" s="122">
        <v>0</v>
      </c>
      <c r="K364" s="122">
        <v>0</v>
      </c>
      <c r="L364" s="122">
        <v>0</v>
      </c>
      <c r="M364" s="122">
        <v>0</v>
      </c>
      <c r="N364" s="122">
        <v>0</v>
      </c>
      <c r="O364" s="122">
        <v>0</v>
      </c>
      <c r="P364" s="122">
        <v>0</v>
      </c>
      <c r="Q364" s="122">
        <v>0</v>
      </c>
      <c r="R364" s="122">
        <v>0</v>
      </c>
      <c r="S364" s="122">
        <v>0</v>
      </c>
      <c r="T364" s="122">
        <v>0</v>
      </c>
      <c r="U364" s="122">
        <v>0</v>
      </c>
      <c r="V364" s="122">
        <v>0</v>
      </c>
      <c r="W364" s="122">
        <v>0</v>
      </c>
      <c r="X364" s="122">
        <v>0</v>
      </c>
      <c r="Y364" s="122">
        <v>0</v>
      </c>
      <c r="Z364" s="122">
        <v>0</v>
      </c>
      <c r="AA364" s="122">
        <v>0</v>
      </c>
      <c r="AB364" s="122">
        <v>0</v>
      </c>
      <c r="AC364" s="122">
        <v>0</v>
      </c>
      <c r="AD364" s="122">
        <v>0</v>
      </c>
      <c r="AE364" s="122">
        <v>0</v>
      </c>
      <c r="AF364" s="122">
        <v>0</v>
      </c>
      <c r="AG364" s="122">
        <v>0</v>
      </c>
      <c r="AH364" s="122">
        <v>0</v>
      </c>
      <c r="AI364" s="117">
        <f t="shared" si="10"/>
        <v>0</v>
      </c>
      <c r="AJ364" s="117">
        <f>SUM(F364:U364)</f>
        <v>0</v>
      </c>
      <c r="AK364" s="117">
        <f t="shared" si="11"/>
        <v>0</v>
      </c>
      <c r="AL364" s="23"/>
      <c r="AM364" s="127" t="b">
        <f>IF(INDEX($AO364:$BM364,0,$F$14)=1,TRUE,FALSE)</f>
        <v>1</v>
      </c>
      <c r="AN364" s="127" t="str">
        <f>IF(AM364,A364&amp;", "&amp;B364,"")</f>
        <v>Catastrophic event allowance, 2012/13</v>
      </c>
      <c r="AO364" s="129"/>
      <c r="AP364" s="129"/>
      <c r="AQ364" s="129">
        <v>1</v>
      </c>
      <c r="AR364" s="129">
        <v>1</v>
      </c>
      <c r="AS364" s="129">
        <v>1</v>
      </c>
      <c r="AT364" s="129">
        <v>1</v>
      </c>
      <c r="AU364" s="129">
        <v>1</v>
      </c>
      <c r="AV364" s="129">
        <v>1</v>
      </c>
      <c r="AW364" s="129">
        <v>1</v>
      </c>
      <c r="AX364" s="197">
        <v>1</v>
      </c>
      <c r="AY364" s="197">
        <v>1</v>
      </c>
      <c r="AZ364" s="197">
        <v>1</v>
      </c>
      <c r="BA364" s="197">
        <v>1</v>
      </c>
      <c r="BB364" s="129">
        <v>1</v>
      </c>
      <c r="BC364" s="129">
        <v>1</v>
      </c>
      <c r="BD364" s="129">
        <v>1</v>
      </c>
      <c r="BE364" s="129">
        <v>1</v>
      </c>
      <c r="BF364" s="129">
        <v>1</v>
      </c>
      <c r="BG364" s="129">
        <v>1</v>
      </c>
      <c r="BH364" s="129">
        <v>1</v>
      </c>
      <c r="BI364" s="129">
        <v>1</v>
      </c>
      <c r="BJ364" s="129">
        <v>1</v>
      </c>
      <c r="BK364" s="129">
        <v>1</v>
      </c>
      <c r="BL364" s="129">
        <v>1</v>
      </c>
      <c r="BM364" s="197">
        <v>1</v>
      </c>
    </row>
    <row r="365" spans="1:65" x14ac:dyDescent="0.25">
      <c r="A365" s="121" t="s">
        <v>136</v>
      </c>
      <c r="B365" s="121" t="s">
        <v>26</v>
      </c>
      <c r="C365" s="172" t="s">
        <v>222</v>
      </c>
      <c r="D365" s="161">
        <v>10</v>
      </c>
      <c r="E365" s="29" t="str">
        <f>INDEX(ra_ScName,MATCH(D365,ra_ScNumber,0))</f>
        <v>Disclosed nominal return (incl actual asset revaluations)</v>
      </c>
      <c r="F365" s="122">
        <v>0</v>
      </c>
      <c r="G365" s="122">
        <v>0</v>
      </c>
      <c r="H365" s="122">
        <v>0</v>
      </c>
      <c r="I365" s="122">
        <v>0</v>
      </c>
      <c r="J365" s="122">
        <v>0</v>
      </c>
      <c r="K365" s="122">
        <v>0</v>
      </c>
      <c r="L365" s="122">
        <v>0</v>
      </c>
      <c r="M365" s="122">
        <v>0</v>
      </c>
      <c r="N365" s="122">
        <v>0</v>
      </c>
      <c r="O365" s="122">
        <v>0</v>
      </c>
      <c r="P365" s="122">
        <v>0</v>
      </c>
      <c r="Q365" s="122">
        <v>0</v>
      </c>
      <c r="R365" s="122">
        <v>0</v>
      </c>
      <c r="S365" s="122">
        <v>0</v>
      </c>
      <c r="T365" s="122">
        <v>0</v>
      </c>
      <c r="U365" s="122">
        <v>0</v>
      </c>
      <c r="V365" s="122">
        <v>0</v>
      </c>
      <c r="W365" s="122">
        <v>0</v>
      </c>
      <c r="X365" s="122">
        <v>0</v>
      </c>
      <c r="Y365" s="122">
        <v>0</v>
      </c>
      <c r="Z365" s="122">
        <v>0</v>
      </c>
      <c r="AA365" s="122">
        <v>0</v>
      </c>
      <c r="AB365" s="122">
        <v>0</v>
      </c>
      <c r="AC365" s="122">
        <v>0</v>
      </c>
      <c r="AD365" s="122">
        <v>0</v>
      </c>
      <c r="AE365" s="122">
        <v>0</v>
      </c>
      <c r="AF365" s="122">
        <v>0</v>
      </c>
      <c r="AG365" s="122">
        <v>0</v>
      </c>
      <c r="AH365" s="122">
        <v>0</v>
      </c>
      <c r="AI365" s="117">
        <f t="shared" si="10"/>
        <v>0</v>
      </c>
      <c r="AJ365" s="117">
        <f>SUM(F365:U365)</f>
        <v>0</v>
      </c>
      <c r="AK365" s="117">
        <f t="shared" si="11"/>
        <v>0</v>
      </c>
      <c r="AL365" s="23"/>
      <c r="AM365" s="127" t="b">
        <f>IF(INDEX($AO365:$BM365,0,$F$14)=1,TRUE,FALSE)</f>
        <v>1</v>
      </c>
      <c r="AN365" s="127" t="str">
        <f>IF(AM365,A365&amp;", "&amp;B365,"")</f>
        <v>Catastrophic event allowance, 2013/14</v>
      </c>
      <c r="AO365" s="129"/>
      <c r="AP365" s="129"/>
      <c r="AQ365" s="129">
        <v>1</v>
      </c>
      <c r="AR365" s="129">
        <v>1</v>
      </c>
      <c r="AS365" s="129">
        <v>1</v>
      </c>
      <c r="AT365" s="129">
        <v>1</v>
      </c>
      <c r="AU365" s="129">
        <v>1</v>
      </c>
      <c r="AV365" s="129">
        <v>1</v>
      </c>
      <c r="AW365" s="129">
        <v>1</v>
      </c>
      <c r="AX365" s="197">
        <v>1</v>
      </c>
      <c r="AY365" s="197">
        <v>1</v>
      </c>
      <c r="AZ365" s="197">
        <v>1</v>
      </c>
      <c r="BA365" s="197">
        <v>1</v>
      </c>
      <c r="BB365" s="129">
        <v>1</v>
      </c>
      <c r="BC365" s="129">
        <v>1</v>
      </c>
      <c r="BD365" s="129">
        <v>1</v>
      </c>
      <c r="BE365" s="129">
        <v>1</v>
      </c>
      <c r="BF365" s="129">
        <v>1</v>
      </c>
      <c r="BG365" s="129">
        <v>1</v>
      </c>
      <c r="BH365" s="129">
        <v>1</v>
      </c>
      <c r="BI365" s="129">
        <v>1</v>
      </c>
      <c r="BJ365" s="129">
        <v>1</v>
      </c>
      <c r="BK365" s="129">
        <v>1</v>
      </c>
      <c r="BL365" s="129">
        <v>1</v>
      </c>
      <c r="BM365" s="197">
        <v>1</v>
      </c>
    </row>
    <row r="366" spans="1:65" x14ac:dyDescent="0.25">
      <c r="A366" s="121" t="s">
        <v>136</v>
      </c>
      <c r="B366" s="121" t="s">
        <v>27</v>
      </c>
      <c r="C366" s="172" t="s">
        <v>222</v>
      </c>
      <c r="D366" s="161">
        <v>10</v>
      </c>
      <c r="E366" s="29" t="str">
        <f>INDEX(ra_ScName,MATCH(D366,ra_ScNumber,0))</f>
        <v>Disclosed nominal return (incl actual asset revaluations)</v>
      </c>
      <c r="F366" s="122">
        <v>0</v>
      </c>
      <c r="G366" s="122">
        <v>0</v>
      </c>
      <c r="H366" s="122">
        <v>0</v>
      </c>
      <c r="I366" s="122">
        <v>0</v>
      </c>
      <c r="J366" s="122">
        <v>0</v>
      </c>
      <c r="K366" s="122">
        <v>0</v>
      </c>
      <c r="L366" s="122">
        <v>0</v>
      </c>
      <c r="M366" s="122">
        <v>0</v>
      </c>
      <c r="N366" s="122">
        <v>0</v>
      </c>
      <c r="O366" s="122">
        <v>0</v>
      </c>
      <c r="P366" s="122">
        <v>0</v>
      </c>
      <c r="Q366" s="122">
        <v>0</v>
      </c>
      <c r="R366" s="122">
        <v>0</v>
      </c>
      <c r="S366" s="122">
        <v>0</v>
      </c>
      <c r="T366" s="122">
        <v>0</v>
      </c>
      <c r="U366" s="122">
        <v>0</v>
      </c>
      <c r="V366" s="122">
        <v>0</v>
      </c>
      <c r="W366" s="122">
        <v>0</v>
      </c>
      <c r="X366" s="122">
        <v>0</v>
      </c>
      <c r="Y366" s="122">
        <v>0</v>
      </c>
      <c r="Z366" s="122">
        <v>0</v>
      </c>
      <c r="AA366" s="122">
        <v>0</v>
      </c>
      <c r="AB366" s="122">
        <v>0</v>
      </c>
      <c r="AC366" s="122">
        <v>0</v>
      </c>
      <c r="AD366" s="122">
        <v>0</v>
      </c>
      <c r="AE366" s="122">
        <v>0</v>
      </c>
      <c r="AF366" s="122">
        <v>0</v>
      </c>
      <c r="AG366" s="122">
        <v>0</v>
      </c>
      <c r="AH366" s="122">
        <v>0</v>
      </c>
      <c r="AI366" s="117">
        <f t="shared" si="10"/>
        <v>0</v>
      </c>
      <c r="AJ366" s="117">
        <f>SUM(F366:U366)</f>
        <v>0</v>
      </c>
      <c r="AK366" s="117">
        <f t="shared" si="11"/>
        <v>0</v>
      </c>
      <c r="AL366" s="23"/>
      <c r="AM366" s="127" t="b">
        <f>IF(INDEX($AO366:$BM366,0,$F$14)=1,TRUE,FALSE)</f>
        <v>1</v>
      </c>
      <c r="AN366" s="127" t="str">
        <f>IF(AM366,A366&amp;", "&amp;B366,"")</f>
        <v>Catastrophic event allowance, 2014/15</v>
      </c>
      <c r="AO366" s="129"/>
      <c r="AP366" s="129"/>
      <c r="AQ366" s="129">
        <v>1</v>
      </c>
      <c r="AR366" s="129">
        <v>1</v>
      </c>
      <c r="AS366" s="129">
        <v>1</v>
      </c>
      <c r="AT366" s="129">
        <v>1</v>
      </c>
      <c r="AU366" s="129">
        <v>1</v>
      </c>
      <c r="AV366" s="129">
        <v>1</v>
      </c>
      <c r="AW366" s="129">
        <v>1</v>
      </c>
      <c r="AX366" s="197">
        <v>1</v>
      </c>
      <c r="AY366" s="197">
        <v>1</v>
      </c>
      <c r="AZ366" s="197">
        <v>1</v>
      </c>
      <c r="BA366" s="197">
        <v>1</v>
      </c>
      <c r="BB366" s="129">
        <v>1</v>
      </c>
      <c r="BC366" s="129">
        <v>1</v>
      </c>
      <c r="BD366" s="129">
        <v>1</v>
      </c>
      <c r="BE366" s="129">
        <v>1</v>
      </c>
      <c r="BF366" s="129">
        <v>1</v>
      </c>
      <c r="BG366" s="129">
        <v>1</v>
      </c>
      <c r="BH366" s="129">
        <v>1</v>
      </c>
      <c r="BI366" s="129">
        <v>1</v>
      </c>
      <c r="BJ366" s="129">
        <v>1</v>
      </c>
      <c r="BK366" s="129">
        <v>1</v>
      </c>
      <c r="BL366" s="129">
        <v>1</v>
      </c>
      <c r="BM366" s="197">
        <v>1</v>
      </c>
    </row>
    <row r="367" spans="1:65" x14ac:dyDescent="0.25">
      <c r="A367" s="121"/>
      <c r="B367" s="121"/>
      <c r="C367" s="172"/>
      <c r="D367" s="49"/>
      <c r="E367" s="49"/>
      <c r="F367" s="54"/>
      <c r="G367" s="54"/>
      <c r="H367" s="54"/>
      <c r="I367" s="54"/>
      <c r="J367" s="54"/>
      <c r="K367" s="54"/>
      <c r="L367" s="54"/>
      <c r="M367" s="54"/>
      <c r="N367" s="54"/>
      <c r="O367" s="54"/>
      <c r="P367" s="54"/>
      <c r="Q367" s="54"/>
      <c r="R367" s="54"/>
      <c r="S367" s="54"/>
      <c r="T367" s="54"/>
      <c r="U367" s="54"/>
      <c r="V367" s="54"/>
      <c r="W367" s="55"/>
      <c r="X367" s="55"/>
      <c r="Y367" s="55"/>
      <c r="Z367" s="55"/>
      <c r="AA367" s="55"/>
      <c r="AB367" s="55"/>
      <c r="AC367" s="55"/>
      <c r="AD367" s="55"/>
      <c r="AE367" s="55"/>
      <c r="AF367" s="55"/>
      <c r="AG367" s="55"/>
      <c r="AH367" s="55"/>
      <c r="AI367" s="54"/>
      <c r="AJ367" s="54"/>
      <c r="AK367" s="54"/>
      <c r="AL367" s="23"/>
      <c r="AM367" s="127"/>
      <c r="AN367" s="127"/>
      <c r="AO367" s="129"/>
      <c r="AP367" s="129"/>
      <c r="AQ367" s="129"/>
      <c r="AR367" s="129"/>
      <c r="AS367" s="129"/>
      <c r="AT367" s="129"/>
      <c r="AU367" s="129"/>
      <c r="AV367" s="129"/>
      <c r="AW367" s="129"/>
      <c r="AX367" s="197"/>
      <c r="AY367" s="197"/>
      <c r="AZ367" s="197"/>
      <c r="BA367" s="197"/>
      <c r="BB367" s="129"/>
      <c r="BC367" s="129"/>
      <c r="BD367" s="129"/>
      <c r="BE367" s="129"/>
      <c r="BF367" s="129"/>
      <c r="BG367" s="129"/>
      <c r="BH367" s="129"/>
      <c r="BI367" s="129"/>
      <c r="BJ367" s="129"/>
      <c r="BK367" s="129"/>
      <c r="BL367" s="129"/>
      <c r="BM367" s="197"/>
    </row>
    <row r="368" spans="1:65" x14ac:dyDescent="0.25">
      <c r="A368" s="121"/>
      <c r="B368" s="121"/>
      <c r="C368" s="172"/>
      <c r="D368" s="46"/>
      <c r="E368" s="46"/>
      <c r="F368" s="54"/>
      <c r="G368" s="54"/>
      <c r="H368" s="54"/>
      <c r="I368" s="54"/>
      <c r="J368" s="54"/>
      <c r="K368" s="54"/>
      <c r="L368" s="54"/>
      <c r="M368" s="54"/>
      <c r="N368" s="54"/>
      <c r="O368" s="54"/>
      <c r="P368" s="54"/>
      <c r="Q368" s="54"/>
      <c r="R368" s="54"/>
      <c r="S368" s="54"/>
      <c r="T368" s="54"/>
      <c r="U368" s="54"/>
      <c r="V368" s="54"/>
      <c r="W368" s="55"/>
      <c r="X368" s="55"/>
      <c r="Y368" s="55"/>
      <c r="Z368" s="55"/>
      <c r="AA368" s="55"/>
      <c r="AB368" s="55"/>
      <c r="AC368" s="55"/>
      <c r="AD368" s="55"/>
      <c r="AE368" s="55"/>
      <c r="AF368" s="55"/>
      <c r="AG368" s="55"/>
      <c r="AH368" s="55"/>
      <c r="AI368" s="54"/>
      <c r="AJ368" s="54"/>
      <c r="AK368" s="54"/>
      <c r="AL368" s="23"/>
      <c r="AM368" s="127"/>
      <c r="AN368" s="127"/>
      <c r="AO368" s="129"/>
      <c r="AP368" s="129"/>
      <c r="AQ368" s="129"/>
      <c r="AR368" s="129"/>
      <c r="AS368" s="129"/>
      <c r="AT368" s="129"/>
      <c r="AU368" s="129"/>
      <c r="AV368" s="129"/>
      <c r="AW368" s="129"/>
      <c r="AX368" s="197"/>
      <c r="AY368" s="197"/>
      <c r="AZ368" s="197"/>
      <c r="BA368" s="197"/>
      <c r="BB368" s="129"/>
      <c r="BC368" s="129"/>
      <c r="BD368" s="129"/>
      <c r="BE368" s="129"/>
      <c r="BF368" s="129"/>
      <c r="BG368" s="129"/>
      <c r="BH368" s="129"/>
      <c r="BI368" s="129"/>
      <c r="BJ368" s="129"/>
      <c r="BK368" s="129"/>
      <c r="BL368" s="129"/>
      <c r="BM368" s="197"/>
    </row>
    <row r="369" spans="1:65" x14ac:dyDescent="0.25">
      <c r="A369" s="121" t="s">
        <v>137</v>
      </c>
      <c r="B369" s="121" t="s">
        <v>23</v>
      </c>
      <c r="C369" s="172" t="s">
        <v>222</v>
      </c>
      <c r="D369" s="161">
        <v>1</v>
      </c>
      <c r="E369" s="29" t="str">
        <f>INDEX(ra_ScName,MATCH(D369,ra_ScNumber,0))</f>
        <v>Expected nominal return (incl forecast asset revaluations)</v>
      </c>
      <c r="F369" s="54"/>
      <c r="G369" s="54"/>
      <c r="H369" s="54"/>
      <c r="I369" s="54"/>
      <c r="J369" s="54"/>
      <c r="K369" s="54"/>
      <c r="L369" s="54"/>
      <c r="M369" s="54"/>
      <c r="N369" s="54"/>
      <c r="O369" s="54"/>
      <c r="P369" s="54"/>
      <c r="Q369" s="54"/>
      <c r="R369" s="54"/>
      <c r="S369" s="54"/>
      <c r="T369" s="54"/>
      <c r="U369" s="54"/>
      <c r="V369" s="54"/>
      <c r="W369" s="54"/>
      <c r="X369" s="54"/>
      <c r="Y369" s="54"/>
      <c r="Z369" s="54"/>
      <c r="AA369" s="54"/>
      <c r="AB369" s="54"/>
      <c r="AC369" s="54"/>
      <c r="AD369" s="54"/>
      <c r="AE369" s="54"/>
      <c r="AF369" s="54"/>
      <c r="AG369" s="54"/>
      <c r="AH369" s="54"/>
      <c r="AI369" s="117">
        <f t="shared" si="10"/>
        <v>0</v>
      </c>
      <c r="AJ369" s="117">
        <f>SUM(F369:U369)</f>
        <v>0</v>
      </c>
      <c r="AK369" s="117">
        <f t="shared" si="11"/>
        <v>0</v>
      </c>
      <c r="AL369" s="23"/>
      <c r="AM369" s="127" t="b">
        <f>IF(INDEX($AO369:$BM369,0,$F$14)=1,TRUE,FALSE)</f>
        <v>0</v>
      </c>
      <c r="AN369" s="127" t="str">
        <f>IF(AM369,A369&amp;", "&amp;B369,"")</f>
        <v/>
      </c>
      <c r="AO369" s="129">
        <v>1</v>
      </c>
      <c r="AP369" s="129">
        <v>1</v>
      </c>
      <c r="AQ369" s="129"/>
      <c r="AR369" s="129"/>
      <c r="AS369" s="129"/>
      <c r="AT369" s="129"/>
      <c r="AU369" s="129"/>
      <c r="AV369" s="129"/>
      <c r="AW369" s="129"/>
      <c r="AX369" s="197"/>
      <c r="AY369" s="197"/>
      <c r="AZ369" s="197"/>
      <c r="BA369" s="197"/>
      <c r="BB369" s="129"/>
      <c r="BC369" s="129"/>
      <c r="BD369" s="129"/>
      <c r="BE369" s="129"/>
      <c r="BF369" s="129"/>
      <c r="BG369" s="129"/>
      <c r="BH369" s="129"/>
      <c r="BI369" s="129"/>
      <c r="BJ369" s="129"/>
      <c r="BK369" s="129"/>
      <c r="BL369" s="129"/>
      <c r="BM369" s="197"/>
    </row>
    <row r="370" spans="1:65" x14ac:dyDescent="0.25">
      <c r="A370" s="121" t="s">
        <v>137</v>
      </c>
      <c r="B370" s="121" t="s">
        <v>24</v>
      </c>
      <c r="C370" s="172" t="s">
        <v>222</v>
      </c>
      <c r="D370" s="161">
        <v>1</v>
      </c>
      <c r="E370" s="29" t="str">
        <f>INDEX(ra_ScName,MATCH(D370,ra_ScNumber,0))</f>
        <v>Expected nominal return (incl forecast asset revaluations)</v>
      </c>
      <c r="F370" s="54"/>
      <c r="G370" s="54"/>
      <c r="H370" s="54"/>
      <c r="I370" s="54"/>
      <c r="J370" s="54"/>
      <c r="K370" s="54"/>
      <c r="L370" s="54"/>
      <c r="M370" s="54"/>
      <c r="N370" s="54"/>
      <c r="O370" s="54"/>
      <c r="P370" s="54"/>
      <c r="Q370" s="54"/>
      <c r="R370" s="54"/>
      <c r="S370" s="54"/>
      <c r="T370" s="54"/>
      <c r="U370" s="54"/>
      <c r="V370" s="54"/>
      <c r="W370" s="54"/>
      <c r="X370" s="54"/>
      <c r="Y370" s="54"/>
      <c r="Z370" s="54"/>
      <c r="AA370" s="54"/>
      <c r="AB370" s="54"/>
      <c r="AC370" s="54"/>
      <c r="AD370" s="54"/>
      <c r="AE370" s="54"/>
      <c r="AF370" s="54"/>
      <c r="AG370" s="54"/>
      <c r="AH370" s="54"/>
      <c r="AI370" s="117">
        <f t="shared" si="10"/>
        <v>0</v>
      </c>
      <c r="AJ370" s="117">
        <f>SUM(F370:U370)</f>
        <v>0</v>
      </c>
      <c r="AK370" s="117">
        <f t="shared" si="11"/>
        <v>0</v>
      </c>
      <c r="AL370" s="23"/>
      <c r="AM370" s="127" t="b">
        <f>IF(INDEX($AO370:$BM370,0,$F$14)=1,TRUE,FALSE)</f>
        <v>0</v>
      </c>
      <c r="AN370" s="127" t="str">
        <f>IF(AM370,A370&amp;", "&amp;B370,"")</f>
        <v/>
      </c>
      <c r="AO370" s="129">
        <v>1</v>
      </c>
      <c r="AP370" s="129">
        <v>1</v>
      </c>
      <c r="AQ370" s="129"/>
      <c r="AR370" s="129"/>
      <c r="AS370" s="129"/>
      <c r="AT370" s="129"/>
      <c r="AU370" s="129"/>
      <c r="AV370" s="129"/>
      <c r="AW370" s="129"/>
      <c r="AX370" s="197"/>
      <c r="AY370" s="197"/>
      <c r="AZ370" s="197"/>
      <c r="BA370" s="197"/>
      <c r="BB370" s="129"/>
      <c r="BC370" s="129"/>
      <c r="BD370" s="129"/>
      <c r="BE370" s="129"/>
      <c r="BF370" s="129"/>
      <c r="BG370" s="129"/>
      <c r="BH370" s="129"/>
      <c r="BI370" s="129"/>
      <c r="BJ370" s="129"/>
      <c r="BK370" s="129"/>
      <c r="BL370" s="129"/>
      <c r="BM370" s="197"/>
    </row>
    <row r="371" spans="1:65" x14ac:dyDescent="0.25">
      <c r="A371" s="121" t="s">
        <v>137</v>
      </c>
      <c r="B371" s="121" t="s">
        <v>25</v>
      </c>
      <c r="C371" s="172" t="s">
        <v>222</v>
      </c>
      <c r="D371" s="161">
        <v>1</v>
      </c>
      <c r="E371" s="29" t="str">
        <f>INDEX(ra_ScName,MATCH(D371,ra_ScNumber,0))</f>
        <v>Expected nominal return (incl forecast asset revaluations)</v>
      </c>
      <c r="F371" s="54"/>
      <c r="G371" s="54"/>
      <c r="H371" s="54"/>
      <c r="I371" s="54"/>
      <c r="J371" s="54"/>
      <c r="K371" s="54"/>
      <c r="L371" s="54"/>
      <c r="M371" s="54"/>
      <c r="N371" s="54"/>
      <c r="O371" s="54"/>
      <c r="P371" s="54"/>
      <c r="Q371" s="54"/>
      <c r="R371" s="54"/>
      <c r="S371" s="54"/>
      <c r="T371" s="54"/>
      <c r="U371" s="54"/>
      <c r="V371" s="54"/>
      <c r="W371" s="54"/>
      <c r="X371" s="54"/>
      <c r="Y371" s="54"/>
      <c r="Z371" s="54"/>
      <c r="AA371" s="54"/>
      <c r="AB371" s="54"/>
      <c r="AC371" s="54"/>
      <c r="AD371" s="54"/>
      <c r="AE371" s="54"/>
      <c r="AF371" s="54"/>
      <c r="AG371" s="54"/>
      <c r="AH371" s="54"/>
      <c r="AI371" s="117">
        <f t="shared" si="10"/>
        <v>0</v>
      </c>
      <c r="AJ371" s="117">
        <f>SUM(F371:U371)</f>
        <v>0</v>
      </c>
      <c r="AK371" s="117">
        <f t="shared" si="11"/>
        <v>0</v>
      </c>
      <c r="AL371" s="23"/>
      <c r="AM371" s="127" t="b">
        <f>IF(INDEX($AO371:$BM371,0,$F$14)=1,TRUE,FALSE)</f>
        <v>0</v>
      </c>
      <c r="AN371" s="127" t="str">
        <f>IF(AM371,A371&amp;", "&amp;B371,"")</f>
        <v/>
      </c>
      <c r="AO371" s="129">
        <v>1</v>
      </c>
      <c r="AP371" s="129">
        <v>1</v>
      </c>
      <c r="AQ371" s="129"/>
      <c r="AR371" s="129"/>
      <c r="AS371" s="129"/>
      <c r="AT371" s="129"/>
      <c r="AU371" s="129"/>
      <c r="AV371" s="129"/>
      <c r="AW371" s="129"/>
      <c r="AX371" s="197"/>
      <c r="AY371" s="197"/>
      <c r="AZ371" s="197"/>
      <c r="BA371" s="197"/>
      <c r="BB371" s="129"/>
      <c r="BC371" s="129"/>
      <c r="BD371" s="129"/>
      <c r="BE371" s="129"/>
      <c r="BF371" s="129"/>
      <c r="BG371" s="129"/>
      <c r="BH371" s="129"/>
      <c r="BI371" s="129"/>
      <c r="BJ371" s="129"/>
      <c r="BK371" s="129"/>
      <c r="BL371" s="129"/>
      <c r="BM371" s="197"/>
    </row>
    <row r="372" spans="1:65" x14ac:dyDescent="0.25">
      <c r="A372" s="121" t="s">
        <v>137</v>
      </c>
      <c r="B372" s="121" t="s">
        <v>26</v>
      </c>
      <c r="C372" s="172" t="s">
        <v>222</v>
      </c>
      <c r="D372" s="161">
        <v>1</v>
      </c>
      <c r="E372" s="29" t="str">
        <f>INDEX(ra_ScName,MATCH(D372,ra_ScNumber,0))</f>
        <v>Expected nominal return (incl forecast asset revaluations)</v>
      </c>
      <c r="F372" s="54"/>
      <c r="G372" s="54"/>
      <c r="H372" s="54"/>
      <c r="I372" s="54"/>
      <c r="J372" s="54"/>
      <c r="K372" s="54"/>
      <c r="L372" s="54"/>
      <c r="M372" s="54"/>
      <c r="N372" s="54"/>
      <c r="O372" s="54"/>
      <c r="P372" s="54"/>
      <c r="Q372" s="54"/>
      <c r="R372" s="54"/>
      <c r="S372" s="54"/>
      <c r="T372" s="54"/>
      <c r="U372" s="54"/>
      <c r="V372" s="54"/>
      <c r="W372" s="54"/>
      <c r="X372" s="54"/>
      <c r="Y372" s="54"/>
      <c r="Z372" s="54"/>
      <c r="AA372" s="54"/>
      <c r="AB372" s="54"/>
      <c r="AC372" s="54"/>
      <c r="AD372" s="54"/>
      <c r="AE372" s="54"/>
      <c r="AF372" s="54"/>
      <c r="AG372" s="54"/>
      <c r="AH372" s="54"/>
      <c r="AI372" s="117">
        <f t="shared" si="10"/>
        <v>0</v>
      </c>
      <c r="AJ372" s="117">
        <f>SUM(F372:U372)</f>
        <v>0</v>
      </c>
      <c r="AK372" s="117">
        <f t="shared" si="11"/>
        <v>0</v>
      </c>
      <c r="AL372" s="23"/>
      <c r="AM372" s="127" t="b">
        <f>IF(INDEX($AO372:$BM372,0,$F$14)=1,TRUE,FALSE)</f>
        <v>0</v>
      </c>
      <c r="AN372" s="127" t="str">
        <f>IF(AM372,A372&amp;", "&amp;B372,"")</f>
        <v/>
      </c>
      <c r="AO372" s="129">
        <v>1</v>
      </c>
      <c r="AP372" s="129">
        <v>1</v>
      </c>
      <c r="AQ372" s="129"/>
      <c r="AR372" s="129"/>
      <c r="AS372" s="129"/>
      <c r="AT372" s="129"/>
      <c r="AU372" s="129"/>
      <c r="AV372" s="129"/>
      <c r="AW372" s="129"/>
      <c r="AX372" s="197"/>
      <c r="AY372" s="197"/>
      <c r="AZ372" s="197"/>
      <c r="BA372" s="197"/>
      <c r="BB372" s="129"/>
      <c r="BC372" s="129"/>
      <c r="BD372" s="129"/>
      <c r="BE372" s="129"/>
      <c r="BF372" s="129"/>
      <c r="BG372" s="129"/>
      <c r="BH372" s="129"/>
      <c r="BI372" s="129"/>
      <c r="BJ372" s="129"/>
      <c r="BK372" s="129"/>
      <c r="BL372" s="129"/>
      <c r="BM372" s="197"/>
    </row>
    <row r="373" spans="1:65" x14ac:dyDescent="0.25">
      <c r="A373" s="121" t="s">
        <v>137</v>
      </c>
      <c r="B373" s="121" t="s">
        <v>27</v>
      </c>
      <c r="C373" s="172" t="s">
        <v>222</v>
      </c>
      <c r="D373" s="161">
        <v>1</v>
      </c>
      <c r="E373" s="29" t="str">
        <f>INDEX(ra_ScName,MATCH(D373,ra_ScNumber,0))</f>
        <v>Expected nominal return (incl forecast asset revaluations)</v>
      </c>
      <c r="F373" s="54"/>
      <c r="G373" s="54"/>
      <c r="H373" s="54"/>
      <c r="I373" s="54"/>
      <c r="J373" s="54"/>
      <c r="K373" s="54"/>
      <c r="L373" s="54"/>
      <c r="M373" s="54"/>
      <c r="N373" s="54"/>
      <c r="O373" s="54"/>
      <c r="P373" s="54"/>
      <c r="Q373" s="54"/>
      <c r="R373" s="54"/>
      <c r="S373" s="54"/>
      <c r="T373" s="54"/>
      <c r="U373" s="54"/>
      <c r="V373" s="54"/>
      <c r="W373" s="54"/>
      <c r="X373" s="54"/>
      <c r="Y373" s="54"/>
      <c r="Z373" s="54"/>
      <c r="AA373" s="54"/>
      <c r="AB373" s="54"/>
      <c r="AC373" s="54"/>
      <c r="AD373" s="54"/>
      <c r="AE373" s="54"/>
      <c r="AF373" s="54"/>
      <c r="AG373" s="54"/>
      <c r="AH373" s="54"/>
      <c r="AI373" s="117">
        <f t="shared" si="10"/>
        <v>0</v>
      </c>
      <c r="AJ373" s="117">
        <f>SUM(F373:U373)</f>
        <v>0</v>
      </c>
      <c r="AK373" s="117">
        <f t="shared" si="11"/>
        <v>0</v>
      </c>
      <c r="AL373" s="23"/>
      <c r="AM373" s="127" t="b">
        <f>IF(INDEX($AO373:$BM373,0,$F$14)=1,TRUE,FALSE)</f>
        <v>0</v>
      </c>
      <c r="AN373" s="127" t="str">
        <f>IF(AM373,A373&amp;", "&amp;B373,"")</f>
        <v/>
      </c>
      <c r="AO373" s="129">
        <v>1</v>
      </c>
      <c r="AP373" s="129">
        <v>1</v>
      </c>
      <c r="AQ373" s="129"/>
      <c r="AR373" s="129"/>
      <c r="AS373" s="129"/>
      <c r="AT373" s="129"/>
      <c r="AU373" s="129"/>
      <c r="AV373" s="129"/>
      <c r="AW373" s="129"/>
      <c r="AX373" s="197"/>
      <c r="AY373" s="197"/>
      <c r="AZ373" s="197"/>
      <c r="BA373" s="197"/>
      <c r="BB373" s="129"/>
      <c r="BC373" s="129"/>
      <c r="BD373" s="129"/>
      <c r="BE373" s="129"/>
      <c r="BF373" s="129"/>
      <c r="BG373" s="129"/>
      <c r="BH373" s="129"/>
      <c r="BI373" s="129"/>
      <c r="BJ373" s="129"/>
      <c r="BK373" s="129"/>
      <c r="BL373" s="129"/>
      <c r="BM373" s="197"/>
    </row>
    <row r="374" spans="1:65" x14ac:dyDescent="0.25">
      <c r="A374" s="121"/>
      <c r="B374" s="121"/>
      <c r="C374" s="172"/>
      <c r="D374" s="49"/>
      <c r="E374" s="49"/>
      <c r="F374" s="54"/>
      <c r="G374" s="54"/>
      <c r="H374" s="54"/>
      <c r="I374" s="54"/>
      <c r="J374" s="54"/>
      <c r="K374" s="54"/>
      <c r="L374" s="54"/>
      <c r="M374" s="54"/>
      <c r="N374" s="54"/>
      <c r="O374" s="54"/>
      <c r="P374" s="54"/>
      <c r="Q374" s="54"/>
      <c r="R374" s="54"/>
      <c r="S374" s="54"/>
      <c r="T374" s="54"/>
      <c r="U374" s="54"/>
      <c r="V374" s="54"/>
      <c r="W374" s="55"/>
      <c r="X374" s="55"/>
      <c r="Y374" s="55"/>
      <c r="Z374" s="55"/>
      <c r="AA374" s="55"/>
      <c r="AB374" s="55"/>
      <c r="AC374" s="55"/>
      <c r="AD374" s="55"/>
      <c r="AE374" s="55"/>
      <c r="AF374" s="55"/>
      <c r="AG374" s="55"/>
      <c r="AH374" s="55"/>
      <c r="AI374" s="54"/>
      <c r="AJ374" s="54"/>
      <c r="AK374" s="54"/>
      <c r="AL374" s="23"/>
      <c r="AM374" s="127"/>
      <c r="AN374" s="127"/>
      <c r="AO374" s="129"/>
      <c r="AP374" s="129"/>
      <c r="AQ374" s="129"/>
      <c r="AR374" s="129"/>
      <c r="AS374" s="129"/>
      <c r="AT374" s="129"/>
      <c r="AU374" s="129"/>
      <c r="AV374" s="129"/>
      <c r="AW374" s="129"/>
      <c r="AX374" s="197"/>
      <c r="AY374" s="197"/>
      <c r="AZ374" s="197"/>
      <c r="BA374" s="197"/>
      <c r="BB374" s="129"/>
      <c r="BC374" s="129"/>
      <c r="BD374" s="129"/>
      <c r="BE374" s="129"/>
      <c r="BF374" s="129"/>
      <c r="BG374" s="129"/>
      <c r="BH374" s="129"/>
      <c r="BI374" s="129"/>
      <c r="BJ374" s="129"/>
      <c r="BK374" s="129"/>
      <c r="BL374" s="129"/>
      <c r="BM374" s="197"/>
    </row>
    <row r="375" spans="1:65" x14ac:dyDescent="0.25">
      <c r="A375" s="121"/>
      <c r="B375" s="121"/>
      <c r="C375" s="172"/>
      <c r="D375" s="46"/>
      <c r="E375" s="46"/>
      <c r="F375" s="54"/>
      <c r="G375" s="54"/>
      <c r="H375" s="54"/>
      <c r="I375" s="54"/>
      <c r="J375" s="54"/>
      <c r="K375" s="54"/>
      <c r="L375" s="54"/>
      <c r="M375" s="54"/>
      <c r="N375" s="54"/>
      <c r="O375" s="54"/>
      <c r="P375" s="54"/>
      <c r="Q375" s="54"/>
      <c r="R375" s="54"/>
      <c r="S375" s="54"/>
      <c r="T375" s="54"/>
      <c r="U375" s="54"/>
      <c r="V375" s="54"/>
      <c r="W375" s="55"/>
      <c r="X375" s="55"/>
      <c r="Y375" s="55"/>
      <c r="Z375" s="55"/>
      <c r="AA375" s="55"/>
      <c r="AB375" s="55"/>
      <c r="AC375" s="55"/>
      <c r="AD375" s="55"/>
      <c r="AE375" s="55"/>
      <c r="AF375" s="55"/>
      <c r="AG375" s="55"/>
      <c r="AH375" s="55"/>
      <c r="AI375" s="54"/>
      <c r="AJ375" s="54"/>
      <c r="AK375" s="54"/>
      <c r="AL375" s="23"/>
      <c r="AM375" s="127"/>
      <c r="AN375" s="127"/>
      <c r="AO375" s="129"/>
      <c r="AP375" s="129"/>
      <c r="AQ375" s="129"/>
      <c r="AR375" s="129"/>
      <c r="AS375" s="129"/>
      <c r="AT375" s="129"/>
      <c r="AU375" s="129"/>
      <c r="AV375" s="129"/>
      <c r="AW375" s="129"/>
      <c r="AX375" s="197"/>
      <c r="AY375" s="197"/>
      <c r="AZ375" s="197"/>
      <c r="BA375" s="197"/>
      <c r="BB375" s="129"/>
      <c r="BC375" s="129"/>
      <c r="BD375" s="129"/>
      <c r="BE375" s="129"/>
      <c r="BF375" s="129"/>
      <c r="BG375" s="129"/>
      <c r="BH375" s="129"/>
      <c r="BI375" s="129"/>
      <c r="BJ375" s="129"/>
      <c r="BK375" s="129"/>
      <c r="BL375" s="129"/>
      <c r="BM375" s="197"/>
    </row>
    <row r="376" spans="1:65" x14ac:dyDescent="0.25">
      <c r="A376" s="121" t="s">
        <v>137</v>
      </c>
      <c r="B376" s="121" t="s">
        <v>23</v>
      </c>
      <c r="C376" s="172" t="s">
        <v>222</v>
      </c>
      <c r="D376" s="161">
        <v>10</v>
      </c>
      <c r="E376" s="29" t="str">
        <f>INDEX(ra_ScName,MATCH(D376,ra_ScNumber,0))</f>
        <v>Disclosed nominal return (incl actual asset revaluations)</v>
      </c>
      <c r="F376" s="122">
        <v>0</v>
      </c>
      <c r="G376" s="122">
        <v>0</v>
      </c>
      <c r="H376" s="122">
        <v>0</v>
      </c>
      <c r="I376" s="122">
        <v>0</v>
      </c>
      <c r="J376" s="122">
        <v>0</v>
      </c>
      <c r="K376" s="122">
        <v>0</v>
      </c>
      <c r="L376" s="122">
        <v>0</v>
      </c>
      <c r="M376" s="122">
        <v>0</v>
      </c>
      <c r="N376" s="122">
        <v>0</v>
      </c>
      <c r="O376" s="122">
        <v>0</v>
      </c>
      <c r="P376" s="122">
        <v>0</v>
      </c>
      <c r="Q376" s="122">
        <v>0</v>
      </c>
      <c r="R376" s="122">
        <v>0</v>
      </c>
      <c r="S376" s="122">
        <v>0</v>
      </c>
      <c r="T376" s="122">
        <v>0</v>
      </c>
      <c r="U376" s="122">
        <v>0</v>
      </c>
      <c r="V376" s="122">
        <v>0</v>
      </c>
      <c r="W376" s="122">
        <v>0</v>
      </c>
      <c r="X376" s="122">
        <v>0</v>
      </c>
      <c r="Y376" s="122">
        <v>0</v>
      </c>
      <c r="Z376" s="122">
        <v>0</v>
      </c>
      <c r="AA376" s="122">
        <v>0</v>
      </c>
      <c r="AB376" s="122">
        <v>0</v>
      </c>
      <c r="AC376" s="122">
        <v>0</v>
      </c>
      <c r="AD376" s="122">
        <v>0</v>
      </c>
      <c r="AE376" s="122">
        <v>0</v>
      </c>
      <c r="AF376" s="122">
        <v>0</v>
      </c>
      <c r="AG376" s="122">
        <v>0</v>
      </c>
      <c r="AH376" s="122">
        <v>0</v>
      </c>
      <c r="AI376" s="117">
        <f t="shared" si="10"/>
        <v>0</v>
      </c>
      <c r="AJ376" s="117">
        <f>SUM(F376:U376)</f>
        <v>0</v>
      </c>
      <c r="AK376" s="117">
        <f t="shared" si="11"/>
        <v>0</v>
      </c>
      <c r="AL376" s="23"/>
      <c r="AM376" s="127" t="b">
        <f>IF(INDEX($AO376:$BM376,0,$F$14)=1,TRUE,FALSE)</f>
        <v>1</v>
      </c>
      <c r="AN376" s="127" t="str">
        <f>IF(AM376,A376&amp;", "&amp;B376,"")</f>
        <v>Capex wash-up adjustment, 2010/11</v>
      </c>
      <c r="AO376" s="129"/>
      <c r="AP376" s="129"/>
      <c r="AQ376" s="129">
        <v>1</v>
      </c>
      <c r="AR376" s="129">
        <v>1</v>
      </c>
      <c r="AS376" s="129">
        <v>1</v>
      </c>
      <c r="AT376" s="129">
        <v>1</v>
      </c>
      <c r="AU376" s="129">
        <v>1</v>
      </c>
      <c r="AV376" s="129">
        <v>1</v>
      </c>
      <c r="AW376" s="129">
        <v>1</v>
      </c>
      <c r="AX376" s="197">
        <v>1</v>
      </c>
      <c r="AY376" s="197">
        <v>1</v>
      </c>
      <c r="AZ376" s="197">
        <v>1</v>
      </c>
      <c r="BA376" s="197">
        <v>1</v>
      </c>
      <c r="BB376" s="129">
        <v>1</v>
      </c>
      <c r="BC376" s="129">
        <v>1</v>
      </c>
      <c r="BD376" s="129">
        <v>1</v>
      </c>
      <c r="BE376" s="129">
        <v>1</v>
      </c>
      <c r="BF376" s="129">
        <v>1</v>
      </c>
      <c r="BG376" s="129">
        <v>1</v>
      </c>
      <c r="BH376" s="129">
        <v>1</v>
      </c>
      <c r="BI376" s="129">
        <v>1</v>
      </c>
      <c r="BJ376" s="129">
        <v>1</v>
      </c>
      <c r="BK376" s="129">
        <v>1</v>
      </c>
      <c r="BL376" s="129">
        <v>1</v>
      </c>
      <c r="BM376" s="197">
        <v>1</v>
      </c>
    </row>
    <row r="377" spans="1:65" x14ac:dyDescent="0.25">
      <c r="A377" s="121" t="s">
        <v>137</v>
      </c>
      <c r="B377" s="121" t="s">
        <v>24</v>
      </c>
      <c r="C377" s="172" t="s">
        <v>222</v>
      </c>
      <c r="D377" s="161">
        <v>10</v>
      </c>
      <c r="E377" s="29" t="str">
        <f>INDEX(ra_ScName,MATCH(D377,ra_ScNumber,0))</f>
        <v>Disclosed nominal return (incl actual asset revaluations)</v>
      </c>
      <c r="F377" s="122">
        <v>0</v>
      </c>
      <c r="G377" s="122">
        <v>0</v>
      </c>
      <c r="H377" s="122">
        <v>0</v>
      </c>
      <c r="I377" s="122">
        <v>0</v>
      </c>
      <c r="J377" s="122">
        <v>0</v>
      </c>
      <c r="K377" s="122">
        <v>0</v>
      </c>
      <c r="L377" s="122">
        <v>0</v>
      </c>
      <c r="M377" s="122">
        <v>0</v>
      </c>
      <c r="N377" s="122">
        <v>0</v>
      </c>
      <c r="O377" s="122">
        <v>0</v>
      </c>
      <c r="P377" s="122">
        <v>0</v>
      </c>
      <c r="Q377" s="122">
        <v>0</v>
      </c>
      <c r="R377" s="122">
        <v>0</v>
      </c>
      <c r="S377" s="122">
        <v>0</v>
      </c>
      <c r="T377" s="122">
        <v>0</v>
      </c>
      <c r="U377" s="122">
        <v>0</v>
      </c>
      <c r="V377" s="122">
        <v>0</v>
      </c>
      <c r="W377" s="122">
        <v>0</v>
      </c>
      <c r="X377" s="122">
        <v>0</v>
      </c>
      <c r="Y377" s="122">
        <v>0</v>
      </c>
      <c r="Z377" s="122">
        <v>0</v>
      </c>
      <c r="AA377" s="122">
        <v>0</v>
      </c>
      <c r="AB377" s="122">
        <v>0</v>
      </c>
      <c r="AC377" s="122">
        <v>0</v>
      </c>
      <c r="AD377" s="122">
        <v>0</v>
      </c>
      <c r="AE377" s="122">
        <v>0</v>
      </c>
      <c r="AF377" s="122">
        <v>0</v>
      </c>
      <c r="AG377" s="122">
        <v>0</v>
      </c>
      <c r="AH377" s="122">
        <v>0</v>
      </c>
      <c r="AI377" s="117">
        <f t="shared" si="10"/>
        <v>0</v>
      </c>
      <c r="AJ377" s="117">
        <f>SUM(F377:U377)</f>
        <v>0</v>
      </c>
      <c r="AK377" s="117">
        <f t="shared" si="11"/>
        <v>0</v>
      </c>
      <c r="AL377" s="23"/>
      <c r="AM377" s="127" t="b">
        <f>IF(INDEX($AO377:$BM377,0,$F$14)=1,TRUE,FALSE)</f>
        <v>1</v>
      </c>
      <c r="AN377" s="127" t="str">
        <f>IF(AM377,A377&amp;", "&amp;B377,"")</f>
        <v>Capex wash-up adjustment, 2011/12</v>
      </c>
      <c r="AO377" s="129"/>
      <c r="AP377" s="129"/>
      <c r="AQ377" s="129">
        <v>1</v>
      </c>
      <c r="AR377" s="129">
        <v>1</v>
      </c>
      <c r="AS377" s="129">
        <v>1</v>
      </c>
      <c r="AT377" s="129">
        <v>1</v>
      </c>
      <c r="AU377" s="129">
        <v>1</v>
      </c>
      <c r="AV377" s="129">
        <v>1</v>
      </c>
      <c r="AW377" s="129">
        <v>1</v>
      </c>
      <c r="AX377" s="197">
        <v>1</v>
      </c>
      <c r="AY377" s="197">
        <v>1</v>
      </c>
      <c r="AZ377" s="197">
        <v>1</v>
      </c>
      <c r="BA377" s="197">
        <v>1</v>
      </c>
      <c r="BB377" s="129">
        <v>1</v>
      </c>
      <c r="BC377" s="129">
        <v>1</v>
      </c>
      <c r="BD377" s="129">
        <v>1</v>
      </c>
      <c r="BE377" s="129">
        <v>1</v>
      </c>
      <c r="BF377" s="129">
        <v>1</v>
      </c>
      <c r="BG377" s="129">
        <v>1</v>
      </c>
      <c r="BH377" s="129">
        <v>1</v>
      </c>
      <c r="BI377" s="129">
        <v>1</v>
      </c>
      <c r="BJ377" s="129">
        <v>1</v>
      </c>
      <c r="BK377" s="129">
        <v>1</v>
      </c>
      <c r="BL377" s="129">
        <v>1</v>
      </c>
      <c r="BM377" s="197">
        <v>1</v>
      </c>
    </row>
    <row r="378" spans="1:65" x14ac:dyDescent="0.25">
      <c r="A378" s="121" t="s">
        <v>137</v>
      </c>
      <c r="B378" s="121" t="s">
        <v>25</v>
      </c>
      <c r="C378" s="172" t="s">
        <v>222</v>
      </c>
      <c r="D378" s="161">
        <v>10</v>
      </c>
      <c r="E378" s="29" t="str">
        <f>INDEX(ra_ScName,MATCH(D378,ra_ScNumber,0))</f>
        <v>Disclosed nominal return (incl actual asset revaluations)</v>
      </c>
      <c r="F378" s="122">
        <v>0</v>
      </c>
      <c r="G378" s="122">
        <v>0</v>
      </c>
      <c r="H378" s="122">
        <v>0</v>
      </c>
      <c r="I378" s="122">
        <v>0</v>
      </c>
      <c r="J378" s="122">
        <v>0</v>
      </c>
      <c r="K378" s="122">
        <v>0</v>
      </c>
      <c r="L378" s="122">
        <v>0</v>
      </c>
      <c r="M378" s="122">
        <v>0</v>
      </c>
      <c r="N378" s="122">
        <v>0</v>
      </c>
      <c r="O378" s="122">
        <v>0</v>
      </c>
      <c r="P378" s="122">
        <v>0</v>
      </c>
      <c r="Q378" s="122">
        <v>0</v>
      </c>
      <c r="R378" s="122">
        <v>0</v>
      </c>
      <c r="S378" s="122">
        <v>0</v>
      </c>
      <c r="T378" s="122">
        <v>0</v>
      </c>
      <c r="U378" s="122">
        <v>0</v>
      </c>
      <c r="V378" s="122">
        <v>0</v>
      </c>
      <c r="W378" s="122">
        <v>0</v>
      </c>
      <c r="X378" s="122">
        <v>0</v>
      </c>
      <c r="Y378" s="122">
        <v>0</v>
      </c>
      <c r="Z378" s="122">
        <v>0</v>
      </c>
      <c r="AA378" s="122">
        <v>0</v>
      </c>
      <c r="AB378" s="122">
        <v>0</v>
      </c>
      <c r="AC378" s="122">
        <v>0</v>
      </c>
      <c r="AD378" s="122">
        <v>0</v>
      </c>
      <c r="AE378" s="122">
        <v>0</v>
      </c>
      <c r="AF378" s="122">
        <v>0</v>
      </c>
      <c r="AG378" s="122">
        <v>0</v>
      </c>
      <c r="AH378" s="122">
        <v>0</v>
      </c>
      <c r="AI378" s="117">
        <f t="shared" si="10"/>
        <v>0</v>
      </c>
      <c r="AJ378" s="117">
        <f>SUM(F378:U378)</f>
        <v>0</v>
      </c>
      <c r="AK378" s="117">
        <f t="shared" si="11"/>
        <v>0</v>
      </c>
      <c r="AL378" s="23"/>
      <c r="AM378" s="127" t="b">
        <f>IF(INDEX($AO378:$BM378,0,$F$14)=1,TRUE,FALSE)</f>
        <v>1</v>
      </c>
      <c r="AN378" s="127" t="str">
        <f>IF(AM378,A378&amp;", "&amp;B378,"")</f>
        <v>Capex wash-up adjustment, 2012/13</v>
      </c>
      <c r="AO378" s="129"/>
      <c r="AP378" s="129"/>
      <c r="AQ378" s="129">
        <v>1</v>
      </c>
      <c r="AR378" s="129">
        <v>1</v>
      </c>
      <c r="AS378" s="129">
        <v>1</v>
      </c>
      <c r="AT378" s="129">
        <v>1</v>
      </c>
      <c r="AU378" s="129">
        <v>1</v>
      </c>
      <c r="AV378" s="129">
        <v>1</v>
      </c>
      <c r="AW378" s="129">
        <v>1</v>
      </c>
      <c r="AX378" s="197">
        <v>1</v>
      </c>
      <c r="AY378" s="197">
        <v>1</v>
      </c>
      <c r="AZ378" s="197">
        <v>1</v>
      </c>
      <c r="BA378" s="197">
        <v>1</v>
      </c>
      <c r="BB378" s="129">
        <v>1</v>
      </c>
      <c r="BC378" s="129">
        <v>1</v>
      </c>
      <c r="BD378" s="129">
        <v>1</v>
      </c>
      <c r="BE378" s="129">
        <v>1</v>
      </c>
      <c r="BF378" s="129">
        <v>1</v>
      </c>
      <c r="BG378" s="129">
        <v>1</v>
      </c>
      <c r="BH378" s="129">
        <v>1</v>
      </c>
      <c r="BI378" s="129">
        <v>1</v>
      </c>
      <c r="BJ378" s="129">
        <v>1</v>
      </c>
      <c r="BK378" s="129">
        <v>1</v>
      </c>
      <c r="BL378" s="129">
        <v>1</v>
      </c>
      <c r="BM378" s="197">
        <v>1</v>
      </c>
    </row>
    <row r="379" spans="1:65" x14ac:dyDescent="0.25">
      <c r="A379" s="121" t="s">
        <v>137</v>
      </c>
      <c r="B379" s="121" t="s">
        <v>26</v>
      </c>
      <c r="C379" s="172" t="s">
        <v>222</v>
      </c>
      <c r="D379" s="161">
        <v>10</v>
      </c>
      <c r="E379" s="29" t="str">
        <f>INDEX(ra_ScName,MATCH(D379,ra_ScNumber,0))</f>
        <v>Disclosed nominal return (incl actual asset revaluations)</v>
      </c>
      <c r="F379" s="122">
        <v>0</v>
      </c>
      <c r="G379" s="122">
        <v>0</v>
      </c>
      <c r="H379" s="122">
        <v>0</v>
      </c>
      <c r="I379" s="122">
        <v>0</v>
      </c>
      <c r="J379" s="122">
        <v>0</v>
      </c>
      <c r="K379" s="122">
        <v>0</v>
      </c>
      <c r="L379" s="122">
        <v>0</v>
      </c>
      <c r="M379" s="122">
        <v>0</v>
      </c>
      <c r="N379" s="122">
        <v>0</v>
      </c>
      <c r="O379" s="122">
        <v>0</v>
      </c>
      <c r="P379" s="122">
        <v>0</v>
      </c>
      <c r="Q379" s="122">
        <v>0</v>
      </c>
      <c r="R379" s="122">
        <v>0</v>
      </c>
      <c r="S379" s="122">
        <v>0</v>
      </c>
      <c r="T379" s="122">
        <v>0</v>
      </c>
      <c r="U379" s="122">
        <v>0</v>
      </c>
      <c r="V379" s="122">
        <v>0</v>
      </c>
      <c r="W379" s="122">
        <v>0</v>
      </c>
      <c r="X379" s="122">
        <v>0</v>
      </c>
      <c r="Y379" s="122">
        <v>0</v>
      </c>
      <c r="Z379" s="122">
        <v>0</v>
      </c>
      <c r="AA379" s="122">
        <v>0</v>
      </c>
      <c r="AB379" s="122">
        <v>0</v>
      </c>
      <c r="AC379" s="122">
        <v>0</v>
      </c>
      <c r="AD379" s="122">
        <v>0</v>
      </c>
      <c r="AE379" s="122">
        <v>0</v>
      </c>
      <c r="AF379" s="122">
        <v>0</v>
      </c>
      <c r="AG379" s="122">
        <v>0</v>
      </c>
      <c r="AH379" s="122">
        <v>0</v>
      </c>
      <c r="AI379" s="117">
        <f t="shared" si="10"/>
        <v>0</v>
      </c>
      <c r="AJ379" s="117">
        <f>SUM(F379:U379)</f>
        <v>0</v>
      </c>
      <c r="AK379" s="117">
        <f t="shared" si="11"/>
        <v>0</v>
      </c>
      <c r="AL379" s="23"/>
      <c r="AM379" s="127" t="b">
        <f>IF(INDEX($AO379:$BM379,0,$F$14)=1,TRUE,FALSE)</f>
        <v>1</v>
      </c>
      <c r="AN379" s="127" t="str">
        <f>IF(AM379,A379&amp;", "&amp;B379,"")</f>
        <v>Capex wash-up adjustment, 2013/14</v>
      </c>
      <c r="AO379" s="129"/>
      <c r="AP379" s="129"/>
      <c r="AQ379" s="129">
        <v>1</v>
      </c>
      <c r="AR379" s="129">
        <v>1</v>
      </c>
      <c r="AS379" s="129">
        <v>1</v>
      </c>
      <c r="AT379" s="129">
        <v>1</v>
      </c>
      <c r="AU379" s="129">
        <v>1</v>
      </c>
      <c r="AV379" s="129">
        <v>1</v>
      </c>
      <c r="AW379" s="129">
        <v>1</v>
      </c>
      <c r="AX379" s="197">
        <v>1</v>
      </c>
      <c r="AY379" s="197">
        <v>1</v>
      </c>
      <c r="AZ379" s="197">
        <v>1</v>
      </c>
      <c r="BA379" s="197">
        <v>1</v>
      </c>
      <c r="BB379" s="129">
        <v>1</v>
      </c>
      <c r="BC379" s="129">
        <v>1</v>
      </c>
      <c r="BD379" s="129">
        <v>1</v>
      </c>
      <c r="BE379" s="129">
        <v>1</v>
      </c>
      <c r="BF379" s="129">
        <v>1</v>
      </c>
      <c r="BG379" s="129">
        <v>1</v>
      </c>
      <c r="BH379" s="129">
        <v>1</v>
      </c>
      <c r="BI379" s="129">
        <v>1</v>
      </c>
      <c r="BJ379" s="129">
        <v>1</v>
      </c>
      <c r="BK379" s="129">
        <v>1</v>
      </c>
      <c r="BL379" s="129">
        <v>1</v>
      </c>
      <c r="BM379" s="197">
        <v>1</v>
      </c>
    </row>
    <row r="380" spans="1:65" x14ac:dyDescent="0.25">
      <c r="A380" s="121" t="s">
        <v>137</v>
      </c>
      <c r="B380" s="121" t="s">
        <v>27</v>
      </c>
      <c r="C380" s="172" t="s">
        <v>222</v>
      </c>
      <c r="D380" s="161">
        <v>10</v>
      </c>
      <c r="E380" s="29" t="str">
        <f>INDEX(ra_ScName,MATCH(D380,ra_ScNumber,0))</f>
        <v>Disclosed nominal return (incl actual asset revaluations)</v>
      </c>
      <c r="F380" s="122">
        <v>0</v>
      </c>
      <c r="G380" s="122">
        <v>0</v>
      </c>
      <c r="H380" s="122">
        <v>0</v>
      </c>
      <c r="I380" s="122">
        <v>0</v>
      </c>
      <c r="J380" s="122">
        <v>0</v>
      </c>
      <c r="K380" s="122">
        <v>0</v>
      </c>
      <c r="L380" s="122">
        <v>0</v>
      </c>
      <c r="M380" s="122">
        <v>0</v>
      </c>
      <c r="N380" s="122">
        <v>0</v>
      </c>
      <c r="O380" s="122">
        <v>0</v>
      </c>
      <c r="P380" s="122">
        <v>0</v>
      </c>
      <c r="Q380" s="122">
        <v>0</v>
      </c>
      <c r="R380" s="122">
        <v>0</v>
      </c>
      <c r="S380" s="122">
        <v>0</v>
      </c>
      <c r="T380" s="122">
        <v>0</v>
      </c>
      <c r="U380" s="122">
        <v>0</v>
      </c>
      <c r="V380" s="122">
        <v>0</v>
      </c>
      <c r="W380" s="122">
        <v>0</v>
      </c>
      <c r="X380" s="122">
        <v>0</v>
      </c>
      <c r="Y380" s="122">
        <v>0</v>
      </c>
      <c r="Z380" s="122">
        <v>0</v>
      </c>
      <c r="AA380" s="122">
        <v>0</v>
      </c>
      <c r="AB380" s="122">
        <v>0</v>
      </c>
      <c r="AC380" s="122">
        <v>0</v>
      </c>
      <c r="AD380" s="122">
        <v>0</v>
      </c>
      <c r="AE380" s="122">
        <v>0</v>
      </c>
      <c r="AF380" s="122">
        <v>0</v>
      </c>
      <c r="AG380" s="122">
        <v>0</v>
      </c>
      <c r="AH380" s="122">
        <v>0</v>
      </c>
      <c r="AI380" s="117">
        <f t="shared" si="10"/>
        <v>0</v>
      </c>
      <c r="AJ380" s="117">
        <f>SUM(F380:U380)</f>
        <v>0</v>
      </c>
      <c r="AK380" s="117">
        <f t="shared" si="11"/>
        <v>0</v>
      </c>
      <c r="AL380" s="23"/>
      <c r="AM380" s="127" t="b">
        <f>IF(INDEX($AO380:$BM380,0,$F$14)=1,TRUE,FALSE)</f>
        <v>1</v>
      </c>
      <c r="AN380" s="127" t="str">
        <f>IF(AM380,A380&amp;", "&amp;B380,"")</f>
        <v>Capex wash-up adjustment, 2014/15</v>
      </c>
      <c r="AO380" s="129"/>
      <c r="AP380" s="129"/>
      <c r="AQ380" s="129">
        <v>1</v>
      </c>
      <c r="AR380" s="129">
        <v>1</v>
      </c>
      <c r="AS380" s="129">
        <v>1</v>
      </c>
      <c r="AT380" s="129">
        <v>1</v>
      </c>
      <c r="AU380" s="129">
        <v>1</v>
      </c>
      <c r="AV380" s="129">
        <v>1</v>
      </c>
      <c r="AW380" s="129">
        <v>1</v>
      </c>
      <c r="AX380" s="197">
        <v>1</v>
      </c>
      <c r="AY380" s="197">
        <v>1</v>
      </c>
      <c r="AZ380" s="197">
        <v>1</v>
      </c>
      <c r="BA380" s="197">
        <v>1</v>
      </c>
      <c r="BB380" s="129">
        <v>1</v>
      </c>
      <c r="BC380" s="129">
        <v>1</v>
      </c>
      <c r="BD380" s="129">
        <v>1</v>
      </c>
      <c r="BE380" s="129">
        <v>1</v>
      </c>
      <c r="BF380" s="129">
        <v>1</v>
      </c>
      <c r="BG380" s="129">
        <v>1</v>
      </c>
      <c r="BH380" s="129">
        <v>1</v>
      </c>
      <c r="BI380" s="129">
        <v>1</v>
      </c>
      <c r="BJ380" s="129">
        <v>1</v>
      </c>
      <c r="BK380" s="129">
        <v>1</v>
      </c>
      <c r="BL380" s="129">
        <v>1</v>
      </c>
      <c r="BM380" s="197">
        <v>1</v>
      </c>
    </row>
    <row r="381" spans="1:65" x14ac:dyDescent="0.25">
      <c r="A381" s="121"/>
      <c r="B381" s="121"/>
      <c r="C381" s="172"/>
      <c r="D381" s="49"/>
      <c r="E381" s="49"/>
      <c r="F381" s="54"/>
      <c r="G381" s="54"/>
      <c r="H381" s="54"/>
      <c r="I381" s="54"/>
      <c r="J381" s="54"/>
      <c r="K381" s="54"/>
      <c r="L381" s="54"/>
      <c r="M381" s="54"/>
      <c r="N381" s="54"/>
      <c r="O381" s="54"/>
      <c r="P381" s="54"/>
      <c r="Q381" s="54"/>
      <c r="R381" s="54"/>
      <c r="S381" s="54"/>
      <c r="T381" s="54"/>
      <c r="U381" s="54"/>
      <c r="V381" s="54"/>
      <c r="W381" s="55"/>
      <c r="X381" s="55"/>
      <c r="Y381" s="55"/>
      <c r="Z381" s="55"/>
      <c r="AA381" s="55"/>
      <c r="AB381" s="55"/>
      <c r="AC381" s="55"/>
      <c r="AD381" s="55"/>
      <c r="AE381" s="55"/>
      <c r="AF381" s="55"/>
      <c r="AG381" s="55"/>
      <c r="AH381" s="55"/>
      <c r="AI381" s="54"/>
      <c r="AJ381" s="54"/>
      <c r="AK381" s="54"/>
      <c r="AL381" s="23"/>
      <c r="AM381" s="127"/>
      <c r="AN381" s="127"/>
      <c r="AO381" s="129"/>
      <c r="AP381" s="129"/>
      <c r="AQ381" s="129"/>
      <c r="AR381" s="129"/>
      <c r="AS381" s="129"/>
      <c r="AT381" s="129"/>
      <c r="AU381" s="129"/>
      <c r="AV381" s="129"/>
      <c r="AW381" s="129"/>
      <c r="AX381" s="197"/>
      <c r="AY381" s="197"/>
      <c r="AZ381" s="197"/>
      <c r="BA381" s="197"/>
      <c r="BB381" s="129"/>
      <c r="BC381" s="129"/>
      <c r="BD381" s="129"/>
      <c r="BE381" s="129"/>
      <c r="BF381" s="129"/>
      <c r="BG381" s="129"/>
      <c r="BH381" s="129"/>
      <c r="BI381" s="129"/>
      <c r="BJ381" s="129"/>
      <c r="BK381" s="129"/>
      <c r="BL381" s="129"/>
      <c r="BM381" s="197"/>
    </row>
    <row r="382" spans="1:65" x14ac:dyDescent="0.25">
      <c r="A382" s="121"/>
      <c r="B382" s="121"/>
      <c r="C382" s="172"/>
      <c r="D382" s="46"/>
      <c r="E382" s="46"/>
      <c r="F382" s="54"/>
      <c r="G382" s="54"/>
      <c r="H382" s="54"/>
      <c r="I382" s="54"/>
      <c r="J382" s="54"/>
      <c r="K382" s="54"/>
      <c r="L382" s="54"/>
      <c r="M382" s="54"/>
      <c r="N382" s="54"/>
      <c r="O382" s="54"/>
      <c r="P382" s="54"/>
      <c r="Q382" s="54"/>
      <c r="R382" s="54"/>
      <c r="S382" s="54"/>
      <c r="T382" s="54"/>
      <c r="U382" s="54"/>
      <c r="V382" s="54"/>
      <c r="W382" s="55"/>
      <c r="X382" s="55"/>
      <c r="Y382" s="55"/>
      <c r="Z382" s="55"/>
      <c r="AA382" s="55"/>
      <c r="AB382" s="55"/>
      <c r="AC382" s="55"/>
      <c r="AD382" s="55"/>
      <c r="AE382" s="55"/>
      <c r="AF382" s="55"/>
      <c r="AG382" s="55"/>
      <c r="AH382" s="55"/>
      <c r="AI382" s="54"/>
      <c r="AJ382" s="54"/>
      <c r="AK382" s="54"/>
      <c r="AL382" s="23"/>
      <c r="AM382" s="127"/>
      <c r="AN382" s="127"/>
      <c r="AO382" s="129"/>
      <c r="AP382" s="129"/>
      <c r="AQ382" s="129"/>
      <c r="AR382" s="129"/>
      <c r="AS382" s="129"/>
      <c r="AT382" s="129"/>
      <c r="AU382" s="129"/>
      <c r="AV382" s="129"/>
      <c r="AW382" s="129"/>
      <c r="AX382" s="197"/>
      <c r="AY382" s="197"/>
      <c r="AZ382" s="197"/>
      <c r="BA382" s="197"/>
      <c r="BB382" s="129"/>
      <c r="BC382" s="129"/>
      <c r="BD382" s="129"/>
      <c r="BE382" s="129"/>
      <c r="BF382" s="129"/>
      <c r="BG382" s="129"/>
      <c r="BH382" s="129"/>
      <c r="BI382" s="129"/>
      <c r="BJ382" s="129"/>
      <c r="BK382" s="129"/>
      <c r="BL382" s="129"/>
      <c r="BM382" s="197"/>
    </row>
    <row r="383" spans="1:65" x14ac:dyDescent="0.25">
      <c r="A383" s="121" t="s">
        <v>138</v>
      </c>
      <c r="B383" s="121" t="s">
        <v>23</v>
      </c>
      <c r="C383" s="172" t="s">
        <v>222</v>
      </c>
      <c r="D383" s="161">
        <v>1</v>
      </c>
      <c r="E383" s="29" t="str">
        <f>INDEX(ra_ScName,MATCH(D383,ra_ScNumber,0))</f>
        <v>Expected nominal return (incl forecast asset revaluations)</v>
      </c>
      <c r="F383" s="54"/>
      <c r="G383" s="54"/>
      <c r="H383" s="54"/>
      <c r="I383" s="54"/>
      <c r="J383" s="54"/>
      <c r="K383" s="54"/>
      <c r="L383" s="54"/>
      <c r="M383" s="54"/>
      <c r="N383" s="54"/>
      <c r="O383" s="54"/>
      <c r="P383" s="54"/>
      <c r="Q383" s="54"/>
      <c r="R383" s="54"/>
      <c r="S383" s="54"/>
      <c r="T383" s="54"/>
      <c r="U383" s="54"/>
      <c r="V383" s="54"/>
      <c r="W383" s="54"/>
      <c r="X383" s="54"/>
      <c r="Y383" s="54"/>
      <c r="Z383" s="54"/>
      <c r="AA383" s="54"/>
      <c r="AB383" s="54"/>
      <c r="AC383" s="54"/>
      <c r="AD383" s="54"/>
      <c r="AE383" s="54"/>
      <c r="AF383" s="54"/>
      <c r="AG383" s="54"/>
      <c r="AH383" s="54"/>
      <c r="AI383" s="117">
        <f t="shared" si="10"/>
        <v>0</v>
      </c>
      <c r="AJ383" s="117">
        <f>SUM(F383:U383)</f>
        <v>0</v>
      </c>
      <c r="AK383" s="117">
        <f t="shared" si="11"/>
        <v>0</v>
      </c>
      <c r="AL383" s="23"/>
      <c r="AM383" s="127" t="b">
        <f>IF(INDEX($AO383:$BM383,0,$F$14)=1,TRUE,FALSE)</f>
        <v>0</v>
      </c>
      <c r="AN383" s="127" t="str">
        <f>IF(AM383,A383&amp;", "&amp;B383,"")</f>
        <v/>
      </c>
      <c r="AO383" s="129">
        <v>1</v>
      </c>
      <c r="AP383" s="129">
        <v>1</v>
      </c>
      <c r="AQ383" s="129"/>
      <c r="AR383" s="129"/>
      <c r="AS383" s="129"/>
      <c r="AT383" s="129"/>
      <c r="AU383" s="129"/>
      <c r="AV383" s="129"/>
      <c r="AW383" s="129"/>
      <c r="AX383" s="197"/>
      <c r="AY383" s="197"/>
      <c r="AZ383" s="197"/>
      <c r="BA383" s="197"/>
      <c r="BB383" s="129"/>
      <c r="BC383" s="129"/>
      <c r="BD383" s="129"/>
      <c r="BE383" s="129"/>
      <c r="BF383" s="129"/>
      <c r="BG383" s="129"/>
      <c r="BH383" s="129"/>
      <c r="BI383" s="129"/>
      <c r="BJ383" s="129"/>
      <c r="BK383" s="129"/>
      <c r="BL383" s="129"/>
      <c r="BM383" s="197"/>
    </row>
    <row r="384" spans="1:65" x14ac:dyDescent="0.25">
      <c r="A384" s="121" t="s">
        <v>138</v>
      </c>
      <c r="B384" s="121" t="s">
        <v>24</v>
      </c>
      <c r="C384" s="172" t="s">
        <v>222</v>
      </c>
      <c r="D384" s="161">
        <v>1</v>
      </c>
      <c r="E384" s="29" t="str">
        <f>INDEX(ra_ScName,MATCH(D384,ra_ScNumber,0))</f>
        <v>Expected nominal return (incl forecast asset revaluations)</v>
      </c>
      <c r="F384" s="54"/>
      <c r="G384" s="54"/>
      <c r="H384" s="54"/>
      <c r="I384" s="54"/>
      <c r="J384" s="54"/>
      <c r="K384" s="54"/>
      <c r="L384" s="54"/>
      <c r="M384" s="54"/>
      <c r="N384" s="54"/>
      <c r="O384" s="54"/>
      <c r="P384" s="54"/>
      <c r="Q384" s="54"/>
      <c r="R384" s="54"/>
      <c r="S384" s="54"/>
      <c r="T384" s="54"/>
      <c r="U384" s="54"/>
      <c r="V384" s="54"/>
      <c r="W384" s="54"/>
      <c r="X384" s="54"/>
      <c r="Y384" s="54"/>
      <c r="Z384" s="54"/>
      <c r="AA384" s="54"/>
      <c r="AB384" s="54"/>
      <c r="AC384" s="54"/>
      <c r="AD384" s="54"/>
      <c r="AE384" s="54"/>
      <c r="AF384" s="54"/>
      <c r="AG384" s="54"/>
      <c r="AH384" s="54"/>
      <c r="AI384" s="117">
        <f t="shared" si="10"/>
        <v>0</v>
      </c>
      <c r="AJ384" s="117">
        <f>SUM(F384:U384)</f>
        <v>0</v>
      </c>
      <c r="AK384" s="117">
        <f t="shared" si="11"/>
        <v>0</v>
      </c>
      <c r="AL384" s="23"/>
      <c r="AM384" s="127" t="b">
        <f>IF(INDEX($AO384:$BM384,0,$F$14)=1,TRUE,FALSE)</f>
        <v>0</v>
      </c>
      <c r="AN384" s="127" t="str">
        <f>IF(AM384,A384&amp;", "&amp;B384,"")</f>
        <v/>
      </c>
      <c r="AO384" s="129">
        <v>1</v>
      </c>
      <c r="AP384" s="129">
        <v>1</v>
      </c>
      <c r="AQ384" s="129"/>
      <c r="AR384" s="129"/>
      <c r="AS384" s="129"/>
      <c r="AT384" s="129"/>
      <c r="AU384" s="129"/>
      <c r="AV384" s="129"/>
      <c r="AW384" s="129"/>
      <c r="AX384" s="197"/>
      <c r="AY384" s="197"/>
      <c r="AZ384" s="197"/>
      <c r="BA384" s="197"/>
      <c r="BB384" s="129"/>
      <c r="BC384" s="129"/>
      <c r="BD384" s="129"/>
      <c r="BE384" s="129"/>
      <c r="BF384" s="129"/>
      <c r="BG384" s="129"/>
      <c r="BH384" s="129"/>
      <c r="BI384" s="129"/>
      <c r="BJ384" s="129"/>
      <c r="BK384" s="129"/>
      <c r="BL384" s="129"/>
      <c r="BM384" s="197"/>
    </row>
    <row r="385" spans="1:65" x14ac:dyDescent="0.25">
      <c r="A385" s="121" t="s">
        <v>138</v>
      </c>
      <c r="B385" s="121" t="s">
        <v>25</v>
      </c>
      <c r="C385" s="172" t="s">
        <v>222</v>
      </c>
      <c r="D385" s="161">
        <v>1</v>
      </c>
      <c r="E385" s="29" t="str">
        <f>INDEX(ra_ScName,MATCH(D385,ra_ScNumber,0))</f>
        <v>Expected nominal return (incl forecast asset revaluations)</v>
      </c>
      <c r="F385" s="54"/>
      <c r="G385" s="54"/>
      <c r="H385" s="54"/>
      <c r="I385" s="54"/>
      <c r="J385" s="54"/>
      <c r="K385" s="54"/>
      <c r="L385" s="54"/>
      <c r="M385" s="54"/>
      <c r="N385" s="54"/>
      <c r="O385" s="54"/>
      <c r="P385" s="54"/>
      <c r="Q385" s="54"/>
      <c r="R385" s="54"/>
      <c r="S385" s="54"/>
      <c r="T385" s="54"/>
      <c r="U385" s="54"/>
      <c r="V385" s="54"/>
      <c r="W385" s="54"/>
      <c r="X385" s="54"/>
      <c r="Y385" s="54"/>
      <c r="Z385" s="54"/>
      <c r="AA385" s="54"/>
      <c r="AB385" s="54"/>
      <c r="AC385" s="54"/>
      <c r="AD385" s="54"/>
      <c r="AE385" s="54"/>
      <c r="AF385" s="54"/>
      <c r="AG385" s="54"/>
      <c r="AH385" s="54"/>
      <c r="AI385" s="117">
        <f t="shared" si="10"/>
        <v>0</v>
      </c>
      <c r="AJ385" s="117">
        <f>SUM(F385:U385)</f>
        <v>0</v>
      </c>
      <c r="AK385" s="117">
        <f t="shared" si="11"/>
        <v>0</v>
      </c>
      <c r="AL385" s="23"/>
      <c r="AM385" s="127" t="b">
        <f>IF(INDEX($AO385:$BM385,0,$F$14)=1,TRUE,FALSE)</f>
        <v>0</v>
      </c>
      <c r="AN385" s="127" t="str">
        <f>IF(AM385,A385&amp;", "&amp;B385,"")</f>
        <v/>
      </c>
      <c r="AO385" s="129">
        <v>1</v>
      </c>
      <c r="AP385" s="129">
        <v>1</v>
      </c>
      <c r="AQ385" s="129"/>
      <c r="AR385" s="129"/>
      <c r="AS385" s="129"/>
      <c r="AT385" s="129"/>
      <c r="AU385" s="129"/>
      <c r="AV385" s="129"/>
      <c r="AW385" s="129"/>
      <c r="AX385" s="197"/>
      <c r="AY385" s="197"/>
      <c r="AZ385" s="197"/>
      <c r="BA385" s="197"/>
      <c r="BB385" s="129"/>
      <c r="BC385" s="129"/>
      <c r="BD385" s="129"/>
      <c r="BE385" s="129"/>
      <c r="BF385" s="129"/>
      <c r="BG385" s="129"/>
      <c r="BH385" s="129"/>
      <c r="BI385" s="129"/>
      <c r="BJ385" s="129"/>
      <c r="BK385" s="129"/>
      <c r="BL385" s="129"/>
      <c r="BM385" s="197"/>
    </row>
    <row r="386" spans="1:65" x14ac:dyDescent="0.25">
      <c r="A386" s="121" t="s">
        <v>138</v>
      </c>
      <c r="B386" s="121" t="s">
        <v>26</v>
      </c>
      <c r="C386" s="172" t="s">
        <v>222</v>
      </c>
      <c r="D386" s="161">
        <v>1</v>
      </c>
      <c r="E386" s="29" t="str">
        <f>INDEX(ra_ScName,MATCH(D386,ra_ScNumber,0))</f>
        <v>Expected nominal return (incl forecast asset revaluations)</v>
      </c>
      <c r="F386" s="54"/>
      <c r="G386" s="54"/>
      <c r="H386" s="54"/>
      <c r="I386" s="54"/>
      <c r="J386" s="54"/>
      <c r="K386" s="54"/>
      <c r="L386" s="54"/>
      <c r="M386" s="54"/>
      <c r="N386" s="54"/>
      <c r="O386" s="54"/>
      <c r="P386" s="54"/>
      <c r="Q386" s="54"/>
      <c r="R386" s="54"/>
      <c r="S386" s="54"/>
      <c r="T386" s="54"/>
      <c r="U386" s="54"/>
      <c r="V386" s="54"/>
      <c r="W386" s="54"/>
      <c r="X386" s="54"/>
      <c r="Y386" s="54"/>
      <c r="Z386" s="54"/>
      <c r="AA386" s="54"/>
      <c r="AB386" s="54"/>
      <c r="AC386" s="54"/>
      <c r="AD386" s="54"/>
      <c r="AE386" s="54"/>
      <c r="AF386" s="54"/>
      <c r="AG386" s="54"/>
      <c r="AH386" s="54"/>
      <c r="AI386" s="117">
        <f t="shared" si="10"/>
        <v>0</v>
      </c>
      <c r="AJ386" s="117">
        <f>SUM(F386:U386)</f>
        <v>0</v>
      </c>
      <c r="AK386" s="117">
        <f t="shared" si="11"/>
        <v>0</v>
      </c>
      <c r="AL386" s="23"/>
      <c r="AM386" s="127" t="b">
        <f>IF(INDEX($AO386:$BM386,0,$F$14)=1,TRUE,FALSE)</f>
        <v>0</v>
      </c>
      <c r="AN386" s="127" t="str">
        <f>IF(AM386,A386&amp;", "&amp;B386,"")</f>
        <v/>
      </c>
      <c r="AO386" s="129">
        <v>1</v>
      </c>
      <c r="AP386" s="129">
        <v>1</v>
      </c>
      <c r="AQ386" s="129"/>
      <c r="AR386" s="129"/>
      <c r="AS386" s="129"/>
      <c r="AT386" s="129"/>
      <c r="AU386" s="129"/>
      <c r="AV386" s="129"/>
      <c r="AW386" s="129"/>
      <c r="AX386" s="197"/>
      <c r="AY386" s="197"/>
      <c r="AZ386" s="197"/>
      <c r="BA386" s="197"/>
      <c r="BB386" s="129"/>
      <c r="BC386" s="129"/>
      <c r="BD386" s="129"/>
      <c r="BE386" s="129"/>
      <c r="BF386" s="129"/>
      <c r="BG386" s="129"/>
      <c r="BH386" s="129"/>
      <c r="BI386" s="129"/>
      <c r="BJ386" s="129"/>
      <c r="BK386" s="129"/>
      <c r="BL386" s="129"/>
      <c r="BM386" s="197"/>
    </row>
    <row r="387" spans="1:65" x14ac:dyDescent="0.25">
      <c r="A387" s="121" t="s">
        <v>138</v>
      </c>
      <c r="B387" s="121" t="s">
        <v>27</v>
      </c>
      <c r="C387" s="172" t="s">
        <v>222</v>
      </c>
      <c r="D387" s="161">
        <v>1</v>
      </c>
      <c r="E387" s="29" t="str">
        <f>INDEX(ra_ScName,MATCH(D387,ra_ScNumber,0))</f>
        <v>Expected nominal return (incl forecast asset revaluations)</v>
      </c>
      <c r="F387" s="54"/>
      <c r="G387" s="54"/>
      <c r="H387" s="54"/>
      <c r="I387" s="54"/>
      <c r="J387" s="54"/>
      <c r="K387" s="54"/>
      <c r="L387" s="54"/>
      <c r="M387" s="54"/>
      <c r="N387" s="54"/>
      <c r="O387" s="54"/>
      <c r="P387" s="54"/>
      <c r="Q387" s="54"/>
      <c r="R387" s="54"/>
      <c r="S387" s="54"/>
      <c r="T387" s="54"/>
      <c r="U387" s="54"/>
      <c r="V387" s="54"/>
      <c r="W387" s="54"/>
      <c r="X387" s="54"/>
      <c r="Y387" s="54"/>
      <c r="Z387" s="54"/>
      <c r="AA387" s="54"/>
      <c r="AB387" s="54"/>
      <c r="AC387" s="54"/>
      <c r="AD387" s="54"/>
      <c r="AE387" s="54"/>
      <c r="AF387" s="54"/>
      <c r="AG387" s="54"/>
      <c r="AH387" s="54"/>
      <c r="AI387" s="117">
        <f t="shared" si="10"/>
        <v>0</v>
      </c>
      <c r="AJ387" s="117">
        <f>SUM(F387:U387)</f>
        <v>0</v>
      </c>
      <c r="AK387" s="117">
        <f t="shared" si="11"/>
        <v>0</v>
      </c>
      <c r="AL387" s="23"/>
      <c r="AM387" s="127" t="b">
        <f>IF(INDEX($AO387:$BM387,0,$F$14)=1,TRUE,FALSE)</f>
        <v>0</v>
      </c>
      <c r="AN387" s="127" t="str">
        <f>IF(AM387,A387&amp;", "&amp;B387,"")</f>
        <v/>
      </c>
      <c r="AO387" s="129">
        <v>1</v>
      </c>
      <c r="AP387" s="129">
        <v>1</v>
      </c>
      <c r="AQ387" s="129"/>
      <c r="AR387" s="129"/>
      <c r="AS387" s="129"/>
      <c r="AT387" s="129"/>
      <c r="AU387" s="129"/>
      <c r="AV387" s="129"/>
      <c r="AW387" s="129"/>
      <c r="AX387" s="197"/>
      <c r="AY387" s="197"/>
      <c r="AZ387" s="197"/>
      <c r="BA387" s="197"/>
      <c r="BB387" s="129"/>
      <c r="BC387" s="129"/>
      <c r="BD387" s="129"/>
      <c r="BE387" s="129"/>
      <c r="BF387" s="129"/>
      <c r="BG387" s="129"/>
      <c r="BH387" s="129"/>
      <c r="BI387" s="129"/>
      <c r="BJ387" s="129"/>
      <c r="BK387" s="129"/>
      <c r="BL387" s="129"/>
      <c r="BM387" s="197"/>
    </row>
    <row r="388" spans="1:65" x14ac:dyDescent="0.25">
      <c r="A388" s="121"/>
      <c r="B388" s="121"/>
      <c r="C388" s="172"/>
      <c r="D388" s="49"/>
      <c r="E388" s="49"/>
      <c r="F388" s="54"/>
      <c r="G388" s="54"/>
      <c r="H388" s="54"/>
      <c r="I388" s="54"/>
      <c r="J388" s="54"/>
      <c r="K388" s="54"/>
      <c r="L388" s="54"/>
      <c r="M388" s="54"/>
      <c r="N388" s="54"/>
      <c r="O388" s="54"/>
      <c r="P388" s="54"/>
      <c r="Q388" s="54"/>
      <c r="R388" s="54"/>
      <c r="S388" s="54"/>
      <c r="T388" s="54"/>
      <c r="U388" s="54"/>
      <c r="V388" s="54"/>
      <c r="W388" s="55"/>
      <c r="X388" s="55"/>
      <c r="Y388" s="55"/>
      <c r="Z388" s="55"/>
      <c r="AA388" s="55"/>
      <c r="AB388" s="55"/>
      <c r="AC388" s="55"/>
      <c r="AD388" s="55"/>
      <c r="AE388" s="55"/>
      <c r="AF388" s="55"/>
      <c r="AG388" s="55"/>
      <c r="AH388" s="55"/>
      <c r="AI388" s="54"/>
      <c r="AJ388" s="54"/>
      <c r="AK388" s="54"/>
      <c r="AL388" s="23"/>
      <c r="AM388" s="127"/>
      <c r="AN388" s="127"/>
      <c r="AO388" s="129"/>
      <c r="AP388" s="129"/>
      <c r="AQ388" s="129"/>
      <c r="AR388" s="129"/>
      <c r="AS388" s="129"/>
      <c r="AT388" s="129"/>
      <c r="AU388" s="129"/>
      <c r="AV388" s="129"/>
      <c r="AW388" s="129"/>
      <c r="AX388" s="197"/>
      <c r="AY388" s="197"/>
      <c r="AZ388" s="197"/>
      <c r="BA388" s="197"/>
      <c r="BB388" s="129"/>
      <c r="BC388" s="129"/>
      <c r="BD388" s="129"/>
      <c r="BE388" s="129"/>
      <c r="BF388" s="129"/>
      <c r="BG388" s="129"/>
      <c r="BH388" s="129"/>
      <c r="BI388" s="129"/>
      <c r="BJ388" s="129"/>
      <c r="BK388" s="129"/>
      <c r="BL388" s="129"/>
      <c r="BM388" s="197"/>
    </row>
    <row r="389" spans="1:65" x14ac:dyDescent="0.25">
      <c r="A389" s="121"/>
      <c r="B389" s="121"/>
      <c r="C389" s="172"/>
      <c r="D389" s="46"/>
      <c r="E389" s="46"/>
      <c r="F389" s="54"/>
      <c r="G389" s="54"/>
      <c r="H389" s="54"/>
      <c r="I389" s="54"/>
      <c r="J389" s="54"/>
      <c r="K389" s="54"/>
      <c r="L389" s="54"/>
      <c r="M389" s="54"/>
      <c r="N389" s="54"/>
      <c r="O389" s="54"/>
      <c r="P389" s="54"/>
      <c r="Q389" s="54"/>
      <c r="R389" s="54"/>
      <c r="S389" s="54"/>
      <c r="T389" s="54"/>
      <c r="U389" s="54"/>
      <c r="V389" s="54"/>
      <c r="W389" s="55"/>
      <c r="X389" s="55"/>
      <c r="Y389" s="55"/>
      <c r="Z389" s="55"/>
      <c r="AA389" s="55"/>
      <c r="AB389" s="55"/>
      <c r="AC389" s="55"/>
      <c r="AD389" s="55"/>
      <c r="AE389" s="55"/>
      <c r="AF389" s="55"/>
      <c r="AG389" s="55"/>
      <c r="AH389" s="55"/>
      <c r="AI389" s="54"/>
      <c r="AJ389" s="54"/>
      <c r="AK389" s="54"/>
      <c r="AL389" s="23"/>
      <c r="AM389" s="127"/>
      <c r="AN389" s="127"/>
      <c r="AO389" s="129"/>
      <c r="AP389" s="129"/>
      <c r="AQ389" s="129"/>
      <c r="AR389" s="129"/>
      <c r="AS389" s="129"/>
      <c r="AT389" s="129"/>
      <c r="AU389" s="129"/>
      <c r="AV389" s="129"/>
      <c r="AW389" s="129"/>
      <c r="AX389" s="197"/>
      <c r="AY389" s="197"/>
      <c r="AZ389" s="197"/>
      <c r="BA389" s="197"/>
      <c r="BB389" s="129"/>
      <c r="BC389" s="129"/>
      <c r="BD389" s="129"/>
      <c r="BE389" s="129"/>
      <c r="BF389" s="129"/>
      <c r="BG389" s="129"/>
      <c r="BH389" s="129"/>
      <c r="BI389" s="129"/>
      <c r="BJ389" s="129"/>
      <c r="BK389" s="129"/>
      <c r="BL389" s="129"/>
      <c r="BM389" s="197"/>
    </row>
    <row r="390" spans="1:65" x14ac:dyDescent="0.25">
      <c r="A390" s="121" t="s">
        <v>138</v>
      </c>
      <c r="B390" s="121" t="s">
        <v>23</v>
      </c>
      <c r="C390" s="172" t="s">
        <v>222</v>
      </c>
      <c r="D390" s="213">
        <v>10</v>
      </c>
      <c r="E390" s="29" t="str">
        <f>INDEX(ra_ScName,MATCH(D390,ra_ScNumber,0))</f>
        <v>Disclosed nominal return (incl actual asset revaluations)</v>
      </c>
      <c r="F390" s="122">
        <v>0</v>
      </c>
      <c r="G390" s="122">
        <v>0</v>
      </c>
      <c r="H390" s="122">
        <v>0</v>
      </c>
      <c r="I390" s="122">
        <v>0</v>
      </c>
      <c r="J390" s="122">
        <v>0</v>
      </c>
      <c r="K390" s="122">
        <v>0</v>
      </c>
      <c r="L390" s="122">
        <v>0</v>
      </c>
      <c r="M390" s="122">
        <v>0</v>
      </c>
      <c r="N390" s="122">
        <v>0</v>
      </c>
      <c r="O390" s="122">
        <v>0</v>
      </c>
      <c r="P390" s="122">
        <v>0</v>
      </c>
      <c r="Q390" s="122">
        <v>0</v>
      </c>
      <c r="R390" s="122">
        <v>0</v>
      </c>
      <c r="S390" s="122">
        <v>0</v>
      </c>
      <c r="T390" s="122">
        <v>0</v>
      </c>
      <c r="U390" s="122">
        <v>0</v>
      </c>
      <c r="V390" s="122">
        <v>0</v>
      </c>
      <c r="W390" s="122">
        <v>0</v>
      </c>
      <c r="X390" s="122">
        <v>0</v>
      </c>
      <c r="Y390" s="122">
        <v>0</v>
      </c>
      <c r="Z390" s="122">
        <v>0</v>
      </c>
      <c r="AA390" s="122">
        <v>0</v>
      </c>
      <c r="AB390" s="122">
        <v>0</v>
      </c>
      <c r="AC390" s="122">
        <v>0</v>
      </c>
      <c r="AD390" s="122">
        <v>0</v>
      </c>
      <c r="AE390" s="122">
        <v>0</v>
      </c>
      <c r="AF390" s="122">
        <v>0</v>
      </c>
      <c r="AG390" s="122">
        <v>0</v>
      </c>
      <c r="AH390" s="122">
        <v>0</v>
      </c>
      <c r="AI390" s="117">
        <f t="shared" si="10"/>
        <v>0</v>
      </c>
      <c r="AJ390" s="117">
        <f>SUM(F390:U390)</f>
        <v>0</v>
      </c>
      <c r="AK390" s="117">
        <f t="shared" si="11"/>
        <v>0</v>
      </c>
      <c r="AL390" s="23"/>
      <c r="AM390" s="127" t="b">
        <f>IF(INDEX($AO390:$BM390,0,$F$14)=1,TRUE,FALSE)</f>
        <v>1</v>
      </c>
      <c r="AN390" s="127" t="str">
        <f>IF(AM390,A390&amp;", "&amp;B390,"")</f>
        <v>Transmission asset wash-up adjustment, 2010/11</v>
      </c>
      <c r="AO390" s="129"/>
      <c r="AP390" s="129"/>
      <c r="AQ390" s="129">
        <v>1</v>
      </c>
      <c r="AR390" s="129">
        <v>1</v>
      </c>
      <c r="AS390" s="129">
        <v>1</v>
      </c>
      <c r="AT390" s="129">
        <v>1</v>
      </c>
      <c r="AU390" s="129">
        <v>1</v>
      </c>
      <c r="AV390" s="129">
        <v>1</v>
      </c>
      <c r="AW390" s="129">
        <v>1</v>
      </c>
      <c r="AX390" s="197">
        <v>1</v>
      </c>
      <c r="AY390" s="197">
        <v>1</v>
      </c>
      <c r="AZ390" s="197">
        <v>1</v>
      </c>
      <c r="BA390" s="197">
        <v>1</v>
      </c>
      <c r="BB390" s="129">
        <v>1</v>
      </c>
      <c r="BC390" s="129">
        <v>1</v>
      </c>
      <c r="BD390" s="129">
        <v>1</v>
      </c>
      <c r="BE390" s="129">
        <v>1</v>
      </c>
      <c r="BF390" s="129">
        <v>1</v>
      </c>
      <c r="BG390" s="129">
        <v>1</v>
      </c>
      <c r="BH390" s="129">
        <v>1</v>
      </c>
      <c r="BI390" s="129">
        <v>1</v>
      </c>
      <c r="BJ390" s="129">
        <v>1</v>
      </c>
      <c r="BK390" s="129">
        <v>1</v>
      </c>
      <c r="BL390" s="129">
        <v>1</v>
      </c>
      <c r="BM390" s="197">
        <v>1</v>
      </c>
    </row>
    <row r="391" spans="1:65" x14ac:dyDescent="0.25">
      <c r="A391" s="121" t="s">
        <v>138</v>
      </c>
      <c r="B391" s="121" t="s">
        <v>24</v>
      </c>
      <c r="C391" s="172" t="s">
        <v>222</v>
      </c>
      <c r="D391" s="213">
        <v>10</v>
      </c>
      <c r="E391" s="29" t="str">
        <f>INDEX(ra_ScName,MATCH(D391,ra_ScNumber,0))</f>
        <v>Disclosed nominal return (incl actual asset revaluations)</v>
      </c>
      <c r="F391" s="122">
        <v>0</v>
      </c>
      <c r="G391" s="122">
        <v>0</v>
      </c>
      <c r="H391" s="122">
        <v>0</v>
      </c>
      <c r="I391" s="122">
        <v>0</v>
      </c>
      <c r="J391" s="122">
        <v>0</v>
      </c>
      <c r="K391" s="122">
        <v>0</v>
      </c>
      <c r="L391" s="122">
        <v>0</v>
      </c>
      <c r="M391" s="122">
        <v>0</v>
      </c>
      <c r="N391" s="122">
        <v>0</v>
      </c>
      <c r="O391" s="122">
        <v>0</v>
      </c>
      <c r="P391" s="122">
        <v>0</v>
      </c>
      <c r="Q391" s="122">
        <v>0</v>
      </c>
      <c r="R391" s="122">
        <v>0</v>
      </c>
      <c r="S391" s="122">
        <v>0</v>
      </c>
      <c r="T391" s="122">
        <v>0</v>
      </c>
      <c r="U391" s="122">
        <v>0</v>
      </c>
      <c r="V391" s="122">
        <v>0</v>
      </c>
      <c r="W391" s="122">
        <v>0</v>
      </c>
      <c r="X391" s="122">
        <v>0</v>
      </c>
      <c r="Y391" s="122">
        <v>0</v>
      </c>
      <c r="Z391" s="122">
        <v>0</v>
      </c>
      <c r="AA391" s="122">
        <v>0</v>
      </c>
      <c r="AB391" s="122">
        <v>0</v>
      </c>
      <c r="AC391" s="122">
        <v>0</v>
      </c>
      <c r="AD391" s="122">
        <v>0</v>
      </c>
      <c r="AE391" s="122">
        <v>0</v>
      </c>
      <c r="AF391" s="122">
        <v>0</v>
      </c>
      <c r="AG391" s="122">
        <v>0</v>
      </c>
      <c r="AH391" s="122">
        <v>0</v>
      </c>
      <c r="AI391" s="117">
        <f t="shared" si="10"/>
        <v>0</v>
      </c>
      <c r="AJ391" s="117">
        <f>SUM(F391:U391)</f>
        <v>0</v>
      </c>
      <c r="AK391" s="117">
        <f t="shared" si="11"/>
        <v>0</v>
      </c>
      <c r="AL391" s="23"/>
      <c r="AM391" s="127" t="b">
        <f>IF(INDEX($AO391:$BM391,0,$F$14)=1,TRUE,FALSE)</f>
        <v>1</v>
      </c>
      <c r="AN391" s="127" t="str">
        <f>IF(AM391,A391&amp;", "&amp;B391,"")</f>
        <v>Transmission asset wash-up adjustment, 2011/12</v>
      </c>
      <c r="AO391" s="129"/>
      <c r="AP391" s="129"/>
      <c r="AQ391" s="129">
        <v>1</v>
      </c>
      <c r="AR391" s="129">
        <v>1</v>
      </c>
      <c r="AS391" s="129">
        <v>1</v>
      </c>
      <c r="AT391" s="129">
        <v>1</v>
      </c>
      <c r="AU391" s="129">
        <v>1</v>
      </c>
      <c r="AV391" s="129">
        <v>1</v>
      </c>
      <c r="AW391" s="129">
        <v>1</v>
      </c>
      <c r="AX391" s="197">
        <v>1</v>
      </c>
      <c r="AY391" s="197">
        <v>1</v>
      </c>
      <c r="AZ391" s="197">
        <v>1</v>
      </c>
      <c r="BA391" s="197">
        <v>1</v>
      </c>
      <c r="BB391" s="129">
        <v>1</v>
      </c>
      <c r="BC391" s="129">
        <v>1</v>
      </c>
      <c r="BD391" s="129">
        <v>1</v>
      </c>
      <c r="BE391" s="129">
        <v>1</v>
      </c>
      <c r="BF391" s="129">
        <v>1</v>
      </c>
      <c r="BG391" s="129">
        <v>1</v>
      </c>
      <c r="BH391" s="129">
        <v>1</v>
      </c>
      <c r="BI391" s="129">
        <v>1</v>
      </c>
      <c r="BJ391" s="129">
        <v>1</v>
      </c>
      <c r="BK391" s="129">
        <v>1</v>
      </c>
      <c r="BL391" s="129">
        <v>1</v>
      </c>
      <c r="BM391" s="197">
        <v>1</v>
      </c>
    </row>
    <row r="392" spans="1:65" x14ac:dyDescent="0.25">
      <c r="A392" s="121" t="s">
        <v>138</v>
      </c>
      <c r="B392" s="121" t="s">
        <v>25</v>
      </c>
      <c r="C392" s="172" t="s">
        <v>222</v>
      </c>
      <c r="D392" s="213">
        <v>10</v>
      </c>
      <c r="E392" s="29" t="str">
        <f>INDEX(ra_ScName,MATCH(D392,ra_ScNumber,0))</f>
        <v>Disclosed nominal return (incl actual asset revaluations)</v>
      </c>
      <c r="F392" s="122">
        <v>0</v>
      </c>
      <c r="G392" s="122">
        <v>0</v>
      </c>
      <c r="H392" s="122">
        <v>0</v>
      </c>
      <c r="I392" s="122">
        <v>0</v>
      </c>
      <c r="J392" s="122">
        <v>0</v>
      </c>
      <c r="K392" s="122">
        <v>0</v>
      </c>
      <c r="L392" s="122">
        <v>0</v>
      </c>
      <c r="M392" s="122">
        <v>0</v>
      </c>
      <c r="N392" s="122">
        <v>0</v>
      </c>
      <c r="O392" s="122">
        <v>0</v>
      </c>
      <c r="P392" s="122">
        <v>0</v>
      </c>
      <c r="Q392" s="122">
        <v>0</v>
      </c>
      <c r="R392" s="122">
        <v>0</v>
      </c>
      <c r="S392" s="122">
        <v>0</v>
      </c>
      <c r="T392" s="122">
        <v>0</v>
      </c>
      <c r="U392" s="122">
        <v>0</v>
      </c>
      <c r="V392" s="122">
        <v>0</v>
      </c>
      <c r="W392" s="122">
        <v>0</v>
      </c>
      <c r="X392" s="122">
        <v>0</v>
      </c>
      <c r="Y392" s="122">
        <v>0</v>
      </c>
      <c r="Z392" s="122">
        <v>0</v>
      </c>
      <c r="AA392" s="122">
        <v>0</v>
      </c>
      <c r="AB392" s="122">
        <v>0</v>
      </c>
      <c r="AC392" s="122">
        <v>0</v>
      </c>
      <c r="AD392" s="122">
        <v>0</v>
      </c>
      <c r="AE392" s="122">
        <v>0</v>
      </c>
      <c r="AF392" s="122">
        <v>0</v>
      </c>
      <c r="AG392" s="122">
        <v>0</v>
      </c>
      <c r="AH392" s="122">
        <v>0</v>
      </c>
      <c r="AI392" s="117">
        <f t="shared" si="10"/>
        <v>0</v>
      </c>
      <c r="AJ392" s="117">
        <f>SUM(F392:U392)</f>
        <v>0</v>
      </c>
      <c r="AK392" s="117">
        <f t="shared" si="11"/>
        <v>0</v>
      </c>
      <c r="AL392" s="23"/>
      <c r="AM392" s="127" t="b">
        <f>IF(INDEX($AO392:$BM392,0,$F$14)=1,TRUE,FALSE)</f>
        <v>1</v>
      </c>
      <c r="AN392" s="127" t="str">
        <f>IF(AM392,A392&amp;", "&amp;B392,"")</f>
        <v>Transmission asset wash-up adjustment, 2012/13</v>
      </c>
      <c r="AO392" s="129"/>
      <c r="AP392" s="129"/>
      <c r="AQ392" s="129">
        <v>1</v>
      </c>
      <c r="AR392" s="129">
        <v>1</v>
      </c>
      <c r="AS392" s="129">
        <v>1</v>
      </c>
      <c r="AT392" s="129">
        <v>1</v>
      </c>
      <c r="AU392" s="129">
        <v>1</v>
      </c>
      <c r="AV392" s="129">
        <v>1</v>
      </c>
      <c r="AW392" s="129">
        <v>1</v>
      </c>
      <c r="AX392" s="197">
        <v>1</v>
      </c>
      <c r="AY392" s="197">
        <v>1</v>
      </c>
      <c r="AZ392" s="197">
        <v>1</v>
      </c>
      <c r="BA392" s="197">
        <v>1</v>
      </c>
      <c r="BB392" s="129">
        <v>1</v>
      </c>
      <c r="BC392" s="129">
        <v>1</v>
      </c>
      <c r="BD392" s="129">
        <v>1</v>
      </c>
      <c r="BE392" s="129">
        <v>1</v>
      </c>
      <c r="BF392" s="129">
        <v>1</v>
      </c>
      <c r="BG392" s="129">
        <v>1</v>
      </c>
      <c r="BH392" s="129">
        <v>1</v>
      </c>
      <c r="BI392" s="129">
        <v>1</v>
      </c>
      <c r="BJ392" s="129">
        <v>1</v>
      </c>
      <c r="BK392" s="129">
        <v>1</v>
      </c>
      <c r="BL392" s="129">
        <v>1</v>
      </c>
      <c r="BM392" s="197">
        <v>1</v>
      </c>
    </row>
    <row r="393" spans="1:65" x14ac:dyDescent="0.25">
      <c r="A393" s="121" t="s">
        <v>138</v>
      </c>
      <c r="B393" s="121" t="s">
        <v>26</v>
      </c>
      <c r="C393" s="172" t="s">
        <v>222</v>
      </c>
      <c r="D393" s="213">
        <v>10</v>
      </c>
      <c r="E393" s="29" t="str">
        <f>INDEX(ra_ScName,MATCH(D393,ra_ScNumber,0))</f>
        <v>Disclosed nominal return (incl actual asset revaluations)</v>
      </c>
      <c r="F393" s="122">
        <v>0</v>
      </c>
      <c r="G393" s="122">
        <v>0</v>
      </c>
      <c r="H393" s="122">
        <v>0</v>
      </c>
      <c r="I393" s="122">
        <v>0</v>
      </c>
      <c r="J393" s="122">
        <v>0</v>
      </c>
      <c r="K393" s="122">
        <v>0</v>
      </c>
      <c r="L393" s="122">
        <v>0</v>
      </c>
      <c r="M393" s="122">
        <v>0</v>
      </c>
      <c r="N393" s="122">
        <v>0</v>
      </c>
      <c r="O393" s="122">
        <v>0</v>
      </c>
      <c r="P393" s="122">
        <v>0</v>
      </c>
      <c r="Q393" s="122">
        <v>0</v>
      </c>
      <c r="R393" s="122">
        <v>0</v>
      </c>
      <c r="S393" s="122">
        <v>0</v>
      </c>
      <c r="T393" s="122">
        <v>0</v>
      </c>
      <c r="U393" s="122">
        <v>0</v>
      </c>
      <c r="V393" s="122">
        <v>0</v>
      </c>
      <c r="W393" s="122">
        <v>0</v>
      </c>
      <c r="X393" s="122">
        <v>0</v>
      </c>
      <c r="Y393" s="122">
        <v>0</v>
      </c>
      <c r="Z393" s="122">
        <v>0</v>
      </c>
      <c r="AA393" s="122">
        <v>0</v>
      </c>
      <c r="AB393" s="122">
        <v>0</v>
      </c>
      <c r="AC393" s="122">
        <v>0</v>
      </c>
      <c r="AD393" s="122">
        <v>0</v>
      </c>
      <c r="AE393" s="122">
        <v>0</v>
      </c>
      <c r="AF393" s="122">
        <v>0</v>
      </c>
      <c r="AG393" s="122">
        <v>0</v>
      </c>
      <c r="AH393" s="122">
        <v>0</v>
      </c>
      <c r="AI393" s="117">
        <f t="shared" si="10"/>
        <v>0</v>
      </c>
      <c r="AJ393" s="117">
        <f>SUM(F393:U393)</f>
        <v>0</v>
      </c>
      <c r="AK393" s="117">
        <f t="shared" si="11"/>
        <v>0</v>
      </c>
      <c r="AL393" s="23"/>
      <c r="AM393" s="127" t="b">
        <f>IF(INDEX($AO393:$BM393,0,$F$14)=1,TRUE,FALSE)</f>
        <v>1</v>
      </c>
      <c r="AN393" s="127" t="str">
        <f>IF(AM393,A393&amp;", "&amp;B393,"")</f>
        <v>Transmission asset wash-up adjustment, 2013/14</v>
      </c>
      <c r="AO393" s="129"/>
      <c r="AP393" s="129"/>
      <c r="AQ393" s="129">
        <v>1</v>
      </c>
      <c r="AR393" s="129">
        <v>1</v>
      </c>
      <c r="AS393" s="129">
        <v>1</v>
      </c>
      <c r="AT393" s="129">
        <v>1</v>
      </c>
      <c r="AU393" s="129">
        <v>1</v>
      </c>
      <c r="AV393" s="129">
        <v>1</v>
      </c>
      <c r="AW393" s="129">
        <v>1</v>
      </c>
      <c r="AX393" s="197">
        <v>1</v>
      </c>
      <c r="AY393" s="197">
        <v>1</v>
      </c>
      <c r="AZ393" s="197">
        <v>1</v>
      </c>
      <c r="BA393" s="197">
        <v>1</v>
      </c>
      <c r="BB393" s="129">
        <v>1</v>
      </c>
      <c r="BC393" s="129">
        <v>1</v>
      </c>
      <c r="BD393" s="129">
        <v>1</v>
      </c>
      <c r="BE393" s="129">
        <v>1</v>
      </c>
      <c r="BF393" s="129">
        <v>1</v>
      </c>
      <c r="BG393" s="129">
        <v>1</v>
      </c>
      <c r="BH393" s="129">
        <v>1</v>
      </c>
      <c r="BI393" s="129">
        <v>1</v>
      </c>
      <c r="BJ393" s="129">
        <v>1</v>
      </c>
      <c r="BK393" s="129">
        <v>1</v>
      </c>
      <c r="BL393" s="129">
        <v>1</v>
      </c>
      <c r="BM393" s="197">
        <v>1</v>
      </c>
    </row>
    <row r="394" spans="1:65" x14ac:dyDescent="0.25">
      <c r="A394" s="121" t="s">
        <v>138</v>
      </c>
      <c r="B394" s="121" t="s">
        <v>27</v>
      </c>
      <c r="C394" s="172" t="s">
        <v>222</v>
      </c>
      <c r="D394" s="213">
        <v>10</v>
      </c>
      <c r="E394" s="29" t="str">
        <f>INDEX(ra_ScName,MATCH(D394,ra_ScNumber,0))</f>
        <v>Disclosed nominal return (incl actual asset revaluations)</v>
      </c>
      <c r="F394" s="122">
        <v>0</v>
      </c>
      <c r="G394" s="122">
        <v>0</v>
      </c>
      <c r="H394" s="122">
        <v>0</v>
      </c>
      <c r="I394" s="122">
        <v>0</v>
      </c>
      <c r="J394" s="122">
        <v>0</v>
      </c>
      <c r="K394" s="122">
        <v>0</v>
      </c>
      <c r="L394" s="122">
        <v>0</v>
      </c>
      <c r="M394" s="122">
        <v>0</v>
      </c>
      <c r="N394" s="122">
        <v>0</v>
      </c>
      <c r="O394" s="122">
        <v>0</v>
      </c>
      <c r="P394" s="122">
        <v>0</v>
      </c>
      <c r="Q394" s="122">
        <v>0</v>
      </c>
      <c r="R394" s="122">
        <v>0</v>
      </c>
      <c r="S394" s="122">
        <v>0</v>
      </c>
      <c r="T394" s="122">
        <v>0</v>
      </c>
      <c r="U394" s="122">
        <v>0</v>
      </c>
      <c r="V394" s="122">
        <v>0</v>
      </c>
      <c r="W394" s="122">
        <v>0</v>
      </c>
      <c r="X394" s="122">
        <v>0</v>
      </c>
      <c r="Y394" s="122">
        <v>0</v>
      </c>
      <c r="Z394" s="122">
        <v>0</v>
      </c>
      <c r="AA394" s="122">
        <v>0</v>
      </c>
      <c r="AB394" s="122">
        <v>0</v>
      </c>
      <c r="AC394" s="122">
        <v>0</v>
      </c>
      <c r="AD394" s="122">
        <v>0</v>
      </c>
      <c r="AE394" s="122">
        <v>0</v>
      </c>
      <c r="AF394" s="122">
        <v>0</v>
      </c>
      <c r="AG394" s="122">
        <v>0</v>
      </c>
      <c r="AH394" s="122">
        <v>0</v>
      </c>
      <c r="AI394" s="117">
        <f t="shared" si="10"/>
        <v>0</v>
      </c>
      <c r="AJ394" s="117">
        <f>SUM(F394:U394)</f>
        <v>0</v>
      </c>
      <c r="AK394" s="117">
        <f t="shared" si="11"/>
        <v>0</v>
      </c>
      <c r="AL394" s="23"/>
      <c r="AM394" s="127" t="b">
        <f>IF(INDEX($AO394:$BM394,0,$F$14)=1,TRUE,FALSE)</f>
        <v>1</v>
      </c>
      <c r="AN394" s="127" t="str">
        <f>IF(AM394,A394&amp;", "&amp;B394,"")</f>
        <v>Transmission asset wash-up adjustment, 2014/15</v>
      </c>
      <c r="AO394" s="129"/>
      <c r="AP394" s="129"/>
      <c r="AQ394" s="129">
        <v>1</v>
      </c>
      <c r="AR394" s="129">
        <v>1</v>
      </c>
      <c r="AS394" s="129">
        <v>1</v>
      </c>
      <c r="AT394" s="129">
        <v>1</v>
      </c>
      <c r="AU394" s="129">
        <v>1</v>
      </c>
      <c r="AV394" s="129">
        <v>1</v>
      </c>
      <c r="AW394" s="129">
        <v>1</v>
      </c>
      <c r="AX394" s="197">
        <v>1</v>
      </c>
      <c r="AY394" s="197">
        <v>1</v>
      </c>
      <c r="AZ394" s="197">
        <v>1</v>
      </c>
      <c r="BA394" s="197">
        <v>1</v>
      </c>
      <c r="BB394" s="129">
        <v>1</v>
      </c>
      <c r="BC394" s="129">
        <v>1</v>
      </c>
      <c r="BD394" s="129">
        <v>1</v>
      </c>
      <c r="BE394" s="129">
        <v>1</v>
      </c>
      <c r="BF394" s="129">
        <v>1</v>
      </c>
      <c r="BG394" s="129">
        <v>1</v>
      </c>
      <c r="BH394" s="129">
        <v>1</v>
      </c>
      <c r="BI394" s="129">
        <v>1</v>
      </c>
      <c r="BJ394" s="129">
        <v>1</v>
      </c>
      <c r="BK394" s="129">
        <v>1</v>
      </c>
      <c r="BL394" s="129">
        <v>1</v>
      </c>
      <c r="BM394" s="197">
        <v>1</v>
      </c>
    </row>
    <row r="395" spans="1:65" x14ac:dyDescent="0.25">
      <c r="A395" s="121"/>
      <c r="B395" s="121"/>
      <c r="C395" s="172"/>
      <c r="D395" s="49"/>
      <c r="E395" s="49"/>
      <c r="F395" s="54"/>
      <c r="G395" s="54"/>
      <c r="H395" s="54"/>
      <c r="I395" s="54"/>
      <c r="J395" s="54"/>
      <c r="K395" s="54"/>
      <c r="L395" s="54"/>
      <c r="M395" s="54"/>
      <c r="N395" s="54"/>
      <c r="O395" s="54"/>
      <c r="P395" s="54"/>
      <c r="Q395" s="54"/>
      <c r="R395" s="54"/>
      <c r="S395" s="54"/>
      <c r="T395" s="54"/>
      <c r="U395" s="54"/>
      <c r="V395" s="54"/>
      <c r="W395" s="55"/>
      <c r="X395" s="55"/>
      <c r="Y395" s="55"/>
      <c r="Z395" s="55"/>
      <c r="AA395" s="55"/>
      <c r="AB395" s="55"/>
      <c r="AC395" s="55"/>
      <c r="AD395" s="55"/>
      <c r="AE395" s="55"/>
      <c r="AF395" s="55"/>
      <c r="AG395" s="55"/>
      <c r="AH395" s="55"/>
      <c r="AI395" s="54"/>
      <c r="AJ395" s="54"/>
      <c r="AK395" s="54"/>
      <c r="AL395" s="23"/>
      <c r="AM395" s="127"/>
      <c r="AN395" s="127"/>
      <c r="AO395" s="129"/>
      <c r="AP395" s="129"/>
      <c r="AQ395" s="129"/>
      <c r="AR395" s="129"/>
      <c r="AS395" s="129"/>
      <c r="AT395" s="129"/>
      <c r="AU395" s="129"/>
      <c r="AV395" s="129"/>
      <c r="AW395" s="129"/>
      <c r="AX395" s="197"/>
      <c r="AY395" s="197"/>
      <c r="AZ395" s="197"/>
      <c r="BA395" s="197"/>
      <c r="BB395" s="129"/>
      <c r="BC395" s="129"/>
      <c r="BD395" s="129"/>
      <c r="BE395" s="129"/>
      <c r="BF395" s="129"/>
      <c r="BG395" s="129"/>
      <c r="BH395" s="129"/>
      <c r="BI395" s="129"/>
      <c r="BJ395" s="129"/>
      <c r="BK395" s="129"/>
      <c r="BL395" s="129"/>
      <c r="BM395" s="197"/>
    </row>
    <row r="396" spans="1:65" x14ac:dyDescent="0.25">
      <c r="A396" s="121"/>
      <c r="B396" s="121"/>
      <c r="C396" s="172"/>
      <c r="D396" s="46"/>
      <c r="E396" s="46"/>
      <c r="F396" s="54"/>
      <c r="G396" s="54"/>
      <c r="H396" s="54"/>
      <c r="I396" s="54"/>
      <c r="J396" s="54"/>
      <c r="K396" s="54"/>
      <c r="L396" s="54"/>
      <c r="M396" s="54"/>
      <c r="N396" s="54"/>
      <c r="O396" s="54"/>
      <c r="P396" s="54"/>
      <c r="Q396" s="54"/>
      <c r="R396" s="54"/>
      <c r="S396" s="54"/>
      <c r="T396" s="54"/>
      <c r="U396" s="54"/>
      <c r="V396" s="54"/>
      <c r="W396" s="55"/>
      <c r="X396" s="55"/>
      <c r="Y396" s="55"/>
      <c r="Z396" s="55"/>
      <c r="AA396" s="55"/>
      <c r="AB396" s="55"/>
      <c r="AC396" s="55"/>
      <c r="AD396" s="55"/>
      <c r="AE396" s="55"/>
      <c r="AF396" s="55"/>
      <c r="AG396" s="55"/>
      <c r="AH396" s="55"/>
      <c r="AI396" s="54"/>
      <c r="AJ396" s="54"/>
      <c r="AK396" s="54"/>
      <c r="AL396" s="23"/>
      <c r="AM396" s="127"/>
      <c r="AN396" s="127"/>
      <c r="AO396" s="129"/>
      <c r="AP396" s="129"/>
      <c r="AQ396" s="129"/>
      <c r="AR396" s="129"/>
      <c r="AS396" s="129"/>
      <c r="AT396" s="129"/>
      <c r="AU396" s="129"/>
      <c r="AV396" s="129"/>
      <c r="AW396" s="129"/>
      <c r="AX396" s="197"/>
      <c r="AY396" s="197"/>
      <c r="AZ396" s="197"/>
      <c r="BA396" s="197"/>
      <c r="BB396" s="129"/>
      <c r="BC396" s="129"/>
      <c r="BD396" s="129"/>
      <c r="BE396" s="129"/>
      <c r="BF396" s="129"/>
      <c r="BG396" s="129"/>
      <c r="BH396" s="129"/>
      <c r="BI396" s="129"/>
      <c r="BJ396" s="129"/>
      <c r="BK396" s="129"/>
      <c r="BL396" s="129"/>
      <c r="BM396" s="197"/>
    </row>
    <row r="397" spans="1:65" x14ac:dyDescent="0.25">
      <c r="A397" s="121" t="s">
        <v>139</v>
      </c>
      <c r="B397" s="121" t="s">
        <v>23</v>
      </c>
      <c r="C397" s="172" t="s">
        <v>222</v>
      </c>
      <c r="D397" s="49"/>
      <c r="E397" s="49"/>
      <c r="F397" s="54"/>
      <c r="G397" s="54"/>
      <c r="H397" s="54"/>
      <c r="I397" s="54"/>
      <c r="J397" s="54"/>
      <c r="K397" s="54"/>
      <c r="L397" s="54"/>
      <c r="M397" s="54"/>
      <c r="N397" s="54"/>
      <c r="O397" s="54"/>
      <c r="P397" s="54"/>
      <c r="Q397" s="54"/>
      <c r="R397" s="54"/>
      <c r="S397" s="54"/>
      <c r="T397" s="54"/>
      <c r="U397" s="54"/>
      <c r="V397" s="54"/>
      <c r="W397" s="54"/>
      <c r="X397" s="54"/>
      <c r="Y397" s="54"/>
      <c r="Z397" s="54"/>
      <c r="AA397" s="54"/>
      <c r="AB397" s="54"/>
      <c r="AC397" s="54"/>
      <c r="AD397" s="54"/>
      <c r="AE397" s="54"/>
      <c r="AF397" s="54"/>
      <c r="AG397" s="54"/>
      <c r="AH397" s="54"/>
      <c r="AI397" s="117">
        <f t="shared" si="10"/>
        <v>0</v>
      </c>
      <c r="AJ397" s="117">
        <f>SUM(F397:U397)</f>
        <v>0</v>
      </c>
      <c r="AK397" s="117">
        <f t="shared" si="11"/>
        <v>0</v>
      </c>
      <c r="AL397" s="23"/>
      <c r="AM397" s="127" t="b">
        <f>IF(INDEX($AO397:$BM397,0,$F$14)=1,TRUE,FALSE)</f>
        <v>0</v>
      </c>
      <c r="AN397" s="127" t="str">
        <f>IF(AM397,A397&amp;", "&amp;B397,"")</f>
        <v/>
      </c>
      <c r="AO397" s="129">
        <v>1</v>
      </c>
      <c r="AP397" s="129">
        <v>1</v>
      </c>
      <c r="AQ397" s="129"/>
      <c r="AR397" s="129"/>
      <c r="AS397" s="129"/>
      <c r="AT397" s="129"/>
      <c r="AU397" s="129"/>
      <c r="AV397" s="129"/>
      <c r="AW397" s="129"/>
      <c r="AX397" s="197"/>
      <c r="AY397" s="197"/>
      <c r="AZ397" s="197"/>
      <c r="BA397" s="197"/>
      <c r="BB397" s="129"/>
      <c r="BC397" s="129"/>
      <c r="BD397" s="129"/>
      <c r="BE397" s="129"/>
      <c r="BF397" s="129"/>
      <c r="BG397" s="129"/>
      <c r="BH397" s="129"/>
      <c r="BI397" s="129"/>
      <c r="BJ397" s="129"/>
      <c r="BK397" s="129"/>
      <c r="BL397" s="129"/>
      <c r="BM397" s="197"/>
    </row>
    <row r="398" spans="1:65" x14ac:dyDescent="0.25">
      <c r="A398" s="121" t="s">
        <v>139</v>
      </c>
      <c r="B398" s="121" t="s">
        <v>24</v>
      </c>
      <c r="C398" s="172" t="s">
        <v>222</v>
      </c>
      <c r="D398" s="49"/>
      <c r="E398" s="49"/>
      <c r="F398" s="54"/>
      <c r="G398" s="54"/>
      <c r="H398" s="54"/>
      <c r="I398" s="54"/>
      <c r="J398" s="54"/>
      <c r="K398" s="54"/>
      <c r="L398" s="54"/>
      <c r="M398" s="54"/>
      <c r="N398" s="54"/>
      <c r="O398" s="54"/>
      <c r="P398" s="54"/>
      <c r="Q398" s="54"/>
      <c r="R398" s="54"/>
      <c r="S398" s="54"/>
      <c r="T398" s="54"/>
      <c r="U398" s="54"/>
      <c r="V398" s="54"/>
      <c r="W398" s="54"/>
      <c r="X398" s="54"/>
      <c r="Y398" s="54"/>
      <c r="Z398" s="54"/>
      <c r="AA398" s="54"/>
      <c r="AB398" s="54"/>
      <c r="AC398" s="54"/>
      <c r="AD398" s="54"/>
      <c r="AE398" s="54"/>
      <c r="AF398" s="54"/>
      <c r="AG398" s="54"/>
      <c r="AH398" s="54"/>
      <c r="AI398" s="117">
        <f t="shared" si="10"/>
        <v>0</v>
      </c>
      <c r="AJ398" s="117">
        <f>SUM(F398:U398)</f>
        <v>0</v>
      </c>
      <c r="AK398" s="117">
        <f t="shared" si="11"/>
        <v>0</v>
      </c>
      <c r="AL398" s="23"/>
      <c r="AM398" s="127" t="b">
        <f>IF(INDEX($AO398:$BM398,0,$F$14)=1,TRUE,FALSE)</f>
        <v>0</v>
      </c>
      <c r="AN398" s="127" t="str">
        <f>IF(AM398,A398&amp;", "&amp;B398,"")</f>
        <v/>
      </c>
      <c r="AO398" s="129">
        <v>1</v>
      </c>
      <c r="AP398" s="129">
        <v>1</v>
      </c>
      <c r="AQ398" s="129"/>
      <c r="AR398" s="129"/>
      <c r="AS398" s="129"/>
      <c r="AT398" s="129"/>
      <c r="AU398" s="129"/>
      <c r="AV398" s="129"/>
      <c r="AW398" s="129"/>
      <c r="AX398" s="197"/>
      <c r="AY398" s="197"/>
      <c r="AZ398" s="197"/>
      <c r="BA398" s="197"/>
      <c r="BB398" s="129"/>
      <c r="BC398" s="129"/>
      <c r="BD398" s="129"/>
      <c r="BE398" s="129"/>
      <c r="BF398" s="129"/>
      <c r="BG398" s="129"/>
      <c r="BH398" s="129"/>
      <c r="BI398" s="129"/>
      <c r="BJ398" s="129"/>
      <c r="BK398" s="129"/>
      <c r="BL398" s="129"/>
      <c r="BM398" s="197"/>
    </row>
    <row r="399" spans="1:65" x14ac:dyDescent="0.25">
      <c r="A399" s="121" t="s">
        <v>139</v>
      </c>
      <c r="B399" s="121" t="s">
        <v>25</v>
      </c>
      <c r="C399" s="172" t="s">
        <v>222</v>
      </c>
      <c r="D399" s="49"/>
      <c r="E399" s="49"/>
      <c r="F399" s="54"/>
      <c r="G399" s="54"/>
      <c r="H399" s="54"/>
      <c r="I399" s="54"/>
      <c r="J399" s="54"/>
      <c r="K399" s="54"/>
      <c r="L399" s="54"/>
      <c r="M399" s="54"/>
      <c r="N399" s="54"/>
      <c r="O399" s="54"/>
      <c r="P399" s="54"/>
      <c r="Q399" s="54"/>
      <c r="R399" s="54"/>
      <c r="S399" s="54"/>
      <c r="T399" s="54"/>
      <c r="U399" s="54"/>
      <c r="V399" s="54"/>
      <c r="W399" s="54"/>
      <c r="X399" s="54"/>
      <c r="Y399" s="54"/>
      <c r="Z399" s="54"/>
      <c r="AA399" s="54"/>
      <c r="AB399" s="54"/>
      <c r="AC399" s="54"/>
      <c r="AD399" s="54"/>
      <c r="AE399" s="54"/>
      <c r="AF399" s="54"/>
      <c r="AG399" s="54"/>
      <c r="AH399" s="54"/>
      <c r="AI399" s="117">
        <f t="shared" si="10"/>
        <v>0</v>
      </c>
      <c r="AJ399" s="117">
        <f>SUM(F399:U399)</f>
        <v>0</v>
      </c>
      <c r="AK399" s="117">
        <f t="shared" si="11"/>
        <v>0</v>
      </c>
      <c r="AL399" s="23"/>
      <c r="AM399" s="127" t="b">
        <f>IF(INDEX($AO399:$BM399,0,$F$14)=1,TRUE,FALSE)</f>
        <v>0</v>
      </c>
      <c r="AN399" s="127" t="str">
        <f>IF(AM399,A399&amp;", "&amp;B399,"")</f>
        <v/>
      </c>
      <c r="AO399" s="129">
        <v>1</v>
      </c>
      <c r="AP399" s="129">
        <v>1</v>
      </c>
      <c r="AQ399" s="129"/>
      <c r="AR399" s="129"/>
      <c r="AS399" s="129"/>
      <c r="AT399" s="129"/>
      <c r="AU399" s="129"/>
      <c r="AV399" s="129"/>
      <c r="AW399" s="129"/>
      <c r="AX399" s="197"/>
      <c r="AY399" s="197"/>
      <c r="AZ399" s="197"/>
      <c r="BA399" s="197"/>
      <c r="BB399" s="129"/>
      <c r="BC399" s="129"/>
      <c r="BD399" s="129"/>
      <c r="BE399" s="129"/>
      <c r="BF399" s="129"/>
      <c r="BG399" s="129"/>
      <c r="BH399" s="129"/>
      <c r="BI399" s="129"/>
      <c r="BJ399" s="129"/>
      <c r="BK399" s="129"/>
      <c r="BL399" s="129"/>
      <c r="BM399" s="197"/>
    </row>
    <row r="400" spans="1:65" x14ac:dyDescent="0.25">
      <c r="A400" s="121" t="s">
        <v>139</v>
      </c>
      <c r="B400" s="121" t="s">
        <v>26</v>
      </c>
      <c r="C400" s="172" t="s">
        <v>222</v>
      </c>
      <c r="D400" s="49"/>
      <c r="E400" s="49"/>
      <c r="F400" s="54"/>
      <c r="G400" s="54"/>
      <c r="H400" s="54"/>
      <c r="I400" s="54"/>
      <c r="J400" s="54"/>
      <c r="K400" s="54"/>
      <c r="L400" s="54"/>
      <c r="M400" s="54"/>
      <c r="N400" s="54"/>
      <c r="O400" s="54"/>
      <c r="P400" s="54"/>
      <c r="Q400" s="54"/>
      <c r="R400" s="54"/>
      <c r="S400" s="54"/>
      <c r="T400" s="54"/>
      <c r="U400" s="54"/>
      <c r="V400" s="54"/>
      <c r="W400" s="54"/>
      <c r="X400" s="54"/>
      <c r="Y400" s="54"/>
      <c r="Z400" s="54"/>
      <c r="AA400" s="54"/>
      <c r="AB400" s="54"/>
      <c r="AC400" s="54"/>
      <c r="AD400" s="54"/>
      <c r="AE400" s="54"/>
      <c r="AF400" s="54"/>
      <c r="AG400" s="54"/>
      <c r="AH400" s="54"/>
      <c r="AI400" s="117">
        <f t="shared" si="10"/>
        <v>0</v>
      </c>
      <c r="AJ400" s="117">
        <f>SUM(F400:U400)</f>
        <v>0</v>
      </c>
      <c r="AK400" s="117">
        <f t="shared" si="11"/>
        <v>0</v>
      </c>
      <c r="AL400" s="23"/>
      <c r="AM400" s="127" t="b">
        <f>IF(INDEX($AO400:$BM400,0,$F$14)=1,TRUE,FALSE)</f>
        <v>0</v>
      </c>
      <c r="AN400" s="127" t="str">
        <f>IF(AM400,A400&amp;", "&amp;B400,"")</f>
        <v/>
      </c>
      <c r="AO400" s="129">
        <v>1</v>
      </c>
      <c r="AP400" s="129">
        <v>1</v>
      </c>
      <c r="AQ400" s="129"/>
      <c r="AR400" s="129"/>
      <c r="AS400" s="129"/>
      <c r="AT400" s="129"/>
      <c r="AU400" s="129"/>
      <c r="AV400" s="129"/>
      <c r="AW400" s="129"/>
      <c r="AX400" s="197"/>
      <c r="AY400" s="197"/>
      <c r="AZ400" s="197"/>
      <c r="BA400" s="197"/>
      <c r="BB400" s="129"/>
      <c r="BC400" s="129"/>
      <c r="BD400" s="129"/>
      <c r="BE400" s="129"/>
      <c r="BF400" s="129"/>
      <c r="BG400" s="129"/>
      <c r="BH400" s="129"/>
      <c r="BI400" s="129"/>
      <c r="BJ400" s="129"/>
      <c r="BK400" s="129"/>
      <c r="BL400" s="129"/>
      <c r="BM400" s="197"/>
    </row>
    <row r="401" spans="1:65" x14ac:dyDescent="0.25">
      <c r="A401" s="121" t="s">
        <v>139</v>
      </c>
      <c r="B401" s="121" t="s">
        <v>27</v>
      </c>
      <c r="C401" s="172" t="s">
        <v>222</v>
      </c>
      <c r="D401" s="49"/>
      <c r="E401" s="49"/>
      <c r="F401" s="54"/>
      <c r="G401" s="54"/>
      <c r="H401" s="54"/>
      <c r="I401" s="54"/>
      <c r="J401" s="54"/>
      <c r="K401" s="54"/>
      <c r="L401" s="54"/>
      <c r="M401" s="54"/>
      <c r="N401" s="54"/>
      <c r="O401" s="54"/>
      <c r="P401" s="54"/>
      <c r="Q401" s="54"/>
      <c r="R401" s="54"/>
      <c r="S401" s="54"/>
      <c r="T401" s="54"/>
      <c r="U401" s="54"/>
      <c r="V401" s="54"/>
      <c r="W401" s="54"/>
      <c r="X401" s="54"/>
      <c r="Y401" s="54"/>
      <c r="Z401" s="54"/>
      <c r="AA401" s="54"/>
      <c r="AB401" s="54"/>
      <c r="AC401" s="54"/>
      <c r="AD401" s="54"/>
      <c r="AE401" s="54"/>
      <c r="AF401" s="54"/>
      <c r="AG401" s="54"/>
      <c r="AH401" s="54"/>
      <c r="AI401" s="117">
        <f t="shared" si="10"/>
        <v>0</v>
      </c>
      <c r="AJ401" s="117">
        <f>SUM(F401:U401)</f>
        <v>0</v>
      </c>
      <c r="AK401" s="117">
        <f t="shared" si="11"/>
        <v>0</v>
      </c>
      <c r="AL401" s="23"/>
      <c r="AM401" s="127" t="b">
        <f>IF(INDEX($AO401:$BM401,0,$F$14)=1,TRUE,FALSE)</f>
        <v>0</v>
      </c>
      <c r="AN401" s="127" t="str">
        <f>IF(AM401,A401&amp;", "&amp;B401,"")</f>
        <v/>
      </c>
      <c r="AO401" s="129">
        <v>1</v>
      </c>
      <c r="AP401" s="129">
        <v>1</v>
      </c>
      <c r="AQ401" s="129"/>
      <c r="AR401" s="129"/>
      <c r="AS401" s="129"/>
      <c r="AT401" s="129"/>
      <c r="AU401" s="129"/>
      <c r="AV401" s="129"/>
      <c r="AW401" s="129"/>
      <c r="AX401" s="197"/>
      <c r="AY401" s="197"/>
      <c r="AZ401" s="197"/>
      <c r="BA401" s="197"/>
      <c r="BB401" s="129"/>
      <c r="BC401" s="129"/>
      <c r="BD401" s="129"/>
      <c r="BE401" s="129"/>
      <c r="BF401" s="129"/>
      <c r="BG401" s="129"/>
      <c r="BH401" s="129"/>
      <c r="BI401" s="129"/>
      <c r="BJ401" s="129"/>
      <c r="BK401" s="129"/>
      <c r="BL401" s="129"/>
      <c r="BM401" s="197"/>
    </row>
    <row r="402" spans="1:65" x14ac:dyDescent="0.25">
      <c r="A402" s="121"/>
      <c r="B402" s="121"/>
      <c r="C402" s="172"/>
      <c r="D402" s="49"/>
      <c r="E402" s="49"/>
      <c r="F402" s="54"/>
      <c r="G402" s="54"/>
      <c r="H402" s="54"/>
      <c r="I402" s="54"/>
      <c r="J402" s="54"/>
      <c r="K402" s="54"/>
      <c r="L402" s="54"/>
      <c r="M402" s="54"/>
      <c r="N402" s="54"/>
      <c r="O402" s="54"/>
      <c r="P402" s="54"/>
      <c r="Q402" s="54"/>
      <c r="R402" s="54"/>
      <c r="S402" s="54"/>
      <c r="T402" s="54"/>
      <c r="U402" s="54"/>
      <c r="V402" s="54"/>
      <c r="W402" s="55"/>
      <c r="X402" s="55"/>
      <c r="Y402" s="55"/>
      <c r="Z402" s="55"/>
      <c r="AA402" s="55"/>
      <c r="AB402" s="55"/>
      <c r="AC402" s="55"/>
      <c r="AD402" s="55"/>
      <c r="AE402" s="55"/>
      <c r="AF402" s="55"/>
      <c r="AG402" s="55"/>
      <c r="AH402" s="55"/>
      <c r="AI402" s="54"/>
      <c r="AJ402" s="54"/>
      <c r="AK402" s="54"/>
      <c r="AL402" s="23"/>
      <c r="AM402" s="127"/>
      <c r="AN402" s="127"/>
      <c r="AO402" s="129"/>
      <c r="AP402" s="129"/>
      <c r="AQ402" s="129"/>
      <c r="AR402" s="129"/>
      <c r="AS402" s="129"/>
      <c r="AT402" s="129"/>
      <c r="AU402" s="129"/>
      <c r="AV402" s="129"/>
      <c r="AW402" s="129"/>
      <c r="AX402" s="197"/>
      <c r="AY402" s="197"/>
      <c r="AZ402" s="197"/>
      <c r="BA402" s="197"/>
      <c r="BB402" s="129"/>
      <c r="BC402" s="129"/>
      <c r="BD402" s="129"/>
      <c r="BE402" s="129"/>
      <c r="BF402" s="129"/>
      <c r="BG402" s="129"/>
      <c r="BH402" s="129"/>
      <c r="BI402" s="129"/>
      <c r="BJ402" s="129"/>
      <c r="BK402" s="129"/>
      <c r="BL402" s="129"/>
      <c r="BM402" s="197"/>
    </row>
    <row r="403" spans="1:65" x14ac:dyDescent="0.25">
      <c r="A403" s="121"/>
      <c r="B403" s="121"/>
      <c r="C403" s="172"/>
      <c r="D403" s="46"/>
      <c r="E403" s="46"/>
      <c r="F403" s="54"/>
      <c r="G403" s="54"/>
      <c r="H403" s="54"/>
      <c r="I403" s="54"/>
      <c r="J403" s="54"/>
      <c r="K403" s="54"/>
      <c r="L403" s="54"/>
      <c r="M403" s="54"/>
      <c r="N403" s="54"/>
      <c r="O403" s="54"/>
      <c r="P403" s="54"/>
      <c r="Q403" s="54"/>
      <c r="R403" s="54"/>
      <c r="S403" s="54"/>
      <c r="T403" s="54"/>
      <c r="U403" s="54"/>
      <c r="V403" s="54"/>
      <c r="W403" s="55"/>
      <c r="X403" s="55"/>
      <c r="Y403" s="55"/>
      <c r="Z403" s="55"/>
      <c r="AA403" s="55"/>
      <c r="AB403" s="55"/>
      <c r="AC403" s="55"/>
      <c r="AD403" s="55"/>
      <c r="AE403" s="55"/>
      <c r="AF403" s="55"/>
      <c r="AG403" s="55"/>
      <c r="AH403" s="55"/>
      <c r="AI403" s="54"/>
      <c r="AJ403" s="54"/>
      <c r="AK403" s="54"/>
      <c r="AL403" s="23"/>
      <c r="AM403" s="127"/>
      <c r="AN403" s="127"/>
      <c r="AO403" s="129"/>
      <c r="AP403" s="129"/>
      <c r="AQ403" s="129"/>
      <c r="AR403" s="129"/>
      <c r="AS403" s="129"/>
      <c r="AT403" s="129"/>
      <c r="AU403" s="129"/>
      <c r="AV403" s="129"/>
      <c r="AW403" s="129"/>
      <c r="AX403" s="197"/>
      <c r="AY403" s="197"/>
      <c r="AZ403" s="197"/>
      <c r="BA403" s="197"/>
      <c r="BB403" s="129"/>
      <c r="BC403" s="129"/>
      <c r="BD403" s="129"/>
      <c r="BE403" s="129"/>
      <c r="BF403" s="129"/>
      <c r="BG403" s="129"/>
      <c r="BH403" s="129"/>
      <c r="BI403" s="129"/>
      <c r="BJ403" s="129"/>
      <c r="BK403" s="129"/>
      <c r="BL403" s="129"/>
      <c r="BM403" s="197"/>
    </row>
    <row r="404" spans="1:65" x14ac:dyDescent="0.25">
      <c r="A404" s="121" t="s">
        <v>139</v>
      </c>
      <c r="B404" s="121" t="s">
        <v>23</v>
      </c>
      <c r="C404" s="172" t="s">
        <v>222</v>
      </c>
      <c r="D404" s="161">
        <v>10</v>
      </c>
      <c r="E404" s="29" t="str">
        <f>INDEX(ra_ScName,MATCH(D404,ra_ScNumber,0))</f>
        <v>Disclosed nominal return (incl actual asset revaluations)</v>
      </c>
      <c r="F404" s="122">
        <v>0</v>
      </c>
      <c r="G404" s="122">
        <v>0</v>
      </c>
      <c r="H404" s="122">
        <v>0</v>
      </c>
      <c r="I404" s="122">
        <v>0</v>
      </c>
      <c r="J404" s="122">
        <v>0</v>
      </c>
      <c r="K404" s="122">
        <v>0</v>
      </c>
      <c r="L404" s="122">
        <v>0</v>
      </c>
      <c r="M404" s="122">
        <v>0</v>
      </c>
      <c r="N404" s="122">
        <v>0</v>
      </c>
      <c r="O404" s="122">
        <v>0</v>
      </c>
      <c r="P404" s="122">
        <v>0</v>
      </c>
      <c r="Q404" s="122">
        <v>0</v>
      </c>
      <c r="R404" s="122">
        <v>0</v>
      </c>
      <c r="S404" s="122">
        <v>0</v>
      </c>
      <c r="T404" s="122">
        <v>0</v>
      </c>
      <c r="U404" s="122">
        <v>0</v>
      </c>
      <c r="V404" s="122">
        <v>0</v>
      </c>
      <c r="W404" s="122">
        <v>0</v>
      </c>
      <c r="X404" s="122">
        <v>0</v>
      </c>
      <c r="Y404" s="122">
        <v>0</v>
      </c>
      <c r="Z404" s="122">
        <v>0</v>
      </c>
      <c r="AA404" s="122">
        <v>0</v>
      </c>
      <c r="AB404" s="122">
        <v>0</v>
      </c>
      <c r="AC404" s="122">
        <v>0</v>
      </c>
      <c r="AD404" s="122">
        <v>0</v>
      </c>
      <c r="AE404" s="122">
        <v>0</v>
      </c>
      <c r="AF404" s="122">
        <v>0</v>
      </c>
      <c r="AG404" s="122">
        <v>0</v>
      </c>
      <c r="AH404" s="122">
        <v>0</v>
      </c>
      <c r="AI404" s="117">
        <f t="shared" si="10"/>
        <v>0</v>
      </c>
      <c r="AJ404" s="117">
        <f>SUM(F404:U404)</f>
        <v>0</v>
      </c>
      <c r="AK404" s="117">
        <f t="shared" si="11"/>
        <v>0</v>
      </c>
      <c r="AL404" s="23"/>
      <c r="AM404" s="127" t="b">
        <f>IF(INDEX($AO404:$BM404,0,$F$14)=1,TRUE,FALSE)</f>
        <v>1</v>
      </c>
      <c r="AN404" s="127" t="str">
        <f>IF(AM404,A404&amp;", "&amp;B404,"")</f>
        <v>2013–2015 NPV wash-up allowance, 2010/11</v>
      </c>
      <c r="AO404" s="129"/>
      <c r="AP404" s="129"/>
      <c r="AQ404" s="129">
        <v>1</v>
      </c>
      <c r="AR404" s="129">
        <v>1</v>
      </c>
      <c r="AS404" s="129">
        <v>1</v>
      </c>
      <c r="AT404" s="129">
        <v>1</v>
      </c>
      <c r="AU404" s="129">
        <v>1</v>
      </c>
      <c r="AV404" s="129">
        <v>1</v>
      </c>
      <c r="AW404" s="129">
        <v>1</v>
      </c>
      <c r="AX404" s="197">
        <v>1</v>
      </c>
      <c r="AY404" s="197">
        <v>1</v>
      </c>
      <c r="AZ404" s="197">
        <v>1</v>
      </c>
      <c r="BA404" s="197">
        <v>1</v>
      </c>
      <c r="BB404" s="129">
        <v>1</v>
      </c>
      <c r="BC404" s="129">
        <v>1</v>
      </c>
      <c r="BD404" s="129">
        <v>1</v>
      </c>
      <c r="BE404" s="129">
        <v>1</v>
      </c>
      <c r="BF404" s="129">
        <v>1</v>
      </c>
      <c r="BG404" s="129">
        <v>1</v>
      </c>
      <c r="BH404" s="129">
        <v>1</v>
      </c>
      <c r="BI404" s="129">
        <v>1</v>
      </c>
      <c r="BJ404" s="129">
        <v>1</v>
      </c>
      <c r="BK404" s="129">
        <v>1</v>
      </c>
      <c r="BL404" s="129">
        <v>1</v>
      </c>
      <c r="BM404" s="197">
        <v>1</v>
      </c>
    </row>
    <row r="405" spans="1:65" x14ac:dyDescent="0.25">
      <c r="A405" s="121" t="s">
        <v>139</v>
      </c>
      <c r="B405" s="121" t="s">
        <v>24</v>
      </c>
      <c r="C405" s="172" t="s">
        <v>222</v>
      </c>
      <c r="D405" s="161">
        <v>10</v>
      </c>
      <c r="E405" s="29" t="str">
        <f>INDEX(ra_ScName,MATCH(D405,ra_ScNumber,0))</f>
        <v>Disclosed nominal return (incl actual asset revaluations)</v>
      </c>
      <c r="F405" s="122">
        <v>0</v>
      </c>
      <c r="G405" s="122">
        <v>0</v>
      </c>
      <c r="H405" s="122">
        <v>0</v>
      </c>
      <c r="I405" s="122">
        <v>0</v>
      </c>
      <c r="J405" s="122">
        <v>0</v>
      </c>
      <c r="K405" s="122">
        <v>0</v>
      </c>
      <c r="L405" s="122">
        <v>0</v>
      </c>
      <c r="M405" s="122">
        <v>0</v>
      </c>
      <c r="N405" s="122">
        <v>0</v>
      </c>
      <c r="O405" s="122">
        <v>0</v>
      </c>
      <c r="P405" s="122">
        <v>0</v>
      </c>
      <c r="Q405" s="122">
        <v>0</v>
      </c>
      <c r="R405" s="122">
        <v>0</v>
      </c>
      <c r="S405" s="122">
        <v>0</v>
      </c>
      <c r="T405" s="122">
        <v>0</v>
      </c>
      <c r="U405" s="122">
        <v>0</v>
      </c>
      <c r="V405" s="122">
        <v>0</v>
      </c>
      <c r="W405" s="122">
        <v>0</v>
      </c>
      <c r="X405" s="122">
        <v>0</v>
      </c>
      <c r="Y405" s="122">
        <v>0</v>
      </c>
      <c r="Z405" s="122">
        <v>0</v>
      </c>
      <c r="AA405" s="122">
        <v>0</v>
      </c>
      <c r="AB405" s="122">
        <v>0</v>
      </c>
      <c r="AC405" s="122">
        <v>0</v>
      </c>
      <c r="AD405" s="122">
        <v>0</v>
      </c>
      <c r="AE405" s="122">
        <v>0</v>
      </c>
      <c r="AF405" s="122">
        <v>0</v>
      </c>
      <c r="AG405" s="122">
        <v>0</v>
      </c>
      <c r="AH405" s="122">
        <v>0</v>
      </c>
      <c r="AI405" s="117">
        <f t="shared" si="10"/>
        <v>0</v>
      </c>
      <c r="AJ405" s="117">
        <f>SUM(F405:U405)</f>
        <v>0</v>
      </c>
      <c r="AK405" s="117">
        <f t="shared" si="11"/>
        <v>0</v>
      </c>
      <c r="AL405" s="23"/>
      <c r="AM405" s="127" t="b">
        <f>IF(INDEX($AO405:$BM405,0,$F$14)=1,TRUE,FALSE)</f>
        <v>1</v>
      </c>
      <c r="AN405" s="127" t="str">
        <f>IF(AM405,A405&amp;", "&amp;B405,"")</f>
        <v>2013–2015 NPV wash-up allowance, 2011/12</v>
      </c>
      <c r="AO405" s="129"/>
      <c r="AP405" s="129"/>
      <c r="AQ405" s="129">
        <v>1</v>
      </c>
      <c r="AR405" s="129">
        <v>1</v>
      </c>
      <c r="AS405" s="129">
        <v>1</v>
      </c>
      <c r="AT405" s="129">
        <v>1</v>
      </c>
      <c r="AU405" s="129">
        <v>1</v>
      </c>
      <c r="AV405" s="129">
        <v>1</v>
      </c>
      <c r="AW405" s="129">
        <v>1</v>
      </c>
      <c r="AX405" s="197">
        <v>1</v>
      </c>
      <c r="AY405" s="197">
        <v>1</v>
      </c>
      <c r="AZ405" s="197">
        <v>1</v>
      </c>
      <c r="BA405" s="197">
        <v>1</v>
      </c>
      <c r="BB405" s="129">
        <v>1</v>
      </c>
      <c r="BC405" s="129">
        <v>1</v>
      </c>
      <c r="BD405" s="129">
        <v>1</v>
      </c>
      <c r="BE405" s="129">
        <v>1</v>
      </c>
      <c r="BF405" s="129">
        <v>1</v>
      </c>
      <c r="BG405" s="129">
        <v>1</v>
      </c>
      <c r="BH405" s="129">
        <v>1</v>
      </c>
      <c r="BI405" s="129">
        <v>1</v>
      </c>
      <c r="BJ405" s="129">
        <v>1</v>
      </c>
      <c r="BK405" s="129">
        <v>1</v>
      </c>
      <c r="BL405" s="129">
        <v>1</v>
      </c>
      <c r="BM405" s="197">
        <v>1</v>
      </c>
    </row>
    <row r="406" spans="1:65" x14ac:dyDescent="0.25">
      <c r="A406" s="121" t="s">
        <v>139</v>
      </c>
      <c r="B406" s="121" t="s">
        <v>25</v>
      </c>
      <c r="C406" s="172" t="s">
        <v>222</v>
      </c>
      <c r="D406" s="161">
        <v>10</v>
      </c>
      <c r="E406" s="29" t="str">
        <f>INDEX(ra_ScName,MATCH(D406,ra_ScNumber,0))</f>
        <v>Disclosed nominal return (incl actual asset revaluations)</v>
      </c>
      <c r="F406" s="122">
        <v>0</v>
      </c>
      <c r="G406" s="122">
        <v>0</v>
      </c>
      <c r="H406" s="122">
        <v>0</v>
      </c>
      <c r="I406" s="122">
        <v>0</v>
      </c>
      <c r="J406" s="122">
        <v>0</v>
      </c>
      <c r="K406" s="122">
        <v>0</v>
      </c>
      <c r="L406" s="122">
        <v>0</v>
      </c>
      <c r="M406" s="122">
        <v>0</v>
      </c>
      <c r="N406" s="122">
        <v>0</v>
      </c>
      <c r="O406" s="122">
        <v>0</v>
      </c>
      <c r="P406" s="122">
        <v>0</v>
      </c>
      <c r="Q406" s="122">
        <v>0</v>
      </c>
      <c r="R406" s="122">
        <v>0</v>
      </c>
      <c r="S406" s="122">
        <v>0</v>
      </c>
      <c r="T406" s="122">
        <v>0</v>
      </c>
      <c r="U406" s="122">
        <v>0</v>
      </c>
      <c r="V406" s="122">
        <v>0</v>
      </c>
      <c r="W406" s="122">
        <v>0</v>
      </c>
      <c r="X406" s="122">
        <v>0</v>
      </c>
      <c r="Y406" s="122">
        <v>0</v>
      </c>
      <c r="Z406" s="122">
        <v>0</v>
      </c>
      <c r="AA406" s="122">
        <v>0</v>
      </c>
      <c r="AB406" s="122">
        <v>0</v>
      </c>
      <c r="AC406" s="122">
        <v>0</v>
      </c>
      <c r="AD406" s="122">
        <v>0</v>
      </c>
      <c r="AE406" s="122">
        <v>0</v>
      </c>
      <c r="AF406" s="122">
        <v>0</v>
      </c>
      <c r="AG406" s="122">
        <v>0</v>
      </c>
      <c r="AH406" s="122">
        <v>0</v>
      </c>
      <c r="AI406" s="117">
        <f t="shared" si="10"/>
        <v>0</v>
      </c>
      <c r="AJ406" s="117">
        <f>SUM(F406:U406)</f>
        <v>0</v>
      </c>
      <c r="AK406" s="117">
        <f t="shared" si="11"/>
        <v>0</v>
      </c>
      <c r="AL406" s="23"/>
      <c r="AM406" s="127" t="b">
        <f>IF(INDEX($AO406:$BM406,0,$F$14)=1,TRUE,FALSE)</f>
        <v>1</v>
      </c>
      <c r="AN406" s="127" t="str">
        <f>IF(AM406,A406&amp;", "&amp;B406,"")</f>
        <v>2013–2015 NPV wash-up allowance, 2012/13</v>
      </c>
      <c r="AO406" s="129"/>
      <c r="AP406" s="129"/>
      <c r="AQ406" s="129">
        <v>1</v>
      </c>
      <c r="AR406" s="129">
        <v>1</v>
      </c>
      <c r="AS406" s="129">
        <v>1</v>
      </c>
      <c r="AT406" s="129">
        <v>1</v>
      </c>
      <c r="AU406" s="129">
        <v>1</v>
      </c>
      <c r="AV406" s="129">
        <v>1</v>
      </c>
      <c r="AW406" s="129">
        <v>1</v>
      </c>
      <c r="AX406" s="197">
        <v>1</v>
      </c>
      <c r="AY406" s="197">
        <v>1</v>
      </c>
      <c r="AZ406" s="197">
        <v>1</v>
      </c>
      <c r="BA406" s="197">
        <v>1</v>
      </c>
      <c r="BB406" s="129">
        <v>1</v>
      </c>
      <c r="BC406" s="129">
        <v>1</v>
      </c>
      <c r="BD406" s="129">
        <v>1</v>
      </c>
      <c r="BE406" s="129">
        <v>1</v>
      </c>
      <c r="BF406" s="129">
        <v>1</v>
      </c>
      <c r="BG406" s="129">
        <v>1</v>
      </c>
      <c r="BH406" s="129">
        <v>1</v>
      </c>
      <c r="BI406" s="129">
        <v>1</v>
      </c>
      <c r="BJ406" s="129">
        <v>1</v>
      </c>
      <c r="BK406" s="129">
        <v>1</v>
      </c>
      <c r="BL406" s="129">
        <v>1</v>
      </c>
      <c r="BM406" s="197">
        <v>1</v>
      </c>
    </row>
    <row r="407" spans="1:65" x14ac:dyDescent="0.25">
      <c r="A407" s="121" t="s">
        <v>139</v>
      </c>
      <c r="B407" s="121" t="s">
        <v>26</v>
      </c>
      <c r="C407" s="172" t="s">
        <v>222</v>
      </c>
      <c r="D407" s="161">
        <v>10</v>
      </c>
      <c r="E407" s="29" t="str">
        <f>INDEX(ra_ScName,MATCH(D407,ra_ScNumber,0))</f>
        <v>Disclosed nominal return (incl actual asset revaluations)</v>
      </c>
      <c r="F407" s="122">
        <v>0</v>
      </c>
      <c r="G407" s="122">
        <v>0</v>
      </c>
      <c r="H407" s="122">
        <v>0</v>
      </c>
      <c r="I407" s="122">
        <v>0</v>
      </c>
      <c r="J407" s="122">
        <v>0</v>
      </c>
      <c r="K407" s="122">
        <v>0</v>
      </c>
      <c r="L407" s="122">
        <v>0</v>
      </c>
      <c r="M407" s="122">
        <v>0</v>
      </c>
      <c r="N407" s="122">
        <v>0</v>
      </c>
      <c r="O407" s="122">
        <v>0</v>
      </c>
      <c r="P407" s="122">
        <v>0</v>
      </c>
      <c r="Q407" s="122">
        <v>0</v>
      </c>
      <c r="R407" s="122">
        <v>0</v>
      </c>
      <c r="S407" s="122">
        <v>0</v>
      </c>
      <c r="T407" s="122">
        <v>0</v>
      </c>
      <c r="U407" s="122">
        <v>0</v>
      </c>
      <c r="V407" s="122">
        <v>0</v>
      </c>
      <c r="W407" s="122">
        <v>0</v>
      </c>
      <c r="X407" s="122">
        <v>0</v>
      </c>
      <c r="Y407" s="122">
        <v>0</v>
      </c>
      <c r="Z407" s="122">
        <v>0</v>
      </c>
      <c r="AA407" s="122">
        <v>0</v>
      </c>
      <c r="AB407" s="122">
        <v>0</v>
      </c>
      <c r="AC407" s="122">
        <v>0</v>
      </c>
      <c r="AD407" s="122">
        <v>0</v>
      </c>
      <c r="AE407" s="122">
        <v>0</v>
      </c>
      <c r="AF407" s="122">
        <v>0</v>
      </c>
      <c r="AG407" s="122">
        <v>0</v>
      </c>
      <c r="AH407" s="122">
        <v>0</v>
      </c>
      <c r="AI407" s="117">
        <f t="shared" si="10"/>
        <v>0</v>
      </c>
      <c r="AJ407" s="117">
        <f>SUM(F407:U407)</f>
        <v>0</v>
      </c>
      <c r="AK407" s="117">
        <f t="shared" si="11"/>
        <v>0</v>
      </c>
      <c r="AL407" s="23"/>
      <c r="AM407" s="127" t="b">
        <f>IF(INDEX($AO407:$BM407,0,$F$14)=1,TRUE,FALSE)</f>
        <v>1</v>
      </c>
      <c r="AN407" s="127" t="str">
        <f>IF(AM407,A407&amp;", "&amp;B407,"")</f>
        <v>2013–2015 NPV wash-up allowance, 2013/14</v>
      </c>
      <c r="AO407" s="129"/>
      <c r="AP407" s="129"/>
      <c r="AQ407" s="129">
        <v>1</v>
      </c>
      <c r="AR407" s="129">
        <v>1</v>
      </c>
      <c r="AS407" s="129">
        <v>1</v>
      </c>
      <c r="AT407" s="129">
        <v>1</v>
      </c>
      <c r="AU407" s="129">
        <v>1</v>
      </c>
      <c r="AV407" s="129">
        <v>1</v>
      </c>
      <c r="AW407" s="129">
        <v>1</v>
      </c>
      <c r="AX407" s="197">
        <v>1</v>
      </c>
      <c r="AY407" s="197">
        <v>1</v>
      </c>
      <c r="AZ407" s="197">
        <v>1</v>
      </c>
      <c r="BA407" s="197">
        <v>1</v>
      </c>
      <c r="BB407" s="129">
        <v>1</v>
      </c>
      <c r="BC407" s="129">
        <v>1</v>
      </c>
      <c r="BD407" s="129">
        <v>1</v>
      </c>
      <c r="BE407" s="129">
        <v>1</v>
      </c>
      <c r="BF407" s="129">
        <v>1</v>
      </c>
      <c r="BG407" s="129">
        <v>1</v>
      </c>
      <c r="BH407" s="129">
        <v>1</v>
      </c>
      <c r="BI407" s="129">
        <v>1</v>
      </c>
      <c r="BJ407" s="129">
        <v>1</v>
      </c>
      <c r="BK407" s="129">
        <v>1</v>
      </c>
      <c r="BL407" s="129">
        <v>1</v>
      </c>
      <c r="BM407" s="197">
        <v>1</v>
      </c>
    </row>
    <row r="408" spans="1:65" x14ac:dyDescent="0.25">
      <c r="A408" s="121" t="s">
        <v>139</v>
      </c>
      <c r="B408" s="121" t="s">
        <v>27</v>
      </c>
      <c r="C408" s="172" t="s">
        <v>222</v>
      </c>
      <c r="D408" s="161">
        <v>10</v>
      </c>
      <c r="E408" s="29" t="str">
        <f>INDEX(ra_ScName,MATCH(D408,ra_ScNumber,0))</f>
        <v>Disclosed nominal return (incl actual asset revaluations)</v>
      </c>
      <c r="F408" s="122">
        <v>0</v>
      </c>
      <c r="G408" s="122">
        <v>0</v>
      </c>
      <c r="H408" s="122">
        <v>0</v>
      </c>
      <c r="I408" s="122">
        <v>0</v>
      </c>
      <c r="J408" s="122">
        <v>0</v>
      </c>
      <c r="K408" s="122">
        <v>0</v>
      </c>
      <c r="L408" s="122">
        <v>0</v>
      </c>
      <c r="M408" s="122">
        <v>0</v>
      </c>
      <c r="N408" s="122">
        <v>0</v>
      </c>
      <c r="O408" s="122">
        <v>0</v>
      </c>
      <c r="P408" s="122">
        <v>0</v>
      </c>
      <c r="Q408" s="122">
        <v>0</v>
      </c>
      <c r="R408" s="122">
        <v>0</v>
      </c>
      <c r="S408" s="122">
        <v>0</v>
      </c>
      <c r="T408" s="122">
        <v>0</v>
      </c>
      <c r="U408" s="122">
        <v>0</v>
      </c>
      <c r="V408" s="122">
        <v>0</v>
      </c>
      <c r="W408" s="122">
        <v>0</v>
      </c>
      <c r="X408" s="122">
        <v>0</v>
      </c>
      <c r="Y408" s="122">
        <v>0</v>
      </c>
      <c r="Z408" s="122">
        <v>0</v>
      </c>
      <c r="AA408" s="122">
        <v>0</v>
      </c>
      <c r="AB408" s="122">
        <v>0</v>
      </c>
      <c r="AC408" s="122">
        <v>0</v>
      </c>
      <c r="AD408" s="122">
        <v>0</v>
      </c>
      <c r="AE408" s="122">
        <v>0</v>
      </c>
      <c r="AF408" s="122">
        <v>0</v>
      </c>
      <c r="AG408" s="122">
        <v>0</v>
      </c>
      <c r="AH408" s="122">
        <v>0</v>
      </c>
      <c r="AI408" s="117">
        <f t="shared" si="10"/>
        <v>0</v>
      </c>
      <c r="AJ408" s="117">
        <f>SUM(F408:U408)</f>
        <v>0</v>
      </c>
      <c r="AK408" s="117">
        <f t="shared" si="11"/>
        <v>0</v>
      </c>
      <c r="AL408" s="23"/>
      <c r="AM408" s="127" t="b">
        <f>IF(INDEX($AO408:$BM408,0,$F$14)=1,TRUE,FALSE)</f>
        <v>1</v>
      </c>
      <c r="AN408" s="127" t="str">
        <f>IF(AM408,A408&amp;", "&amp;B408,"")</f>
        <v>2013–2015 NPV wash-up allowance, 2014/15</v>
      </c>
      <c r="AO408" s="129"/>
      <c r="AP408" s="129"/>
      <c r="AQ408" s="129">
        <v>1</v>
      </c>
      <c r="AR408" s="129">
        <v>1</v>
      </c>
      <c r="AS408" s="129">
        <v>1</v>
      </c>
      <c r="AT408" s="129">
        <v>1</v>
      </c>
      <c r="AU408" s="129">
        <v>1</v>
      </c>
      <c r="AV408" s="129">
        <v>1</v>
      </c>
      <c r="AW408" s="129">
        <v>1</v>
      </c>
      <c r="AX408" s="197">
        <v>1</v>
      </c>
      <c r="AY408" s="197">
        <v>1</v>
      </c>
      <c r="AZ408" s="197">
        <v>1</v>
      </c>
      <c r="BA408" s="197">
        <v>1</v>
      </c>
      <c r="BB408" s="129">
        <v>1</v>
      </c>
      <c r="BC408" s="129">
        <v>1</v>
      </c>
      <c r="BD408" s="129">
        <v>1</v>
      </c>
      <c r="BE408" s="129">
        <v>1</v>
      </c>
      <c r="BF408" s="129">
        <v>1</v>
      </c>
      <c r="BG408" s="129">
        <v>1</v>
      </c>
      <c r="BH408" s="129">
        <v>1</v>
      </c>
      <c r="BI408" s="129">
        <v>1</v>
      </c>
      <c r="BJ408" s="129">
        <v>1</v>
      </c>
      <c r="BK408" s="129">
        <v>1</v>
      </c>
      <c r="BL408" s="129">
        <v>1</v>
      </c>
      <c r="BM408" s="197">
        <v>1</v>
      </c>
    </row>
    <row r="409" spans="1:65" x14ac:dyDescent="0.25">
      <c r="A409" s="121"/>
      <c r="B409" s="121"/>
      <c r="C409" s="172"/>
      <c r="D409" s="49"/>
      <c r="E409" s="49"/>
      <c r="F409" s="54"/>
      <c r="G409" s="54"/>
      <c r="H409" s="54"/>
      <c r="I409" s="54"/>
      <c r="J409" s="54"/>
      <c r="K409" s="54"/>
      <c r="L409" s="54"/>
      <c r="M409" s="54"/>
      <c r="N409" s="54"/>
      <c r="O409" s="54"/>
      <c r="P409" s="54"/>
      <c r="Q409" s="54"/>
      <c r="R409" s="54"/>
      <c r="S409" s="54"/>
      <c r="T409" s="54"/>
      <c r="U409" s="54"/>
      <c r="V409" s="54"/>
      <c r="W409" s="55"/>
      <c r="X409" s="55"/>
      <c r="Y409" s="55"/>
      <c r="Z409" s="55"/>
      <c r="AA409" s="55"/>
      <c r="AB409" s="55"/>
      <c r="AC409" s="55"/>
      <c r="AD409" s="55"/>
      <c r="AE409" s="55"/>
      <c r="AF409" s="55"/>
      <c r="AG409" s="55"/>
      <c r="AH409" s="55"/>
      <c r="AI409" s="54"/>
      <c r="AJ409" s="54"/>
      <c r="AK409" s="54"/>
      <c r="AL409" s="23"/>
      <c r="AM409" s="127"/>
      <c r="AN409" s="127"/>
      <c r="AO409" s="129"/>
      <c r="AP409" s="129"/>
      <c r="AQ409" s="129"/>
      <c r="AR409" s="129"/>
      <c r="AS409" s="129"/>
      <c r="AT409" s="129"/>
      <c r="AU409" s="129"/>
      <c r="AV409" s="129"/>
      <c r="AW409" s="129"/>
      <c r="AX409" s="197"/>
      <c r="AY409" s="197"/>
      <c r="AZ409" s="197"/>
      <c r="BA409" s="197"/>
      <c r="BB409" s="129"/>
      <c r="BC409" s="129"/>
      <c r="BD409" s="129"/>
      <c r="BE409" s="129"/>
      <c r="BF409" s="129"/>
      <c r="BG409" s="129"/>
      <c r="BH409" s="129"/>
      <c r="BI409" s="129"/>
      <c r="BJ409" s="129"/>
      <c r="BK409" s="129"/>
      <c r="BL409" s="129"/>
      <c r="BM409" s="197"/>
    </row>
    <row r="410" spans="1:65" x14ac:dyDescent="0.25">
      <c r="A410" s="121"/>
      <c r="B410" s="121"/>
      <c r="C410" s="172"/>
      <c r="D410" s="46"/>
      <c r="E410" s="46"/>
      <c r="F410" s="54"/>
      <c r="G410" s="54"/>
      <c r="H410" s="54"/>
      <c r="I410" s="54"/>
      <c r="J410" s="54"/>
      <c r="K410" s="54"/>
      <c r="L410" s="54"/>
      <c r="M410" s="54"/>
      <c r="N410" s="54"/>
      <c r="O410" s="54"/>
      <c r="P410" s="54"/>
      <c r="Q410" s="54"/>
      <c r="R410" s="54"/>
      <c r="S410" s="54"/>
      <c r="T410" s="54"/>
      <c r="U410" s="54"/>
      <c r="V410" s="54"/>
      <c r="W410" s="55"/>
      <c r="X410" s="55"/>
      <c r="Y410" s="55"/>
      <c r="Z410" s="55"/>
      <c r="AA410" s="55"/>
      <c r="AB410" s="55"/>
      <c r="AC410" s="55"/>
      <c r="AD410" s="55"/>
      <c r="AE410" s="55"/>
      <c r="AF410" s="55"/>
      <c r="AG410" s="55"/>
      <c r="AH410" s="55"/>
      <c r="AI410" s="54"/>
      <c r="AJ410" s="54"/>
      <c r="AK410" s="54"/>
      <c r="AL410" s="23"/>
      <c r="AM410" s="127"/>
      <c r="AN410" s="127"/>
      <c r="AO410" s="129"/>
      <c r="AP410" s="129"/>
      <c r="AQ410" s="129"/>
      <c r="AR410" s="129"/>
      <c r="AS410" s="129"/>
      <c r="AT410" s="129"/>
      <c r="AU410" s="129"/>
      <c r="AV410" s="129"/>
      <c r="AW410" s="129"/>
      <c r="AX410" s="197"/>
      <c r="AY410" s="197"/>
      <c r="AZ410" s="197"/>
      <c r="BA410" s="197"/>
      <c r="BB410" s="129"/>
      <c r="BC410" s="129"/>
      <c r="BD410" s="129"/>
      <c r="BE410" s="129"/>
      <c r="BF410" s="129"/>
      <c r="BG410" s="129"/>
      <c r="BH410" s="129"/>
      <c r="BI410" s="129"/>
      <c r="BJ410" s="129"/>
      <c r="BK410" s="129"/>
      <c r="BL410" s="129"/>
      <c r="BM410" s="197"/>
    </row>
    <row r="411" spans="1:65" x14ac:dyDescent="0.25">
      <c r="A411" s="121" t="s">
        <v>140</v>
      </c>
      <c r="B411" s="121" t="s">
        <v>23</v>
      </c>
      <c r="C411" s="172" t="s">
        <v>222</v>
      </c>
      <c r="D411" s="161">
        <v>1</v>
      </c>
      <c r="E411" s="29" t="str">
        <f>INDEX(ra_ScName,MATCH(D411,ra_ScNumber,0))</f>
        <v>Expected nominal return (incl forecast asset revaluations)</v>
      </c>
      <c r="F411" s="54"/>
      <c r="G411" s="54"/>
      <c r="H411" s="54"/>
      <c r="I411" s="54"/>
      <c r="J411" s="54"/>
      <c r="K411" s="54"/>
      <c r="L411" s="54"/>
      <c r="M411" s="54"/>
      <c r="N411" s="54"/>
      <c r="O411" s="54"/>
      <c r="P411" s="54"/>
      <c r="Q411" s="54"/>
      <c r="R411" s="54"/>
      <c r="S411" s="54"/>
      <c r="T411" s="54"/>
      <c r="U411" s="54"/>
      <c r="V411" s="54"/>
      <c r="W411" s="54"/>
      <c r="X411" s="54"/>
      <c r="Y411" s="54"/>
      <c r="Z411" s="54"/>
      <c r="AA411" s="54"/>
      <c r="AB411" s="54"/>
      <c r="AC411" s="54"/>
      <c r="AD411" s="54"/>
      <c r="AE411" s="54"/>
      <c r="AF411" s="54"/>
      <c r="AG411" s="54"/>
      <c r="AH411" s="54"/>
      <c r="AI411" s="117">
        <f>SUM(F411:AH411)</f>
        <v>0</v>
      </c>
      <c r="AJ411" s="117">
        <f>SUM(F411:U411)</f>
        <v>0</v>
      </c>
      <c r="AK411" s="117">
        <f>SUM(W411:AH411)</f>
        <v>0</v>
      </c>
      <c r="AL411" s="23"/>
      <c r="AM411" s="127" t="b">
        <f>IF(INDEX($AO411:$BM411,0,$F$14)=1,TRUE,FALSE)</f>
        <v>0</v>
      </c>
      <c r="AN411" s="127" t="str">
        <f>IF(AM411,A411&amp;", "&amp;B411,"")</f>
        <v/>
      </c>
      <c r="AO411" s="129">
        <v>1</v>
      </c>
      <c r="AP411" s="129">
        <v>1</v>
      </c>
      <c r="AQ411" s="129"/>
      <c r="AR411" s="129"/>
      <c r="AS411" s="129"/>
      <c r="AT411" s="129"/>
      <c r="AU411" s="129"/>
      <c r="AV411" s="129"/>
      <c r="AW411" s="129"/>
      <c r="AX411" s="197"/>
      <c r="AY411" s="197"/>
      <c r="AZ411" s="197"/>
      <c r="BA411" s="197"/>
      <c r="BB411" s="129"/>
      <c r="BC411" s="129"/>
      <c r="BD411" s="129"/>
      <c r="BE411" s="129"/>
      <c r="BF411" s="129"/>
      <c r="BG411" s="129"/>
      <c r="BH411" s="129"/>
      <c r="BI411" s="129"/>
      <c r="BJ411" s="129"/>
      <c r="BK411" s="129"/>
      <c r="BL411" s="129"/>
      <c r="BM411" s="197"/>
    </row>
    <row r="412" spans="1:65" x14ac:dyDescent="0.25">
      <c r="A412" s="121" t="s">
        <v>140</v>
      </c>
      <c r="B412" s="121" t="s">
        <v>24</v>
      </c>
      <c r="C412" s="172" t="s">
        <v>222</v>
      </c>
      <c r="D412" s="161">
        <v>1</v>
      </c>
      <c r="E412" s="29" t="str">
        <f>INDEX(ra_ScName,MATCH(D412,ra_ScNumber,0))</f>
        <v>Expected nominal return (incl forecast asset revaluations)</v>
      </c>
      <c r="F412" s="54"/>
      <c r="G412" s="54"/>
      <c r="H412" s="54"/>
      <c r="I412" s="54"/>
      <c r="J412" s="54"/>
      <c r="K412" s="54"/>
      <c r="L412" s="54"/>
      <c r="M412" s="54"/>
      <c r="N412" s="54"/>
      <c r="O412" s="54"/>
      <c r="P412" s="54"/>
      <c r="Q412" s="54"/>
      <c r="R412" s="54"/>
      <c r="S412" s="54"/>
      <c r="T412" s="54"/>
      <c r="U412" s="54"/>
      <c r="V412" s="54"/>
      <c r="W412" s="54"/>
      <c r="X412" s="54"/>
      <c r="Y412" s="54"/>
      <c r="Z412" s="54"/>
      <c r="AA412" s="54"/>
      <c r="AB412" s="54"/>
      <c r="AC412" s="54"/>
      <c r="AD412" s="54"/>
      <c r="AE412" s="54"/>
      <c r="AF412" s="54"/>
      <c r="AG412" s="54"/>
      <c r="AH412" s="54"/>
      <c r="AI412" s="117">
        <f>SUM(F412:AH412)</f>
        <v>0</v>
      </c>
      <c r="AJ412" s="117">
        <f>SUM(F412:U412)</f>
        <v>0</v>
      </c>
      <c r="AK412" s="117">
        <f>SUM(W412:AH412)</f>
        <v>0</v>
      </c>
      <c r="AL412" s="23"/>
      <c r="AM412" s="127" t="b">
        <f>IF(INDEX($AO412:$BM412,0,$F$14)=1,TRUE,FALSE)</f>
        <v>0</v>
      </c>
      <c r="AN412" s="127" t="str">
        <f>IF(AM412,A412&amp;", "&amp;B412,"")</f>
        <v/>
      </c>
      <c r="AO412" s="129">
        <v>1</v>
      </c>
      <c r="AP412" s="129">
        <v>1</v>
      </c>
      <c r="AQ412" s="129"/>
      <c r="AR412" s="129"/>
      <c r="AS412" s="129"/>
      <c r="AT412" s="129"/>
      <c r="AU412" s="129"/>
      <c r="AV412" s="129"/>
      <c r="AW412" s="129"/>
      <c r="AX412" s="197"/>
      <c r="AY412" s="197"/>
      <c r="AZ412" s="197"/>
      <c r="BA412" s="197"/>
      <c r="BB412" s="129"/>
      <c r="BC412" s="129"/>
      <c r="BD412" s="129"/>
      <c r="BE412" s="129"/>
      <c r="BF412" s="129"/>
      <c r="BG412" s="129"/>
      <c r="BH412" s="129"/>
      <c r="BI412" s="129"/>
      <c r="BJ412" s="129"/>
      <c r="BK412" s="129"/>
      <c r="BL412" s="129"/>
      <c r="BM412" s="197"/>
    </row>
    <row r="413" spans="1:65" x14ac:dyDescent="0.25">
      <c r="A413" s="121" t="s">
        <v>140</v>
      </c>
      <c r="B413" s="121" t="s">
        <v>25</v>
      </c>
      <c r="C413" s="172" t="s">
        <v>222</v>
      </c>
      <c r="D413" s="161">
        <v>1</v>
      </c>
      <c r="E413" s="29" t="str">
        <f>INDEX(ra_ScName,MATCH(D413,ra_ScNumber,0))</f>
        <v>Expected nominal return (incl forecast asset revaluations)</v>
      </c>
      <c r="F413" s="54"/>
      <c r="G413" s="54"/>
      <c r="H413" s="54"/>
      <c r="I413" s="54"/>
      <c r="J413" s="54"/>
      <c r="K413" s="54"/>
      <c r="L413" s="54"/>
      <c r="M413" s="54"/>
      <c r="N413" s="54"/>
      <c r="O413" s="54"/>
      <c r="P413" s="54"/>
      <c r="Q413" s="54"/>
      <c r="R413" s="54"/>
      <c r="S413" s="54"/>
      <c r="T413" s="54"/>
      <c r="U413" s="54"/>
      <c r="V413" s="54"/>
      <c r="W413" s="54"/>
      <c r="X413" s="54"/>
      <c r="Y413" s="54"/>
      <c r="Z413" s="54"/>
      <c r="AA413" s="54"/>
      <c r="AB413" s="54"/>
      <c r="AC413" s="54"/>
      <c r="AD413" s="54"/>
      <c r="AE413" s="54"/>
      <c r="AF413" s="54"/>
      <c r="AG413" s="54"/>
      <c r="AH413" s="54"/>
      <c r="AI413" s="117">
        <f>SUM(F413:AH413)</f>
        <v>0</v>
      </c>
      <c r="AJ413" s="117">
        <f>SUM(F413:U413)</f>
        <v>0</v>
      </c>
      <c r="AK413" s="117">
        <f>SUM(W413:AH413)</f>
        <v>0</v>
      </c>
      <c r="AL413" s="23"/>
      <c r="AM413" s="127" t="b">
        <f>IF(INDEX($AO413:$BM413,0,$F$14)=1,TRUE,FALSE)</f>
        <v>0</v>
      </c>
      <c r="AN413" s="127" t="str">
        <f>IF(AM413,A413&amp;", "&amp;B413,"")</f>
        <v/>
      </c>
      <c r="AO413" s="129">
        <v>1</v>
      </c>
      <c r="AP413" s="129">
        <v>1</v>
      </c>
      <c r="AQ413" s="129"/>
      <c r="AR413" s="129"/>
      <c r="AS413" s="129"/>
      <c r="AT413" s="129"/>
      <c r="AU413" s="129"/>
      <c r="AV413" s="129"/>
      <c r="AW413" s="129"/>
      <c r="AX413" s="197"/>
      <c r="AY413" s="197"/>
      <c r="AZ413" s="197"/>
      <c r="BA413" s="197"/>
      <c r="BB413" s="129"/>
      <c r="BC413" s="129"/>
      <c r="BD413" s="129"/>
      <c r="BE413" s="129"/>
      <c r="BF413" s="129"/>
      <c r="BG413" s="129"/>
      <c r="BH413" s="129"/>
      <c r="BI413" s="129"/>
      <c r="BJ413" s="129"/>
      <c r="BK413" s="129"/>
      <c r="BL413" s="129"/>
      <c r="BM413" s="197"/>
    </row>
    <row r="414" spans="1:65" x14ac:dyDescent="0.25">
      <c r="A414" s="121" t="s">
        <v>140</v>
      </c>
      <c r="B414" s="121" t="s">
        <v>26</v>
      </c>
      <c r="C414" s="172" t="s">
        <v>222</v>
      </c>
      <c r="D414" s="161">
        <v>1</v>
      </c>
      <c r="E414" s="29" t="str">
        <f>INDEX(ra_ScName,MATCH(D414,ra_ScNumber,0))</f>
        <v>Expected nominal return (incl forecast asset revaluations)</v>
      </c>
      <c r="F414" s="54"/>
      <c r="G414" s="54"/>
      <c r="H414" s="54"/>
      <c r="I414" s="54"/>
      <c r="J414" s="54"/>
      <c r="K414" s="54"/>
      <c r="L414" s="54"/>
      <c r="M414" s="54"/>
      <c r="N414" s="54"/>
      <c r="O414" s="54"/>
      <c r="P414" s="54"/>
      <c r="Q414" s="54"/>
      <c r="R414" s="54"/>
      <c r="S414" s="54"/>
      <c r="T414" s="54"/>
      <c r="U414" s="54"/>
      <c r="V414" s="54"/>
      <c r="W414" s="54"/>
      <c r="X414" s="54"/>
      <c r="Y414" s="54"/>
      <c r="Z414" s="54"/>
      <c r="AA414" s="54"/>
      <c r="AB414" s="54"/>
      <c r="AC414" s="54"/>
      <c r="AD414" s="54"/>
      <c r="AE414" s="54"/>
      <c r="AF414" s="54"/>
      <c r="AG414" s="54"/>
      <c r="AH414" s="54"/>
      <c r="AI414" s="117">
        <f>SUM(F414:AH414)</f>
        <v>0</v>
      </c>
      <c r="AJ414" s="117">
        <f>SUM(F414:U414)</f>
        <v>0</v>
      </c>
      <c r="AK414" s="117">
        <f>SUM(W414:AH414)</f>
        <v>0</v>
      </c>
      <c r="AL414" s="23"/>
      <c r="AM414" s="127" t="b">
        <f>IF(INDEX($AO414:$BM414,0,$F$14)=1,TRUE,FALSE)</f>
        <v>0</v>
      </c>
      <c r="AN414" s="127" t="str">
        <f>IF(AM414,A414&amp;", "&amp;B414,"")</f>
        <v/>
      </c>
      <c r="AO414" s="129">
        <v>1</v>
      </c>
      <c r="AP414" s="129">
        <v>1</v>
      </c>
      <c r="AQ414" s="129"/>
      <c r="AR414" s="129"/>
      <c r="AS414" s="129"/>
      <c r="AT414" s="129"/>
      <c r="AU414" s="129"/>
      <c r="AV414" s="129"/>
      <c r="AW414" s="129"/>
      <c r="AX414" s="197"/>
      <c r="AY414" s="197"/>
      <c r="AZ414" s="197"/>
      <c r="BA414" s="197"/>
      <c r="BB414" s="129"/>
      <c r="BC414" s="129"/>
      <c r="BD414" s="129"/>
      <c r="BE414" s="129"/>
      <c r="BF414" s="129"/>
      <c r="BG414" s="129"/>
      <c r="BH414" s="129"/>
      <c r="BI414" s="129"/>
      <c r="BJ414" s="129"/>
      <c r="BK414" s="129"/>
      <c r="BL414" s="129"/>
      <c r="BM414" s="197"/>
    </row>
    <row r="415" spans="1:65" x14ac:dyDescent="0.25">
      <c r="A415" s="121" t="s">
        <v>140</v>
      </c>
      <c r="B415" s="121" t="s">
        <v>27</v>
      </c>
      <c r="C415" s="172" t="s">
        <v>222</v>
      </c>
      <c r="D415" s="161">
        <v>1</v>
      </c>
      <c r="E415" s="29" t="str">
        <f>INDEX(ra_ScName,MATCH(D415,ra_ScNumber,0))</f>
        <v>Expected nominal return (incl forecast asset revaluations)</v>
      </c>
      <c r="F415" s="54"/>
      <c r="G415" s="54"/>
      <c r="H415" s="54"/>
      <c r="I415" s="54"/>
      <c r="J415" s="54"/>
      <c r="K415" s="54"/>
      <c r="L415" s="54"/>
      <c r="M415" s="54"/>
      <c r="N415" s="54"/>
      <c r="O415" s="54"/>
      <c r="P415" s="54"/>
      <c r="Q415" s="54"/>
      <c r="R415" s="54"/>
      <c r="S415" s="54"/>
      <c r="T415" s="54"/>
      <c r="U415" s="54"/>
      <c r="V415" s="54"/>
      <c r="W415" s="54"/>
      <c r="X415" s="54"/>
      <c r="Y415" s="54"/>
      <c r="Z415" s="54"/>
      <c r="AA415" s="54"/>
      <c r="AB415" s="54"/>
      <c r="AC415" s="54"/>
      <c r="AD415" s="54"/>
      <c r="AE415" s="54"/>
      <c r="AF415" s="54"/>
      <c r="AG415" s="54"/>
      <c r="AH415" s="54"/>
      <c r="AI415" s="117">
        <f>SUM(F415:AH415)</f>
        <v>0</v>
      </c>
      <c r="AJ415" s="117">
        <f>SUM(F415:U415)</f>
        <v>0</v>
      </c>
      <c r="AK415" s="117">
        <f>SUM(W415:AH415)</f>
        <v>0</v>
      </c>
      <c r="AL415" s="23"/>
      <c r="AM415" s="127" t="b">
        <f>IF(INDEX($AO415:$BM415,0,$F$14)=1,TRUE,FALSE)</f>
        <v>0</v>
      </c>
      <c r="AN415" s="127" t="str">
        <f>IF(AM415,A415&amp;", "&amp;B415,"")</f>
        <v/>
      </c>
      <c r="AO415" s="129">
        <v>1</v>
      </c>
      <c r="AP415" s="129">
        <v>1</v>
      </c>
      <c r="AQ415" s="129"/>
      <c r="AR415" s="129"/>
      <c r="AS415" s="129"/>
      <c r="AT415" s="129"/>
      <c r="AU415" s="129"/>
      <c r="AV415" s="129"/>
      <c r="AW415" s="129"/>
      <c r="AX415" s="197"/>
      <c r="AY415" s="197"/>
      <c r="AZ415" s="197"/>
      <c r="BA415" s="197"/>
      <c r="BB415" s="129"/>
      <c r="BC415" s="129"/>
      <c r="BD415" s="129"/>
      <c r="BE415" s="129"/>
      <c r="BF415" s="129"/>
      <c r="BG415" s="129"/>
      <c r="BH415" s="129"/>
      <c r="BI415" s="129"/>
      <c r="BJ415" s="129"/>
      <c r="BK415" s="129"/>
      <c r="BL415" s="129"/>
      <c r="BM415" s="197"/>
    </row>
    <row r="416" spans="1:65" x14ac:dyDescent="0.25">
      <c r="A416" s="121"/>
      <c r="B416" s="121"/>
      <c r="C416" s="172"/>
      <c r="D416" s="49"/>
      <c r="E416" s="49"/>
      <c r="F416" s="54"/>
      <c r="G416" s="54"/>
      <c r="H416" s="54"/>
      <c r="I416" s="54"/>
      <c r="J416" s="54"/>
      <c r="K416" s="54"/>
      <c r="L416" s="54"/>
      <c r="M416" s="54"/>
      <c r="N416" s="54"/>
      <c r="O416" s="54"/>
      <c r="P416" s="54"/>
      <c r="Q416" s="54"/>
      <c r="R416" s="54"/>
      <c r="S416" s="54"/>
      <c r="T416" s="54"/>
      <c r="U416" s="54"/>
      <c r="V416" s="54"/>
      <c r="W416" s="55"/>
      <c r="X416" s="55"/>
      <c r="Y416" s="55"/>
      <c r="Z416" s="55"/>
      <c r="AA416" s="55"/>
      <c r="AB416" s="55"/>
      <c r="AC416" s="55"/>
      <c r="AD416" s="55"/>
      <c r="AE416" s="55"/>
      <c r="AF416" s="55"/>
      <c r="AG416" s="55"/>
      <c r="AH416" s="55"/>
      <c r="AI416" s="54"/>
      <c r="AJ416" s="54"/>
      <c r="AK416" s="54"/>
      <c r="AL416" s="23"/>
      <c r="AM416" s="127"/>
      <c r="AN416" s="127"/>
      <c r="AO416" s="129"/>
      <c r="AP416" s="129"/>
      <c r="AQ416" s="129"/>
      <c r="AR416" s="129"/>
      <c r="AS416" s="129"/>
      <c r="AT416" s="129"/>
      <c r="AU416" s="129"/>
      <c r="AV416" s="129"/>
      <c r="AW416" s="129"/>
      <c r="AX416" s="197"/>
      <c r="AY416" s="197"/>
      <c r="AZ416" s="197"/>
      <c r="BA416" s="197"/>
      <c r="BB416" s="129"/>
      <c r="BC416" s="129"/>
      <c r="BD416" s="129"/>
      <c r="BE416" s="129"/>
      <c r="BF416" s="129"/>
      <c r="BG416" s="129"/>
      <c r="BH416" s="129"/>
      <c r="BI416" s="129"/>
      <c r="BJ416" s="129"/>
      <c r="BK416" s="129"/>
      <c r="BL416" s="129"/>
      <c r="BM416" s="197"/>
    </row>
    <row r="417" spans="1:65" x14ac:dyDescent="0.25">
      <c r="A417" s="121"/>
      <c r="B417" s="121"/>
      <c r="C417" s="172"/>
      <c r="D417" s="46"/>
      <c r="E417" s="46"/>
      <c r="F417" s="54"/>
      <c r="G417" s="54"/>
      <c r="H417" s="54"/>
      <c r="I417" s="54"/>
      <c r="J417" s="54"/>
      <c r="K417" s="54"/>
      <c r="L417" s="54"/>
      <c r="M417" s="54"/>
      <c r="N417" s="54"/>
      <c r="O417" s="54"/>
      <c r="P417" s="54"/>
      <c r="Q417" s="54"/>
      <c r="R417" s="54"/>
      <c r="S417" s="54"/>
      <c r="T417" s="54"/>
      <c r="U417" s="54"/>
      <c r="V417" s="54"/>
      <c r="W417" s="55"/>
      <c r="X417" s="55"/>
      <c r="Y417" s="55"/>
      <c r="Z417" s="55"/>
      <c r="AA417" s="55"/>
      <c r="AB417" s="55"/>
      <c r="AC417" s="55"/>
      <c r="AD417" s="55"/>
      <c r="AE417" s="55"/>
      <c r="AF417" s="55"/>
      <c r="AG417" s="55"/>
      <c r="AH417" s="55"/>
      <c r="AI417" s="54"/>
      <c r="AJ417" s="54"/>
      <c r="AK417" s="54"/>
      <c r="AL417" s="23"/>
      <c r="AM417" s="127"/>
      <c r="AN417" s="127"/>
      <c r="AO417" s="129"/>
      <c r="AP417" s="129"/>
      <c r="AQ417" s="129"/>
      <c r="AR417" s="129"/>
      <c r="AS417" s="129"/>
      <c r="AT417" s="129"/>
      <c r="AU417" s="129"/>
      <c r="AV417" s="129"/>
      <c r="AW417" s="129"/>
      <c r="AX417" s="197"/>
      <c r="AY417" s="197"/>
      <c r="AZ417" s="197"/>
      <c r="BA417" s="197"/>
      <c r="BB417" s="129"/>
      <c r="BC417" s="129"/>
      <c r="BD417" s="129"/>
      <c r="BE417" s="129"/>
      <c r="BF417" s="129"/>
      <c r="BG417" s="129"/>
      <c r="BH417" s="129"/>
      <c r="BI417" s="129"/>
      <c r="BJ417" s="129"/>
      <c r="BK417" s="129"/>
      <c r="BL417" s="129"/>
      <c r="BM417" s="197"/>
    </row>
    <row r="418" spans="1:65" x14ac:dyDescent="0.25">
      <c r="A418" s="121" t="s">
        <v>140</v>
      </c>
      <c r="B418" s="121" t="s">
        <v>23</v>
      </c>
      <c r="C418" s="172" t="s">
        <v>222</v>
      </c>
      <c r="D418" s="161">
        <v>10</v>
      </c>
      <c r="E418" s="29" t="str">
        <f>INDEX(ra_ScName,MATCH(D418,ra_ScNumber,0))</f>
        <v>Disclosed nominal return (incl actual asset revaluations)</v>
      </c>
      <c r="F418" s="122">
        <v>0</v>
      </c>
      <c r="G418" s="122">
        <v>0</v>
      </c>
      <c r="H418" s="122">
        <v>0</v>
      </c>
      <c r="I418" s="122">
        <v>0</v>
      </c>
      <c r="J418" s="122">
        <v>0</v>
      </c>
      <c r="K418" s="122">
        <v>0</v>
      </c>
      <c r="L418" s="122">
        <v>0</v>
      </c>
      <c r="M418" s="122">
        <v>0</v>
      </c>
      <c r="N418" s="122">
        <v>0</v>
      </c>
      <c r="O418" s="122">
        <v>0</v>
      </c>
      <c r="P418" s="122">
        <v>0</v>
      </c>
      <c r="Q418" s="122">
        <v>0</v>
      </c>
      <c r="R418" s="122">
        <v>0</v>
      </c>
      <c r="S418" s="122">
        <v>0</v>
      </c>
      <c r="T418" s="122">
        <v>0</v>
      </c>
      <c r="U418" s="122">
        <v>0</v>
      </c>
      <c r="V418" s="122">
        <v>0</v>
      </c>
      <c r="W418" s="122">
        <v>0</v>
      </c>
      <c r="X418" s="122">
        <v>0</v>
      </c>
      <c r="Y418" s="122">
        <v>0</v>
      </c>
      <c r="Z418" s="122">
        <v>0</v>
      </c>
      <c r="AA418" s="122">
        <v>0</v>
      </c>
      <c r="AB418" s="122">
        <v>0</v>
      </c>
      <c r="AC418" s="122">
        <v>0</v>
      </c>
      <c r="AD418" s="122">
        <v>0</v>
      </c>
      <c r="AE418" s="122">
        <v>0</v>
      </c>
      <c r="AF418" s="122">
        <v>0</v>
      </c>
      <c r="AG418" s="122">
        <v>0</v>
      </c>
      <c r="AH418" s="122">
        <v>0</v>
      </c>
      <c r="AI418" s="117">
        <f>SUM(F418:AH418)</f>
        <v>0</v>
      </c>
      <c r="AJ418" s="117">
        <f>SUM(F418:U418)</f>
        <v>0</v>
      </c>
      <c r="AK418" s="117">
        <f>SUM(W418:AH418)</f>
        <v>0</v>
      </c>
      <c r="AL418" s="23"/>
      <c r="AM418" s="127" t="b">
        <f>IF(INDEX($AO418:$BM418,0,$F$14)=1,TRUE,FALSE)</f>
        <v>1</v>
      </c>
      <c r="AN418" s="127" t="str">
        <f>IF(AM418,A418&amp;", "&amp;B418,"")</f>
        <v>Other wash-ups, 2010/11</v>
      </c>
      <c r="AO418" s="129"/>
      <c r="AP418" s="129"/>
      <c r="AQ418" s="129">
        <v>1</v>
      </c>
      <c r="AR418" s="129">
        <v>1</v>
      </c>
      <c r="AS418" s="129">
        <v>1</v>
      </c>
      <c r="AT418" s="129">
        <v>1</v>
      </c>
      <c r="AU418" s="129">
        <v>1</v>
      </c>
      <c r="AV418" s="129">
        <v>1</v>
      </c>
      <c r="AW418" s="129">
        <v>1</v>
      </c>
      <c r="AX418" s="197">
        <v>1</v>
      </c>
      <c r="AY418" s="197">
        <v>1</v>
      </c>
      <c r="AZ418" s="197">
        <v>1</v>
      </c>
      <c r="BA418" s="197">
        <v>1</v>
      </c>
      <c r="BB418" s="129">
        <v>1</v>
      </c>
      <c r="BC418" s="129">
        <v>1</v>
      </c>
      <c r="BD418" s="129">
        <v>1</v>
      </c>
      <c r="BE418" s="129">
        <v>1</v>
      </c>
      <c r="BF418" s="129">
        <v>1</v>
      </c>
      <c r="BG418" s="129">
        <v>1</v>
      </c>
      <c r="BH418" s="129">
        <v>1</v>
      </c>
      <c r="BI418" s="129">
        <v>1</v>
      </c>
      <c r="BJ418" s="129">
        <v>1</v>
      </c>
      <c r="BK418" s="129">
        <v>1</v>
      </c>
      <c r="BL418" s="129">
        <v>1</v>
      </c>
      <c r="BM418" s="197">
        <v>1</v>
      </c>
    </row>
    <row r="419" spans="1:65" x14ac:dyDescent="0.25">
      <c r="A419" s="121" t="s">
        <v>140</v>
      </c>
      <c r="B419" s="121" t="s">
        <v>24</v>
      </c>
      <c r="C419" s="172" t="s">
        <v>222</v>
      </c>
      <c r="D419" s="161">
        <v>10</v>
      </c>
      <c r="E419" s="29" t="str">
        <f>INDEX(ra_ScName,MATCH(D419,ra_ScNumber,0))</f>
        <v>Disclosed nominal return (incl actual asset revaluations)</v>
      </c>
      <c r="F419" s="122">
        <v>0</v>
      </c>
      <c r="G419" s="122">
        <v>0</v>
      </c>
      <c r="H419" s="122">
        <v>0</v>
      </c>
      <c r="I419" s="122">
        <v>0</v>
      </c>
      <c r="J419" s="122">
        <v>0</v>
      </c>
      <c r="K419" s="122">
        <v>0</v>
      </c>
      <c r="L419" s="122">
        <v>0</v>
      </c>
      <c r="M419" s="122">
        <v>0</v>
      </c>
      <c r="N419" s="122">
        <v>0</v>
      </c>
      <c r="O419" s="122">
        <v>0</v>
      </c>
      <c r="P419" s="122">
        <v>0</v>
      </c>
      <c r="Q419" s="122">
        <v>0</v>
      </c>
      <c r="R419" s="122">
        <v>0</v>
      </c>
      <c r="S419" s="122">
        <v>0</v>
      </c>
      <c r="T419" s="122">
        <v>0</v>
      </c>
      <c r="U419" s="122">
        <v>0</v>
      </c>
      <c r="V419" s="122">
        <v>0</v>
      </c>
      <c r="W419" s="122">
        <v>0</v>
      </c>
      <c r="X419" s="122">
        <v>0</v>
      </c>
      <c r="Y419" s="122">
        <v>0</v>
      </c>
      <c r="Z419" s="122">
        <v>0</v>
      </c>
      <c r="AA419" s="122">
        <v>0</v>
      </c>
      <c r="AB419" s="122">
        <v>0</v>
      </c>
      <c r="AC419" s="122">
        <v>0</v>
      </c>
      <c r="AD419" s="122">
        <v>0</v>
      </c>
      <c r="AE419" s="122">
        <v>0</v>
      </c>
      <c r="AF419" s="122">
        <v>0</v>
      </c>
      <c r="AG419" s="122">
        <v>0</v>
      </c>
      <c r="AH419" s="122">
        <v>0</v>
      </c>
      <c r="AI419" s="117">
        <f>SUM(F419:AH419)</f>
        <v>0</v>
      </c>
      <c r="AJ419" s="117">
        <f>SUM(F419:U419)</f>
        <v>0</v>
      </c>
      <c r="AK419" s="117">
        <f>SUM(W419:AH419)</f>
        <v>0</v>
      </c>
      <c r="AL419" s="23"/>
      <c r="AM419" s="127" t="b">
        <f>IF(INDEX($AO419:$BM419,0,$F$14)=1,TRUE,FALSE)</f>
        <v>1</v>
      </c>
      <c r="AN419" s="127" t="str">
        <f>IF(AM419,A419&amp;", "&amp;B419,"")</f>
        <v>Other wash-ups, 2011/12</v>
      </c>
      <c r="AO419" s="129"/>
      <c r="AP419" s="129"/>
      <c r="AQ419" s="129">
        <v>1</v>
      </c>
      <c r="AR419" s="129">
        <v>1</v>
      </c>
      <c r="AS419" s="129">
        <v>1</v>
      </c>
      <c r="AT419" s="129">
        <v>1</v>
      </c>
      <c r="AU419" s="129">
        <v>1</v>
      </c>
      <c r="AV419" s="129">
        <v>1</v>
      </c>
      <c r="AW419" s="129">
        <v>1</v>
      </c>
      <c r="AX419" s="197">
        <v>1</v>
      </c>
      <c r="AY419" s="197">
        <v>1</v>
      </c>
      <c r="AZ419" s="197">
        <v>1</v>
      </c>
      <c r="BA419" s="197">
        <v>1</v>
      </c>
      <c r="BB419" s="129">
        <v>1</v>
      </c>
      <c r="BC419" s="129">
        <v>1</v>
      </c>
      <c r="BD419" s="129">
        <v>1</v>
      </c>
      <c r="BE419" s="129">
        <v>1</v>
      </c>
      <c r="BF419" s="129">
        <v>1</v>
      </c>
      <c r="BG419" s="129">
        <v>1</v>
      </c>
      <c r="BH419" s="129">
        <v>1</v>
      </c>
      <c r="BI419" s="129">
        <v>1</v>
      </c>
      <c r="BJ419" s="129">
        <v>1</v>
      </c>
      <c r="BK419" s="129">
        <v>1</v>
      </c>
      <c r="BL419" s="129">
        <v>1</v>
      </c>
      <c r="BM419" s="197">
        <v>1</v>
      </c>
    </row>
    <row r="420" spans="1:65" x14ac:dyDescent="0.25">
      <c r="A420" s="121" t="s">
        <v>140</v>
      </c>
      <c r="B420" s="121" t="s">
        <v>25</v>
      </c>
      <c r="C420" s="172" t="s">
        <v>222</v>
      </c>
      <c r="D420" s="161">
        <v>10</v>
      </c>
      <c r="E420" s="29" t="str">
        <f>INDEX(ra_ScName,MATCH(D420,ra_ScNumber,0))</f>
        <v>Disclosed nominal return (incl actual asset revaluations)</v>
      </c>
      <c r="F420" s="122">
        <v>0</v>
      </c>
      <c r="G420" s="122">
        <v>0</v>
      </c>
      <c r="H420" s="122">
        <v>0</v>
      </c>
      <c r="I420" s="122">
        <v>0</v>
      </c>
      <c r="J420" s="122">
        <v>0</v>
      </c>
      <c r="K420" s="122">
        <v>0</v>
      </c>
      <c r="L420" s="122">
        <v>0</v>
      </c>
      <c r="M420" s="122">
        <v>0</v>
      </c>
      <c r="N420" s="122">
        <v>0</v>
      </c>
      <c r="O420" s="122">
        <v>0</v>
      </c>
      <c r="P420" s="122">
        <v>0</v>
      </c>
      <c r="Q420" s="122">
        <v>0</v>
      </c>
      <c r="R420" s="122">
        <v>0</v>
      </c>
      <c r="S420" s="122">
        <v>0</v>
      </c>
      <c r="T420" s="122">
        <v>0</v>
      </c>
      <c r="U420" s="122">
        <v>0</v>
      </c>
      <c r="V420" s="122">
        <v>0</v>
      </c>
      <c r="W420" s="122">
        <v>0</v>
      </c>
      <c r="X420" s="122">
        <v>0</v>
      </c>
      <c r="Y420" s="122">
        <v>0</v>
      </c>
      <c r="Z420" s="122">
        <v>0</v>
      </c>
      <c r="AA420" s="122">
        <v>0</v>
      </c>
      <c r="AB420" s="122">
        <v>0</v>
      </c>
      <c r="AC420" s="122">
        <v>0</v>
      </c>
      <c r="AD420" s="122">
        <v>0</v>
      </c>
      <c r="AE420" s="122">
        <v>0</v>
      </c>
      <c r="AF420" s="122">
        <v>0</v>
      </c>
      <c r="AG420" s="122">
        <v>0</v>
      </c>
      <c r="AH420" s="122">
        <v>0</v>
      </c>
      <c r="AI420" s="117">
        <f>SUM(F420:AH420)</f>
        <v>0</v>
      </c>
      <c r="AJ420" s="117">
        <f>SUM(F420:U420)</f>
        <v>0</v>
      </c>
      <c r="AK420" s="117">
        <f>SUM(W420:AH420)</f>
        <v>0</v>
      </c>
      <c r="AL420" s="23"/>
      <c r="AM420" s="127" t="b">
        <f>IF(INDEX($AO420:$BM420,0,$F$14)=1,TRUE,FALSE)</f>
        <v>1</v>
      </c>
      <c r="AN420" s="127" t="str">
        <f>IF(AM420,A420&amp;", "&amp;B420,"")</f>
        <v>Other wash-ups, 2012/13</v>
      </c>
      <c r="AO420" s="129"/>
      <c r="AP420" s="129"/>
      <c r="AQ420" s="129">
        <v>1</v>
      </c>
      <c r="AR420" s="129">
        <v>1</v>
      </c>
      <c r="AS420" s="129">
        <v>1</v>
      </c>
      <c r="AT420" s="129">
        <v>1</v>
      </c>
      <c r="AU420" s="129">
        <v>1</v>
      </c>
      <c r="AV420" s="129">
        <v>1</v>
      </c>
      <c r="AW420" s="129">
        <v>1</v>
      </c>
      <c r="AX420" s="197">
        <v>1</v>
      </c>
      <c r="AY420" s="197">
        <v>1</v>
      </c>
      <c r="AZ420" s="197">
        <v>1</v>
      </c>
      <c r="BA420" s="197">
        <v>1</v>
      </c>
      <c r="BB420" s="129">
        <v>1</v>
      </c>
      <c r="BC420" s="129">
        <v>1</v>
      </c>
      <c r="BD420" s="129">
        <v>1</v>
      </c>
      <c r="BE420" s="129">
        <v>1</v>
      </c>
      <c r="BF420" s="129">
        <v>1</v>
      </c>
      <c r="BG420" s="129">
        <v>1</v>
      </c>
      <c r="BH420" s="129">
        <v>1</v>
      </c>
      <c r="BI420" s="129">
        <v>1</v>
      </c>
      <c r="BJ420" s="129">
        <v>1</v>
      </c>
      <c r="BK420" s="129">
        <v>1</v>
      </c>
      <c r="BL420" s="129">
        <v>1</v>
      </c>
      <c r="BM420" s="197">
        <v>1</v>
      </c>
    </row>
    <row r="421" spans="1:65" x14ac:dyDescent="0.25">
      <c r="A421" s="121" t="s">
        <v>140</v>
      </c>
      <c r="B421" s="121" t="s">
        <v>26</v>
      </c>
      <c r="C421" s="172" t="s">
        <v>222</v>
      </c>
      <c r="D421" s="161">
        <v>10</v>
      </c>
      <c r="E421" s="29" t="str">
        <f>INDEX(ra_ScName,MATCH(D421,ra_ScNumber,0))</f>
        <v>Disclosed nominal return (incl actual asset revaluations)</v>
      </c>
      <c r="F421" s="122">
        <v>0</v>
      </c>
      <c r="G421" s="122">
        <v>0</v>
      </c>
      <c r="H421" s="122">
        <v>0</v>
      </c>
      <c r="I421" s="122">
        <v>0</v>
      </c>
      <c r="J421" s="122">
        <v>0</v>
      </c>
      <c r="K421" s="122">
        <v>0</v>
      </c>
      <c r="L421" s="122">
        <v>0</v>
      </c>
      <c r="M421" s="122">
        <v>0</v>
      </c>
      <c r="N421" s="122">
        <v>0</v>
      </c>
      <c r="O421" s="122">
        <v>0</v>
      </c>
      <c r="P421" s="122">
        <v>0</v>
      </c>
      <c r="Q421" s="122">
        <v>0</v>
      </c>
      <c r="R421" s="122">
        <v>0</v>
      </c>
      <c r="S421" s="122">
        <v>0</v>
      </c>
      <c r="T421" s="122">
        <v>0</v>
      </c>
      <c r="U421" s="122">
        <v>0</v>
      </c>
      <c r="V421" s="122">
        <v>0</v>
      </c>
      <c r="W421" s="122">
        <v>0</v>
      </c>
      <c r="X421" s="122">
        <v>0</v>
      </c>
      <c r="Y421" s="122">
        <v>0</v>
      </c>
      <c r="Z421" s="122">
        <v>0</v>
      </c>
      <c r="AA421" s="122">
        <v>0</v>
      </c>
      <c r="AB421" s="122">
        <v>0</v>
      </c>
      <c r="AC421" s="122">
        <v>0</v>
      </c>
      <c r="AD421" s="122">
        <v>0</v>
      </c>
      <c r="AE421" s="122">
        <v>0</v>
      </c>
      <c r="AF421" s="122">
        <v>0</v>
      </c>
      <c r="AG421" s="122">
        <v>0</v>
      </c>
      <c r="AH421" s="122">
        <v>0</v>
      </c>
      <c r="AI421" s="117">
        <f>SUM(F421:AH421)</f>
        <v>0</v>
      </c>
      <c r="AJ421" s="117">
        <f>SUM(F421:U421)</f>
        <v>0</v>
      </c>
      <c r="AK421" s="117">
        <f>SUM(W421:AH421)</f>
        <v>0</v>
      </c>
      <c r="AL421" s="23"/>
      <c r="AM421" s="127" t="b">
        <f>IF(INDEX($AO421:$BM421,0,$F$14)=1,TRUE,FALSE)</f>
        <v>1</v>
      </c>
      <c r="AN421" s="127" t="str">
        <f>IF(AM421,A421&amp;", "&amp;B421,"")</f>
        <v>Other wash-ups, 2013/14</v>
      </c>
      <c r="AO421" s="129"/>
      <c r="AP421" s="129"/>
      <c r="AQ421" s="129">
        <v>1</v>
      </c>
      <c r="AR421" s="129">
        <v>1</v>
      </c>
      <c r="AS421" s="129">
        <v>1</v>
      </c>
      <c r="AT421" s="129">
        <v>1</v>
      </c>
      <c r="AU421" s="129">
        <v>1</v>
      </c>
      <c r="AV421" s="129">
        <v>1</v>
      </c>
      <c r="AW421" s="129">
        <v>1</v>
      </c>
      <c r="AX421" s="197">
        <v>1</v>
      </c>
      <c r="AY421" s="197">
        <v>1</v>
      </c>
      <c r="AZ421" s="197">
        <v>1</v>
      </c>
      <c r="BA421" s="197">
        <v>1</v>
      </c>
      <c r="BB421" s="129">
        <v>1</v>
      </c>
      <c r="BC421" s="129">
        <v>1</v>
      </c>
      <c r="BD421" s="129">
        <v>1</v>
      </c>
      <c r="BE421" s="129">
        <v>1</v>
      </c>
      <c r="BF421" s="129">
        <v>1</v>
      </c>
      <c r="BG421" s="129">
        <v>1</v>
      </c>
      <c r="BH421" s="129">
        <v>1</v>
      </c>
      <c r="BI421" s="129">
        <v>1</v>
      </c>
      <c r="BJ421" s="129">
        <v>1</v>
      </c>
      <c r="BK421" s="129">
        <v>1</v>
      </c>
      <c r="BL421" s="129">
        <v>1</v>
      </c>
      <c r="BM421" s="197">
        <v>1</v>
      </c>
    </row>
    <row r="422" spans="1:65" x14ac:dyDescent="0.25">
      <c r="A422" s="121" t="s">
        <v>140</v>
      </c>
      <c r="B422" s="121" t="s">
        <v>27</v>
      </c>
      <c r="C422" s="172" t="s">
        <v>222</v>
      </c>
      <c r="D422" s="161">
        <v>10</v>
      </c>
      <c r="E422" s="29" t="str">
        <f>INDEX(ra_ScName,MATCH(D422,ra_ScNumber,0))</f>
        <v>Disclosed nominal return (incl actual asset revaluations)</v>
      </c>
      <c r="F422" s="122">
        <v>0</v>
      </c>
      <c r="G422" s="122">
        <v>0</v>
      </c>
      <c r="H422" s="122">
        <v>0</v>
      </c>
      <c r="I422" s="122">
        <v>0</v>
      </c>
      <c r="J422" s="122">
        <v>0</v>
      </c>
      <c r="K422" s="122">
        <v>0</v>
      </c>
      <c r="L422" s="122">
        <v>0</v>
      </c>
      <c r="M422" s="122">
        <v>0</v>
      </c>
      <c r="N422" s="122">
        <v>0</v>
      </c>
      <c r="O422" s="122">
        <v>0</v>
      </c>
      <c r="P422" s="122">
        <v>0</v>
      </c>
      <c r="Q422" s="122">
        <v>0</v>
      </c>
      <c r="R422" s="122">
        <v>0</v>
      </c>
      <c r="S422" s="122">
        <v>0</v>
      </c>
      <c r="T422" s="122">
        <v>0</v>
      </c>
      <c r="U422" s="122">
        <v>0</v>
      </c>
      <c r="V422" s="122">
        <v>0</v>
      </c>
      <c r="W422" s="122">
        <v>0</v>
      </c>
      <c r="X422" s="122">
        <v>0</v>
      </c>
      <c r="Y422" s="122">
        <v>0</v>
      </c>
      <c r="Z422" s="122">
        <v>0</v>
      </c>
      <c r="AA422" s="122">
        <v>0</v>
      </c>
      <c r="AB422" s="122">
        <v>0</v>
      </c>
      <c r="AC422" s="122">
        <v>0</v>
      </c>
      <c r="AD422" s="122">
        <v>0</v>
      </c>
      <c r="AE422" s="122">
        <v>0</v>
      </c>
      <c r="AF422" s="122">
        <v>0</v>
      </c>
      <c r="AG422" s="122">
        <v>0</v>
      </c>
      <c r="AH422" s="122">
        <v>0</v>
      </c>
      <c r="AI422" s="117">
        <f>SUM(F422:AH422)</f>
        <v>0</v>
      </c>
      <c r="AJ422" s="117">
        <f>SUM(F422:U422)</f>
        <v>0</v>
      </c>
      <c r="AK422" s="117">
        <f>SUM(W422:AH422)</f>
        <v>0</v>
      </c>
      <c r="AL422" s="23"/>
      <c r="AM422" s="127" t="b">
        <f>IF(INDEX($AO422:$BM422,0,$F$14)=1,TRUE,FALSE)</f>
        <v>1</v>
      </c>
      <c r="AN422" s="127" t="str">
        <f>IF(AM422,A422&amp;", "&amp;B422,"")</f>
        <v>Other wash-ups, 2014/15</v>
      </c>
      <c r="AO422" s="129"/>
      <c r="AP422" s="129"/>
      <c r="AQ422" s="129">
        <v>1</v>
      </c>
      <c r="AR422" s="129">
        <v>1</v>
      </c>
      <c r="AS422" s="129">
        <v>1</v>
      </c>
      <c r="AT422" s="129">
        <v>1</v>
      </c>
      <c r="AU422" s="129">
        <v>1</v>
      </c>
      <c r="AV422" s="129">
        <v>1</v>
      </c>
      <c r="AW422" s="129">
        <v>1</v>
      </c>
      <c r="AX422" s="197">
        <v>1</v>
      </c>
      <c r="AY422" s="197">
        <v>1</v>
      </c>
      <c r="AZ422" s="197">
        <v>1</v>
      </c>
      <c r="BA422" s="197">
        <v>1</v>
      </c>
      <c r="BB422" s="129">
        <v>1</v>
      </c>
      <c r="BC422" s="129">
        <v>1</v>
      </c>
      <c r="BD422" s="129">
        <v>1</v>
      </c>
      <c r="BE422" s="129">
        <v>1</v>
      </c>
      <c r="BF422" s="129">
        <v>1</v>
      </c>
      <c r="BG422" s="129">
        <v>1</v>
      </c>
      <c r="BH422" s="129">
        <v>1</v>
      </c>
      <c r="BI422" s="129">
        <v>1</v>
      </c>
      <c r="BJ422" s="129">
        <v>1</v>
      </c>
      <c r="BK422" s="129">
        <v>1</v>
      </c>
      <c r="BL422" s="129">
        <v>1</v>
      </c>
      <c r="BM422" s="197">
        <v>1</v>
      </c>
    </row>
    <row r="423" spans="1:65" x14ac:dyDescent="0.25">
      <c r="A423" s="121"/>
      <c r="B423" s="121"/>
      <c r="C423" s="172"/>
      <c r="D423" s="49"/>
      <c r="E423" s="49"/>
      <c r="F423" s="54"/>
      <c r="G423" s="54"/>
      <c r="H423" s="54"/>
      <c r="I423" s="54"/>
      <c r="J423" s="54"/>
      <c r="K423" s="54"/>
      <c r="L423" s="54"/>
      <c r="M423" s="54"/>
      <c r="N423" s="54"/>
      <c r="O423" s="54"/>
      <c r="P423" s="54"/>
      <c r="Q423" s="54"/>
      <c r="R423" s="54"/>
      <c r="S423" s="54"/>
      <c r="T423" s="54"/>
      <c r="U423" s="54"/>
      <c r="V423" s="54"/>
      <c r="W423" s="55"/>
      <c r="X423" s="55"/>
      <c r="Y423" s="55"/>
      <c r="Z423" s="55"/>
      <c r="AA423" s="55"/>
      <c r="AB423" s="55"/>
      <c r="AC423" s="55"/>
      <c r="AD423" s="55"/>
      <c r="AE423" s="55"/>
      <c r="AF423" s="55"/>
      <c r="AG423" s="55"/>
      <c r="AH423" s="55"/>
      <c r="AI423" s="54"/>
      <c r="AJ423" s="54"/>
      <c r="AK423" s="54"/>
      <c r="AL423" s="23"/>
      <c r="AM423" s="127"/>
      <c r="AN423" s="127"/>
      <c r="AO423" s="129"/>
      <c r="AP423" s="129"/>
      <c r="AQ423" s="129"/>
      <c r="AR423" s="129"/>
      <c r="AS423" s="129"/>
      <c r="AT423" s="129"/>
      <c r="AU423" s="129"/>
      <c r="AV423" s="129"/>
      <c r="AW423" s="129"/>
      <c r="AX423" s="197"/>
      <c r="AY423" s="197"/>
      <c r="AZ423" s="197"/>
      <c r="BA423" s="197"/>
      <c r="BB423" s="129"/>
      <c r="BC423" s="129"/>
      <c r="BD423" s="129"/>
      <c r="BE423" s="129"/>
      <c r="BF423" s="129"/>
      <c r="BG423" s="129"/>
      <c r="BH423" s="129"/>
      <c r="BI423" s="129"/>
      <c r="BJ423" s="129"/>
      <c r="BK423" s="129"/>
      <c r="BL423" s="129"/>
      <c r="BM423" s="197"/>
    </row>
    <row r="424" spans="1:65" x14ac:dyDescent="0.25">
      <c r="A424" s="121"/>
      <c r="B424" s="121"/>
      <c r="C424" s="172"/>
      <c r="D424" s="46"/>
      <c r="E424" s="46"/>
      <c r="F424" s="54"/>
      <c r="G424" s="54"/>
      <c r="H424" s="54"/>
      <c r="I424" s="54"/>
      <c r="J424" s="54"/>
      <c r="K424" s="54"/>
      <c r="L424" s="54"/>
      <c r="M424" s="54"/>
      <c r="N424" s="54"/>
      <c r="O424" s="54"/>
      <c r="P424" s="54"/>
      <c r="Q424" s="54"/>
      <c r="R424" s="54"/>
      <c r="S424" s="54"/>
      <c r="T424" s="54"/>
      <c r="U424" s="54"/>
      <c r="V424" s="54"/>
      <c r="W424" s="55"/>
      <c r="X424" s="55"/>
      <c r="Y424" s="55"/>
      <c r="Z424" s="55"/>
      <c r="AA424" s="55"/>
      <c r="AB424" s="55"/>
      <c r="AC424" s="55"/>
      <c r="AD424" s="55"/>
      <c r="AE424" s="55"/>
      <c r="AF424" s="55"/>
      <c r="AG424" s="55"/>
      <c r="AH424" s="55"/>
      <c r="AI424" s="54"/>
      <c r="AJ424" s="54"/>
      <c r="AK424" s="54"/>
      <c r="AL424" s="23"/>
      <c r="AM424" s="127"/>
      <c r="AN424" s="127"/>
      <c r="AO424" s="129"/>
      <c r="AP424" s="129"/>
      <c r="AQ424" s="129"/>
      <c r="AR424" s="129"/>
      <c r="AS424" s="129"/>
      <c r="AT424" s="129"/>
      <c r="AU424" s="129"/>
      <c r="AV424" s="129"/>
      <c r="AW424" s="129"/>
      <c r="AX424" s="197"/>
      <c r="AY424" s="197"/>
      <c r="AZ424" s="197"/>
      <c r="BA424" s="197"/>
      <c r="BB424" s="129"/>
      <c r="BC424" s="129"/>
      <c r="BD424" s="129"/>
      <c r="BE424" s="129"/>
      <c r="BF424" s="129"/>
      <c r="BG424" s="129"/>
      <c r="BH424" s="129"/>
      <c r="BI424" s="129"/>
      <c r="BJ424" s="129"/>
      <c r="BK424" s="129"/>
      <c r="BL424" s="129"/>
      <c r="BM424" s="197"/>
    </row>
    <row r="425" spans="1:65" x14ac:dyDescent="0.25">
      <c r="A425" s="121" t="s">
        <v>44</v>
      </c>
      <c r="B425" s="121" t="s">
        <v>22</v>
      </c>
      <c r="C425" s="172" t="s">
        <v>397</v>
      </c>
      <c r="D425" s="161">
        <v>1</v>
      </c>
      <c r="E425" s="29" t="str">
        <f t="shared" ref="E425:E430" si="12">INDEX(ra_ScName,MATCH(D425,ra_ScNumber,0))</f>
        <v>Expected nominal return (incl forecast asset revaluations)</v>
      </c>
      <c r="F425" s="122">
        <v>7644</v>
      </c>
      <c r="G425" s="122">
        <v>7786</v>
      </c>
      <c r="H425" s="122">
        <v>2023</v>
      </c>
      <c r="I425" s="122">
        <v>4225</v>
      </c>
      <c r="J425" s="122">
        <v>5894</v>
      </c>
      <c r="K425" s="122">
        <v>2382</v>
      </c>
      <c r="L425" s="122">
        <v>3449</v>
      </c>
      <c r="M425" s="122">
        <v>1084.6002031156527</v>
      </c>
      <c r="N425" s="122">
        <v>6387.6247468541751</v>
      </c>
      <c r="O425" s="122">
        <v>6303</v>
      </c>
      <c r="P425" s="122">
        <v>52422</v>
      </c>
      <c r="Q425" s="122">
        <v>5635.3221811466228</v>
      </c>
      <c r="R425" s="122">
        <v>5234</v>
      </c>
      <c r="S425" s="122">
        <v>16649.2682399277</v>
      </c>
      <c r="T425" s="122">
        <v>76573.310789910291</v>
      </c>
      <c r="U425" s="122">
        <v>25343.756747688079</v>
      </c>
      <c r="V425" s="122">
        <v>10172</v>
      </c>
      <c r="W425" s="54"/>
      <c r="X425" s="54"/>
      <c r="Y425" s="54"/>
      <c r="Z425" s="54"/>
      <c r="AA425" s="54"/>
      <c r="AB425" s="54"/>
      <c r="AC425" s="54"/>
      <c r="AD425" s="54"/>
      <c r="AE425" s="54"/>
      <c r="AF425" s="54"/>
      <c r="AG425" s="54"/>
      <c r="AH425" s="54"/>
      <c r="AI425" s="117">
        <f t="shared" ref="AI425:AI430" si="13">SUM(F425:AH425)</f>
        <v>239207.8829086425</v>
      </c>
      <c r="AJ425" s="117">
        <f t="shared" ref="AJ425:AJ430" si="14">SUM(F425:U425)</f>
        <v>229035.8829086425</v>
      </c>
      <c r="AK425" s="117">
        <f t="shared" ref="AK425:AK430" si="15">SUM(W425:AH425)</f>
        <v>0</v>
      </c>
      <c r="AL425" s="23"/>
      <c r="AM425" s="127" t="b">
        <f t="shared" ref="AM425:AM430" si="16">IF(INDEX($AO425:$BM425,0,$F$14)=1,TRUE,FALSE)</f>
        <v>0</v>
      </c>
      <c r="AN425" s="127" t="str">
        <f t="shared" ref="AN425:AN430" si="17">IF(AM425,A425&amp;", "&amp;B425,"")</f>
        <v/>
      </c>
      <c r="AO425" s="129">
        <v>1</v>
      </c>
      <c r="AP425" s="129"/>
      <c r="AQ425" s="129"/>
      <c r="AR425" s="129"/>
      <c r="AS425" s="129"/>
      <c r="AT425" s="129"/>
      <c r="AU425" s="129"/>
      <c r="AV425" s="129"/>
      <c r="AW425" s="129"/>
      <c r="AX425" s="197"/>
      <c r="AY425" s="197"/>
      <c r="AZ425" s="197"/>
      <c r="BA425" s="197"/>
      <c r="BB425" s="129"/>
      <c r="BC425" s="129"/>
      <c r="BD425" s="129"/>
      <c r="BE425" s="129"/>
      <c r="BF425" s="129"/>
      <c r="BG425" s="129"/>
      <c r="BH425" s="129"/>
      <c r="BI425" s="129"/>
      <c r="BJ425" s="129"/>
      <c r="BK425" s="129"/>
      <c r="BL425" s="129"/>
      <c r="BM425" s="197"/>
    </row>
    <row r="426" spans="1:65" x14ac:dyDescent="0.25">
      <c r="A426" s="121" t="s">
        <v>44</v>
      </c>
      <c r="B426" s="121" t="s">
        <v>23</v>
      </c>
      <c r="C426" s="172" t="s">
        <v>397</v>
      </c>
      <c r="D426" s="161">
        <v>1</v>
      </c>
      <c r="E426" s="29" t="str">
        <f t="shared" si="12"/>
        <v>Expected nominal return (incl forecast asset revaluations)</v>
      </c>
      <c r="F426" s="122">
        <v>8002.3520397063094</v>
      </c>
      <c r="G426" s="122">
        <v>8194.2908959440738</v>
      </c>
      <c r="H426" s="122">
        <v>2116.2043473661411</v>
      </c>
      <c r="I426" s="122">
        <v>4403.1973364405476</v>
      </c>
      <c r="J426" s="122">
        <v>6317.1067594643209</v>
      </c>
      <c r="K426" s="122">
        <v>2490.0380027413808</v>
      </c>
      <c r="L426" s="122">
        <v>3565.8136336402422</v>
      </c>
      <c r="M426" s="122">
        <v>1131.5784336686536</v>
      </c>
      <c r="N426" s="122">
        <v>6620.0195865981404</v>
      </c>
      <c r="O426" s="122">
        <v>6535.0904320494037</v>
      </c>
      <c r="P426" s="122">
        <v>54295.882319572149</v>
      </c>
      <c r="Q426" s="122">
        <v>5878.4483271793297</v>
      </c>
      <c r="R426" s="122">
        <v>5469.904084200356</v>
      </c>
      <c r="S426" s="122">
        <v>17694.345601840643</v>
      </c>
      <c r="T426" s="122">
        <v>80543.998619896069</v>
      </c>
      <c r="U426" s="122">
        <v>26578.615686755136</v>
      </c>
      <c r="V426" s="122">
        <v>10469.581018004475</v>
      </c>
      <c r="W426" s="54"/>
      <c r="X426" s="54"/>
      <c r="Y426" s="54"/>
      <c r="Z426" s="54"/>
      <c r="AA426" s="54"/>
      <c r="AB426" s="54"/>
      <c r="AC426" s="54"/>
      <c r="AD426" s="54"/>
      <c r="AE426" s="54"/>
      <c r="AF426" s="54"/>
      <c r="AG426" s="54"/>
      <c r="AH426" s="54"/>
      <c r="AI426" s="117">
        <f t="shared" si="13"/>
        <v>250306.46712506737</v>
      </c>
      <c r="AJ426" s="117">
        <f t="shared" si="14"/>
        <v>239836.88610706289</v>
      </c>
      <c r="AK426" s="117">
        <f t="shared" si="15"/>
        <v>0</v>
      </c>
      <c r="AL426" s="23"/>
      <c r="AM426" s="127" t="b">
        <f t="shared" si="16"/>
        <v>0</v>
      </c>
      <c r="AN426" s="127" t="str">
        <f t="shared" si="17"/>
        <v/>
      </c>
      <c r="AO426" s="129">
        <v>1</v>
      </c>
      <c r="AP426" s="129"/>
      <c r="AQ426" s="129"/>
      <c r="AR426" s="129"/>
      <c r="AS426" s="129"/>
      <c r="AT426" s="129"/>
      <c r="AU426" s="129"/>
      <c r="AV426" s="129"/>
      <c r="AW426" s="129"/>
      <c r="AX426" s="197"/>
      <c r="AY426" s="197"/>
      <c r="AZ426" s="197"/>
      <c r="BA426" s="197"/>
      <c r="BB426" s="129"/>
      <c r="BC426" s="129"/>
      <c r="BD426" s="129"/>
      <c r="BE426" s="129"/>
      <c r="BF426" s="129"/>
      <c r="BG426" s="129"/>
      <c r="BH426" s="129"/>
      <c r="BI426" s="129"/>
      <c r="BJ426" s="129"/>
      <c r="BK426" s="129"/>
      <c r="BL426" s="129"/>
      <c r="BM426" s="197"/>
    </row>
    <row r="427" spans="1:65" x14ac:dyDescent="0.25">
      <c r="A427" s="121" t="s">
        <v>44</v>
      </c>
      <c r="B427" s="121" t="s">
        <v>24</v>
      </c>
      <c r="C427" s="172" t="s">
        <v>397</v>
      </c>
      <c r="D427" s="161">
        <v>1</v>
      </c>
      <c r="E427" s="29" t="str">
        <f t="shared" si="12"/>
        <v>Expected nominal return (incl forecast asset revaluations)</v>
      </c>
      <c r="F427" s="122">
        <v>8702.9986007472999</v>
      </c>
      <c r="G427" s="122">
        <v>8792.3710788323642</v>
      </c>
      <c r="H427" s="122">
        <v>2290.6886994706024</v>
      </c>
      <c r="I427" s="122">
        <v>4605.0195019498315</v>
      </c>
      <c r="J427" s="122">
        <v>6729.6796578512067</v>
      </c>
      <c r="K427" s="122">
        <v>2631.2072105088614</v>
      </c>
      <c r="L427" s="122">
        <v>3768.812342683048</v>
      </c>
      <c r="M427" s="122">
        <v>1291.8117485661351</v>
      </c>
      <c r="N427" s="122">
        <v>6950.2223081616457</v>
      </c>
      <c r="O427" s="122">
        <v>6884.9820662463753</v>
      </c>
      <c r="P427" s="122">
        <v>56541.434218441049</v>
      </c>
      <c r="Q427" s="122">
        <v>6180.6110710402754</v>
      </c>
      <c r="R427" s="122">
        <v>5908.6873166291407</v>
      </c>
      <c r="S427" s="122">
        <v>18848.640992066121</v>
      </c>
      <c r="T427" s="122">
        <v>84517.553717432238</v>
      </c>
      <c r="U427" s="122">
        <v>27759.616573160121</v>
      </c>
      <c r="V427" s="122">
        <v>10867.268282747093</v>
      </c>
      <c r="W427" s="54"/>
      <c r="X427" s="54"/>
      <c r="Y427" s="54"/>
      <c r="Z427" s="54"/>
      <c r="AA427" s="54"/>
      <c r="AB427" s="54"/>
      <c r="AC427" s="54"/>
      <c r="AD427" s="54"/>
      <c r="AE427" s="54"/>
      <c r="AF427" s="54"/>
      <c r="AG427" s="54"/>
      <c r="AH427" s="54"/>
      <c r="AI427" s="117">
        <f t="shared" si="13"/>
        <v>263271.60538653337</v>
      </c>
      <c r="AJ427" s="117">
        <f t="shared" si="14"/>
        <v>252404.3371037863</v>
      </c>
      <c r="AK427" s="117">
        <f t="shared" si="15"/>
        <v>0</v>
      </c>
      <c r="AL427" s="23"/>
      <c r="AM427" s="127" t="b">
        <f t="shared" si="16"/>
        <v>0</v>
      </c>
      <c r="AN427" s="127" t="str">
        <f t="shared" si="17"/>
        <v/>
      </c>
      <c r="AO427" s="129">
        <v>1</v>
      </c>
      <c r="AP427" s="129"/>
      <c r="AQ427" s="129"/>
      <c r="AR427" s="129"/>
      <c r="AS427" s="129"/>
      <c r="AT427" s="129"/>
      <c r="AU427" s="129"/>
      <c r="AV427" s="129"/>
      <c r="AW427" s="129"/>
      <c r="AX427" s="197"/>
      <c r="AY427" s="197"/>
      <c r="AZ427" s="197"/>
      <c r="BA427" s="197"/>
      <c r="BB427" s="129"/>
      <c r="BC427" s="129"/>
      <c r="BD427" s="129"/>
      <c r="BE427" s="129"/>
      <c r="BF427" s="129"/>
      <c r="BG427" s="129"/>
      <c r="BH427" s="129"/>
      <c r="BI427" s="129"/>
      <c r="BJ427" s="129"/>
      <c r="BK427" s="129"/>
      <c r="BL427" s="129"/>
      <c r="BM427" s="197"/>
    </row>
    <row r="428" spans="1:65" x14ac:dyDescent="0.25">
      <c r="A428" s="121" t="s">
        <v>44</v>
      </c>
      <c r="B428" s="121" t="s">
        <v>25</v>
      </c>
      <c r="C428" s="172" t="s">
        <v>397</v>
      </c>
      <c r="D428" s="161">
        <v>1</v>
      </c>
      <c r="E428" s="29" t="str">
        <f t="shared" si="12"/>
        <v>Expected nominal return (incl forecast asset revaluations)</v>
      </c>
      <c r="F428" s="122">
        <v>9417.6004303817572</v>
      </c>
      <c r="G428" s="122">
        <v>9454.501171452921</v>
      </c>
      <c r="H428" s="122">
        <v>2416.2630929936427</v>
      </c>
      <c r="I428" s="122">
        <v>4840.6854108828102</v>
      </c>
      <c r="J428" s="122">
        <v>7262.029601528302</v>
      </c>
      <c r="K428" s="122">
        <v>2777.1784764792815</v>
      </c>
      <c r="L428" s="122">
        <v>3996.9484168100944</v>
      </c>
      <c r="M428" s="122">
        <v>1465.5280159019594</v>
      </c>
      <c r="N428" s="122">
        <v>7296.7824393878636</v>
      </c>
      <c r="O428" s="122">
        <v>7281.001999277204</v>
      </c>
      <c r="P428" s="122">
        <v>59085.208665323647</v>
      </c>
      <c r="Q428" s="122">
        <v>6507.7741677129879</v>
      </c>
      <c r="R428" s="122">
        <v>6423.8472164959658</v>
      </c>
      <c r="S428" s="122">
        <v>20315.676109615611</v>
      </c>
      <c r="T428" s="122">
        <v>89195.732223681189</v>
      </c>
      <c r="U428" s="122">
        <v>29171.383249581675</v>
      </c>
      <c r="V428" s="122">
        <v>11321.344183556501</v>
      </c>
      <c r="W428" s="54"/>
      <c r="X428" s="54"/>
      <c r="Y428" s="54"/>
      <c r="Z428" s="54"/>
      <c r="AA428" s="54"/>
      <c r="AB428" s="54"/>
      <c r="AC428" s="54"/>
      <c r="AD428" s="54"/>
      <c r="AE428" s="54"/>
      <c r="AF428" s="54"/>
      <c r="AG428" s="54"/>
      <c r="AH428" s="54"/>
      <c r="AI428" s="117">
        <f t="shared" si="13"/>
        <v>278229.48487106344</v>
      </c>
      <c r="AJ428" s="117">
        <f t="shared" si="14"/>
        <v>266908.14068750694</v>
      </c>
      <c r="AK428" s="117">
        <f t="shared" si="15"/>
        <v>0</v>
      </c>
      <c r="AL428" s="23"/>
      <c r="AM428" s="127" t="b">
        <f t="shared" si="16"/>
        <v>0</v>
      </c>
      <c r="AN428" s="127" t="str">
        <f t="shared" si="17"/>
        <v/>
      </c>
      <c r="AO428" s="129">
        <v>1</v>
      </c>
      <c r="AP428" s="129"/>
      <c r="AQ428" s="129"/>
      <c r="AR428" s="129"/>
      <c r="AS428" s="129"/>
      <c r="AT428" s="129"/>
      <c r="AU428" s="129"/>
      <c r="AV428" s="129"/>
      <c r="AW428" s="129"/>
      <c r="AX428" s="197"/>
      <c r="AY428" s="197"/>
      <c r="AZ428" s="197"/>
      <c r="BA428" s="197"/>
      <c r="BB428" s="129"/>
      <c r="BC428" s="129"/>
      <c r="BD428" s="129"/>
      <c r="BE428" s="129"/>
      <c r="BF428" s="129"/>
      <c r="BG428" s="129"/>
      <c r="BH428" s="129"/>
      <c r="BI428" s="129"/>
      <c r="BJ428" s="129"/>
      <c r="BK428" s="129"/>
      <c r="BL428" s="129"/>
      <c r="BM428" s="197"/>
    </row>
    <row r="429" spans="1:65" x14ac:dyDescent="0.25">
      <c r="A429" s="121" t="s">
        <v>44</v>
      </c>
      <c r="B429" s="121" t="s">
        <v>26</v>
      </c>
      <c r="C429" s="172" t="s">
        <v>397</v>
      </c>
      <c r="D429" s="161">
        <v>1</v>
      </c>
      <c r="E429" s="29" t="str">
        <f t="shared" si="12"/>
        <v>Expected nominal return (incl forecast asset revaluations)</v>
      </c>
      <c r="F429" s="122">
        <v>10295.74766702691</v>
      </c>
      <c r="G429" s="122">
        <v>10033.628312658046</v>
      </c>
      <c r="H429" s="122">
        <v>2559.2436678846834</v>
      </c>
      <c r="I429" s="122">
        <v>5074.7771190075882</v>
      </c>
      <c r="J429" s="122">
        <v>7653.3953812639593</v>
      </c>
      <c r="K429" s="122">
        <v>2921.2188010371351</v>
      </c>
      <c r="L429" s="122">
        <v>4215.3557677896379</v>
      </c>
      <c r="M429" s="122">
        <v>1542.8283058591337</v>
      </c>
      <c r="N429" s="122">
        <v>7613.9916844795625</v>
      </c>
      <c r="O429" s="122">
        <v>7687.3473152183742</v>
      </c>
      <c r="P429" s="122">
        <v>61620.548192360584</v>
      </c>
      <c r="Q429" s="122">
        <v>6843.2536132470541</v>
      </c>
      <c r="R429" s="122">
        <v>6921.2988247926769</v>
      </c>
      <c r="S429" s="122">
        <v>21723.992808148934</v>
      </c>
      <c r="T429" s="122">
        <v>94102.157805856143</v>
      </c>
      <c r="U429" s="122">
        <v>30644.35829522369</v>
      </c>
      <c r="V429" s="122">
        <v>11796.810769007296</v>
      </c>
      <c r="W429" s="54"/>
      <c r="X429" s="54"/>
      <c r="Y429" s="54"/>
      <c r="Z429" s="54"/>
      <c r="AA429" s="54"/>
      <c r="AB429" s="54"/>
      <c r="AC429" s="54"/>
      <c r="AD429" s="54"/>
      <c r="AE429" s="54"/>
      <c r="AF429" s="54"/>
      <c r="AG429" s="54"/>
      <c r="AH429" s="54"/>
      <c r="AI429" s="117">
        <f t="shared" si="13"/>
        <v>293249.95433086139</v>
      </c>
      <c r="AJ429" s="117">
        <f t="shared" si="14"/>
        <v>281453.14356185409</v>
      </c>
      <c r="AK429" s="117">
        <f t="shared" si="15"/>
        <v>0</v>
      </c>
      <c r="AL429" s="23"/>
      <c r="AM429" s="127" t="b">
        <f t="shared" si="16"/>
        <v>0</v>
      </c>
      <c r="AN429" s="127" t="str">
        <f t="shared" si="17"/>
        <v/>
      </c>
      <c r="AO429" s="129">
        <v>1</v>
      </c>
      <c r="AP429" s="129"/>
      <c r="AQ429" s="129"/>
      <c r="AR429" s="129"/>
      <c r="AS429" s="129"/>
      <c r="AT429" s="129"/>
      <c r="AU429" s="129"/>
      <c r="AV429" s="129"/>
      <c r="AW429" s="129"/>
      <c r="AX429" s="197"/>
      <c r="AY429" s="197"/>
      <c r="AZ429" s="197"/>
      <c r="BA429" s="197"/>
      <c r="BB429" s="129"/>
      <c r="BC429" s="129"/>
      <c r="BD429" s="129"/>
      <c r="BE429" s="129"/>
      <c r="BF429" s="129"/>
      <c r="BG429" s="129"/>
      <c r="BH429" s="129"/>
      <c r="BI429" s="129"/>
      <c r="BJ429" s="129"/>
      <c r="BK429" s="129"/>
      <c r="BL429" s="129"/>
      <c r="BM429" s="197"/>
    </row>
    <row r="430" spans="1:65" x14ac:dyDescent="0.25">
      <c r="A430" s="121" t="s">
        <v>44</v>
      </c>
      <c r="B430" s="121" t="s">
        <v>27</v>
      </c>
      <c r="C430" s="172" t="s">
        <v>397</v>
      </c>
      <c r="D430" s="161">
        <v>1</v>
      </c>
      <c r="E430" s="29" t="str">
        <f t="shared" si="12"/>
        <v>Expected nominal return (incl forecast asset revaluations)</v>
      </c>
      <c r="F430" s="122">
        <v>10975.974827834307</v>
      </c>
      <c r="G430" s="122">
        <v>10697.458280430905</v>
      </c>
      <c r="H430" s="122">
        <v>2688.4479428998775</v>
      </c>
      <c r="I430" s="122">
        <v>5307.5752228420743</v>
      </c>
      <c r="J430" s="122">
        <v>8076.7066290403427</v>
      </c>
      <c r="K430" s="122">
        <v>3056.4072438947819</v>
      </c>
      <c r="L430" s="122">
        <v>4404.4949420704697</v>
      </c>
      <c r="M430" s="122">
        <v>1611.9757310166692</v>
      </c>
      <c r="N430" s="122">
        <v>7910.7262998559572</v>
      </c>
      <c r="O430" s="122">
        <v>8090.9364476090559</v>
      </c>
      <c r="P430" s="122">
        <v>64218.227120523799</v>
      </c>
      <c r="Q430" s="122">
        <v>7189.1988387424863</v>
      </c>
      <c r="R430" s="122">
        <v>7408.6491078299132</v>
      </c>
      <c r="S430" s="122">
        <v>23188.77343911531</v>
      </c>
      <c r="T430" s="122">
        <v>99181.491942603025</v>
      </c>
      <c r="U430" s="122">
        <v>32121.582802009401</v>
      </c>
      <c r="V430" s="122">
        <v>12197.893700766404</v>
      </c>
      <c r="W430" s="54"/>
      <c r="X430" s="54"/>
      <c r="Y430" s="54"/>
      <c r="Z430" s="54"/>
      <c r="AA430" s="54"/>
      <c r="AB430" s="54"/>
      <c r="AC430" s="54"/>
      <c r="AD430" s="54"/>
      <c r="AE430" s="54"/>
      <c r="AF430" s="54"/>
      <c r="AG430" s="54"/>
      <c r="AH430" s="54"/>
      <c r="AI430" s="117">
        <f t="shared" si="13"/>
        <v>308326.52051908476</v>
      </c>
      <c r="AJ430" s="117">
        <f t="shared" si="14"/>
        <v>296128.62681831839</v>
      </c>
      <c r="AK430" s="117">
        <f t="shared" si="15"/>
        <v>0</v>
      </c>
      <c r="AL430" s="23"/>
      <c r="AM430" s="127" t="b">
        <f t="shared" si="16"/>
        <v>0</v>
      </c>
      <c r="AN430" s="127" t="str">
        <f t="shared" si="17"/>
        <v/>
      </c>
      <c r="AO430" s="129">
        <v>1</v>
      </c>
      <c r="AP430" s="129"/>
      <c r="AQ430" s="129"/>
      <c r="AR430" s="129"/>
      <c r="AS430" s="129"/>
      <c r="AT430" s="129"/>
      <c r="AU430" s="129"/>
      <c r="AV430" s="129"/>
      <c r="AW430" s="129"/>
      <c r="AX430" s="197"/>
      <c r="AY430" s="197"/>
      <c r="AZ430" s="197"/>
      <c r="BA430" s="197"/>
      <c r="BB430" s="129"/>
      <c r="BC430" s="129"/>
      <c r="BD430" s="129"/>
      <c r="BE430" s="129"/>
      <c r="BF430" s="129"/>
      <c r="BG430" s="129"/>
      <c r="BH430" s="129"/>
      <c r="BI430" s="129"/>
      <c r="BJ430" s="129"/>
      <c r="BK430" s="129"/>
      <c r="BL430" s="129"/>
      <c r="BM430" s="197"/>
    </row>
    <row r="431" spans="1:65" x14ac:dyDescent="0.25">
      <c r="A431" s="171"/>
      <c r="B431" s="171"/>
      <c r="C431" s="172"/>
      <c r="D431" s="49"/>
      <c r="E431" s="49"/>
      <c r="F431" s="54"/>
      <c r="G431" s="54"/>
      <c r="H431" s="54"/>
      <c r="I431" s="54"/>
      <c r="J431" s="54"/>
      <c r="K431" s="54"/>
      <c r="L431" s="54"/>
      <c r="M431" s="54"/>
      <c r="N431" s="54"/>
      <c r="O431" s="54"/>
      <c r="P431" s="54"/>
      <c r="Q431" s="54"/>
      <c r="R431" s="54"/>
      <c r="S431" s="54"/>
      <c r="T431" s="54"/>
      <c r="U431" s="54"/>
      <c r="V431" s="54"/>
      <c r="W431" s="55"/>
      <c r="X431" s="55"/>
      <c r="Y431" s="55"/>
      <c r="Z431" s="55"/>
      <c r="AA431" s="55"/>
      <c r="AB431" s="55"/>
      <c r="AC431" s="55"/>
      <c r="AD431" s="55"/>
      <c r="AE431" s="55"/>
      <c r="AF431" s="55"/>
      <c r="AG431" s="55"/>
      <c r="AH431" s="55"/>
      <c r="AI431" s="54"/>
      <c r="AJ431" s="54"/>
      <c r="AK431" s="54"/>
      <c r="AL431" s="23"/>
      <c r="AM431" s="127"/>
      <c r="AN431" s="127"/>
      <c r="AO431" s="129"/>
      <c r="AP431" s="129"/>
      <c r="AQ431" s="129"/>
      <c r="AR431" s="129"/>
      <c r="AS431" s="129"/>
      <c r="AT431" s="129"/>
      <c r="AU431" s="129"/>
      <c r="AV431" s="129"/>
      <c r="AW431" s="129"/>
      <c r="AX431" s="197"/>
      <c r="AY431" s="197"/>
      <c r="AZ431" s="197"/>
      <c r="BA431" s="197"/>
      <c r="BB431" s="129"/>
      <c r="BC431" s="129"/>
      <c r="BD431" s="129"/>
      <c r="BE431" s="129"/>
      <c r="BF431" s="129"/>
      <c r="BG431" s="129"/>
      <c r="BH431" s="129"/>
      <c r="BI431" s="129"/>
      <c r="BJ431" s="129"/>
      <c r="BK431" s="129"/>
      <c r="BL431" s="129"/>
      <c r="BM431" s="197"/>
    </row>
    <row r="432" spans="1:65" x14ac:dyDescent="0.25">
      <c r="A432" s="171"/>
      <c r="B432" s="171"/>
      <c r="C432" s="172"/>
      <c r="D432" s="46"/>
      <c r="E432" s="46"/>
      <c r="F432" s="54"/>
      <c r="G432" s="54"/>
      <c r="H432" s="54"/>
      <c r="I432" s="54"/>
      <c r="J432" s="54"/>
      <c r="K432" s="54"/>
      <c r="L432" s="54"/>
      <c r="M432" s="54"/>
      <c r="N432" s="54"/>
      <c r="O432" s="54"/>
      <c r="P432" s="54"/>
      <c r="Q432" s="54"/>
      <c r="R432" s="54"/>
      <c r="S432" s="54"/>
      <c r="T432" s="54"/>
      <c r="U432" s="54"/>
      <c r="V432" s="54"/>
      <c r="W432" s="55"/>
      <c r="X432" s="55"/>
      <c r="Y432" s="55"/>
      <c r="Z432" s="55"/>
      <c r="AA432" s="55"/>
      <c r="AB432" s="55"/>
      <c r="AC432" s="55"/>
      <c r="AD432" s="55"/>
      <c r="AE432" s="55"/>
      <c r="AF432" s="55"/>
      <c r="AG432" s="55"/>
      <c r="AH432" s="55"/>
      <c r="AI432" s="54"/>
      <c r="AJ432" s="54"/>
      <c r="AK432" s="54"/>
      <c r="AL432" s="23"/>
      <c r="AM432" s="127"/>
      <c r="AN432" s="127"/>
      <c r="AO432" s="129"/>
      <c r="AP432" s="129"/>
      <c r="AQ432" s="129"/>
      <c r="AR432" s="129"/>
      <c r="AS432" s="129"/>
      <c r="AT432" s="129"/>
      <c r="AU432" s="129"/>
      <c r="AV432" s="129"/>
      <c r="AW432" s="129"/>
      <c r="AX432" s="197"/>
      <c r="AY432" s="197"/>
      <c r="AZ432" s="197"/>
      <c r="BA432" s="197"/>
      <c r="BB432" s="129"/>
      <c r="BC432" s="129"/>
      <c r="BD432" s="129"/>
      <c r="BE432" s="129"/>
      <c r="BF432" s="129"/>
      <c r="BG432" s="129"/>
      <c r="BH432" s="129"/>
      <c r="BI432" s="129"/>
      <c r="BJ432" s="129"/>
      <c r="BK432" s="129"/>
      <c r="BL432" s="129"/>
      <c r="BM432" s="197"/>
    </row>
    <row r="433" spans="1:65" x14ac:dyDescent="0.25">
      <c r="A433" s="171" t="s">
        <v>44</v>
      </c>
      <c r="B433" s="171" t="s">
        <v>22</v>
      </c>
      <c r="C433" s="172" t="s">
        <v>371</v>
      </c>
      <c r="D433" s="161">
        <v>2</v>
      </c>
      <c r="E433" s="29" t="str">
        <f t="shared" ref="E433:E438" si="18">INDEX(ra_ScName,MATCH(D433,ra_ScNumber,0))</f>
        <v>Expected real return (excl forecast asset revaluations)</v>
      </c>
      <c r="F433" s="122">
        <v>7644</v>
      </c>
      <c r="G433" s="122">
        <v>7786</v>
      </c>
      <c r="H433" s="122">
        <v>2023</v>
      </c>
      <c r="I433" s="122">
        <v>4225</v>
      </c>
      <c r="J433" s="122">
        <v>5894</v>
      </c>
      <c r="K433" s="122">
        <v>2382</v>
      </c>
      <c r="L433" s="122">
        <v>3449</v>
      </c>
      <c r="M433" s="122">
        <v>1084.6002031156527</v>
      </c>
      <c r="N433" s="122">
        <v>6387.6247468541751</v>
      </c>
      <c r="O433" s="122">
        <v>6303</v>
      </c>
      <c r="P433" s="122">
        <v>52422</v>
      </c>
      <c r="Q433" s="122">
        <v>5635.3221811466228</v>
      </c>
      <c r="R433" s="122">
        <v>5234</v>
      </c>
      <c r="S433" s="122">
        <v>16649.2682399277</v>
      </c>
      <c r="T433" s="122">
        <v>76573.310789910291</v>
      </c>
      <c r="U433" s="122">
        <v>25343.756747688079</v>
      </c>
      <c r="V433" s="122"/>
      <c r="W433" s="54"/>
      <c r="X433" s="54"/>
      <c r="Y433" s="54"/>
      <c r="Z433" s="54"/>
      <c r="AA433" s="54"/>
      <c r="AB433" s="54"/>
      <c r="AC433" s="54"/>
      <c r="AD433" s="54"/>
      <c r="AE433" s="54"/>
      <c r="AF433" s="54"/>
      <c r="AG433" s="54"/>
      <c r="AH433" s="54"/>
      <c r="AI433" s="117">
        <f t="shared" ref="AI433:AI438" si="19">SUM(F433:AH433)</f>
        <v>229035.8829086425</v>
      </c>
      <c r="AJ433" s="117">
        <f t="shared" ref="AJ433:AJ438" si="20">SUM(F433:U433)</f>
        <v>229035.8829086425</v>
      </c>
      <c r="AK433" s="117">
        <f t="shared" ref="AK433:AK438" si="21">SUM(W433:AH433)</f>
        <v>0</v>
      </c>
      <c r="AL433" s="23"/>
      <c r="AM433" s="127" t="b">
        <f t="shared" ref="AM433:AM438" si="22">IF(INDEX($AO433:$BM433,0,$F$14)=1,TRUE,FALSE)</f>
        <v>0</v>
      </c>
      <c r="AN433" s="127" t="str">
        <f t="shared" ref="AN433:AN438" si="23">IF(AM433,A433&amp;", "&amp;B433,"")</f>
        <v/>
      </c>
      <c r="AO433" s="129"/>
      <c r="AP433" s="129">
        <v>1</v>
      </c>
      <c r="AQ433" s="129">
        <v>1</v>
      </c>
      <c r="AR433" s="129"/>
      <c r="AS433" s="129"/>
      <c r="AT433" s="129"/>
      <c r="AU433" s="129"/>
      <c r="AV433" s="129"/>
      <c r="AW433" s="129"/>
      <c r="AX433" s="197"/>
      <c r="AY433" s="197"/>
      <c r="AZ433" s="197"/>
      <c r="BA433" s="197">
        <v>1</v>
      </c>
      <c r="BB433" s="129">
        <v>1</v>
      </c>
      <c r="BC433" s="129">
        <v>1</v>
      </c>
      <c r="BD433" s="129">
        <v>1</v>
      </c>
      <c r="BE433" s="129">
        <v>1</v>
      </c>
      <c r="BF433" s="129">
        <v>1</v>
      </c>
      <c r="BG433" s="129">
        <v>1</v>
      </c>
      <c r="BH433" s="129">
        <v>1</v>
      </c>
      <c r="BI433" s="129">
        <v>1</v>
      </c>
      <c r="BJ433" s="129">
        <v>1</v>
      </c>
      <c r="BK433" s="129">
        <v>1</v>
      </c>
      <c r="BL433" s="129"/>
      <c r="BM433" s="197"/>
    </row>
    <row r="434" spans="1:65" x14ac:dyDescent="0.25">
      <c r="A434" s="171" t="s">
        <v>44</v>
      </c>
      <c r="B434" s="171" t="s">
        <v>23</v>
      </c>
      <c r="C434" s="172" t="s">
        <v>371</v>
      </c>
      <c r="D434" s="161">
        <v>2</v>
      </c>
      <c r="E434" s="29" t="str">
        <f t="shared" si="18"/>
        <v>Expected real return (excl forecast asset revaluations)</v>
      </c>
      <c r="F434" s="122">
        <v>7862.4242197473304</v>
      </c>
      <c r="G434" s="122">
        <v>8056.6066268311979</v>
      </c>
      <c r="H434" s="122">
        <v>2079.6496222222222</v>
      </c>
      <c r="I434" s="122">
        <v>4327.8284763987604</v>
      </c>
      <c r="J434" s="122">
        <v>6211.7111111111108</v>
      </c>
      <c r="K434" s="122">
        <v>2447.3343223721358</v>
      </c>
      <c r="L434" s="122">
        <v>3504.3406306402412</v>
      </c>
      <c r="M434" s="122">
        <v>1112.1255364489859</v>
      </c>
      <c r="N434" s="122">
        <v>6505.1283460949162</v>
      </c>
      <c r="O434" s="122">
        <v>6421.0888888888885</v>
      </c>
      <c r="P434" s="122">
        <v>53362.84135982061</v>
      </c>
      <c r="Q434" s="122">
        <v>5778.1709098218116</v>
      </c>
      <c r="R434" s="122">
        <v>5376.2441444145579</v>
      </c>
      <c r="S434" s="122">
        <v>17396.704549075126</v>
      </c>
      <c r="T434" s="122">
        <v>79185.102214642204</v>
      </c>
      <c r="U434" s="122">
        <v>26120.317006203521</v>
      </c>
      <c r="V434" s="122"/>
      <c r="W434" s="54"/>
      <c r="X434" s="54"/>
      <c r="Y434" s="54"/>
      <c r="Z434" s="54"/>
      <c r="AA434" s="54"/>
      <c r="AB434" s="54"/>
      <c r="AC434" s="54"/>
      <c r="AD434" s="54"/>
      <c r="AE434" s="54"/>
      <c r="AF434" s="54"/>
      <c r="AG434" s="54"/>
      <c r="AH434" s="54"/>
      <c r="AI434" s="117">
        <f t="shared" si="19"/>
        <v>235747.61796473362</v>
      </c>
      <c r="AJ434" s="117">
        <f t="shared" si="20"/>
        <v>235747.61796473362</v>
      </c>
      <c r="AK434" s="117">
        <f t="shared" si="21"/>
        <v>0</v>
      </c>
      <c r="AL434" s="23"/>
      <c r="AM434" s="127" t="b">
        <f t="shared" si="22"/>
        <v>0</v>
      </c>
      <c r="AN434" s="127" t="str">
        <f t="shared" si="23"/>
        <v/>
      </c>
      <c r="AO434" s="129"/>
      <c r="AP434" s="129">
        <v>1</v>
      </c>
      <c r="AQ434" s="129">
        <v>1</v>
      </c>
      <c r="AR434" s="129"/>
      <c r="AS434" s="129"/>
      <c r="AT434" s="129"/>
      <c r="AU434" s="129"/>
      <c r="AV434" s="129"/>
      <c r="AW434" s="129"/>
      <c r="AX434" s="197"/>
      <c r="AY434" s="197"/>
      <c r="AZ434" s="197"/>
      <c r="BA434" s="197">
        <v>1</v>
      </c>
      <c r="BB434" s="129">
        <v>1</v>
      </c>
      <c r="BC434" s="129">
        <v>1</v>
      </c>
      <c r="BD434" s="129">
        <v>1</v>
      </c>
      <c r="BE434" s="129">
        <v>1</v>
      </c>
      <c r="BF434" s="129">
        <v>1</v>
      </c>
      <c r="BG434" s="129">
        <v>1</v>
      </c>
      <c r="BH434" s="129">
        <v>1</v>
      </c>
      <c r="BI434" s="129">
        <v>1</v>
      </c>
      <c r="BJ434" s="129">
        <v>1</v>
      </c>
      <c r="BK434" s="129">
        <v>1</v>
      </c>
      <c r="BL434" s="129"/>
      <c r="BM434" s="197"/>
    </row>
    <row r="435" spans="1:65" x14ac:dyDescent="0.25">
      <c r="A435" s="171" t="s">
        <v>44</v>
      </c>
      <c r="B435" s="171" t="s">
        <v>24</v>
      </c>
      <c r="C435" s="172" t="s">
        <v>371</v>
      </c>
      <c r="D435" s="161">
        <v>2</v>
      </c>
      <c r="E435" s="29" t="str">
        <f t="shared" si="18"/>
        <v>Expected real return (excl forecast asset revaluations)</v>
      </c>
      <c r="F435" s="122">
        <v>8394.1798027641817</v>
      </c>
      <c r="G435" s="122">
        <v>8488.0039649345908</v>
      </c>
      <c r="H435" s="122">
        <v>2210.097812463935</v>
      </c>
      <c r="I435" s="122">
        <v>4439.2621998089708</v>
      </c>
      <c r="J435" s="122">
        <v>6494.3314387027367</v>
      </c>
      <c r="K435" s="122">
        <v>2537.1216507415998</v>
      </c>
      <c r="L435" s="122">
        <v>3634.1991068649982</v>
      </c>
      <c r="M435" s="122">
        <v>1248.9970096816514</v>
      </c>
      <c r="N435" s="122">
        <v>6698.2249192027957</v>
      </c>
      <c r="O435" s="122">
        <v>6634.8182106720014</v>
      </c>
      <c r="P435" s="122">
        <v>54496.466856680447</v>
      </c>
      <c r="Q435" s="122">
        <v>5959.9759252073563</v>
      </c>
      <c r="R435" s="122">
        <v>5702.3758449601337</v>
      </c>
      <c r="S435" s="122">
        <v>18187.056443253088</v>
      </c>
      <c r="T435" s="122">
        <v>81514.34662186417</v>
      </c>
      <c r="U435" s="122">
        <v>26747.827851245438</v>
      </c>
      <c r="V435" s="122"/>
      <c r="W435" s="54"/>
      <c r="X435" s="54"/>
      <c r="Y435" s="54"/>
      <c r="Z435" s="54"/>
      <c r="AA435" s="54"/>
      <c r="AB435" s="54"/>
      <c r="AC435" s="54"/>
      <c r="AD435" s="54"/>
      <c r="AE435" s="54"/>
      <c r="AF435" s="54"/>
      <c r="AG435" s="54"/>
      <c r="AH435" s="54"/>
      <c r="AI435" s="117">
        <f t="shared" si="19"/>
        <v>243387.2856590481</v>
      </c>
      <c r="AJ435" s="117">
        <f t="shared" si="20"/>
        <v>243387.2856590481</v>
      </c>
      <c r="AK435" s="117">
        <f t="shared" si="21"/>
        <v>0</v>
      </c>
      <c r="AL435" s="23"/>
      <c r="AM435" s="127" t="b">
        <f t="shared" si="22"/>
        <v>0</v>
      </c>
      <c r="AN435" s="127" t="str">
        <f t="shared" si="23"/>
        <v/>
      </c>
      <c r="AO435" s="129"/>
      <c r="AP435" s="129">
        <v>1</v>
      </c>
      <c r="AQ435" s="129">
        <v>1</v>
      </c>
      <c r="AR435" s="129"/>
      <c r="AS435" s="129"/>
      <c r="AT435" s="129"/>
      <c r="AU435" s="129"/>
      <c r="AV435" s="129"/>
      <c r="AW435" s="129"/>
      <c r="AX435" s="197"/>
      <c r="AY435" s="197"/>
      <c r="AZ435" s="197"/>
      <c r="BA435" s="197">
        <v>1</v>
      </c>
      <c r="BB435" s="129">
        <v>1</v>
      </c>
      <c r="BC435" s="129">
        <v>1</v>
      </c>
      <c r="BD435" s="129">
        <v>1</v>
      </c>
      <c r="BE435" s="129">
        <v>1</v>
      </c>
      <c r="BF435" s="129">
        <v>1</v>
      </c>
      <c r="BG435" s="129">
        <v>1</v>
      </c>
      <c r="BH435" s="129">
        <v>1</v>
      </c>
      <c r="BI435" s="129">
        <v>1</v>
      </c>
      <c r="BJ435" s="129">
        <v>1</v>
      </c>
      <c r="BK435" s="129">
        <v>1</v>
      </c>
      <c r="BL435" s="129"/>
      <c r="BM435" s="197"/>
    </row>
    <row r="436" spans="1:65" x14ac:dyDescent="0.25">
      <c r="A436" s="171" t="s">
        <v>44</v>
      </c>
      <c r="B436" s="171" t="s">
        <v>25</v>
      </c>
      <c r="C436" s="172" t="s">
        <v>371</v>
      </c>
      <c r="D436" s="161">
        <v>2</v>
      </c>
      <c r="E436" s="29" t="str">
        <f t="shared" si="18"/>
        <v>Expected real return (excl forecast asset revaluations)</v>
      </c>
      <c r="F436" s="122">
        <v>8882.7265213842365</v>
      </c>
      <c r="G436" s="122">
        <v>8930.2848816561855</v>
      </c>
      <c r="H436" s="122">
        <v>2277.0521729064726</v>
      </c>
      <c r="I436" s="122">
        <v>4558.6651301825405</v>
      </c>
      <c r="J436" s="122">
        <v>6856.4565080352204</v>
      </c>
      <c r="K436" s="122">
        <v>2616.3126793429783</v>
      </c>
      <c r="L436" s="122">
        <v>3767.2811856435414</v>
      </c>
      <c r="M436" s="122">
        <v>1389.958112715708</v>
      </c>
      <c r="N436" s="122">
        <v>6867.6782321520695</v>
      </c>
      <c r="O436" s="122">
        <v>6854.2745578888171</v>
      </c>
      <c r="P436" s="122">
        <v>55616.07015667059</v>
      </c>
      <c r="Q436" s="122">
        <v>6131.5387124000808</v>
      </c>
      <c r="R436" s="122">
        <v>6067.9369134026892</v>
      </c>
      <c r="S436" s="122">
        <v>19177.370194907067</v>
      </c>
      <c r="T436" s="122">
        <v>84070.962390788249</v>
      </c>
      <c r="U436" s="122">
        <v>27447.923143557724</v>
      </c>
      <c r="V436" s="122"/>
      <c r="W436" s="54"/>
      <c r="X436" s="54"/>
      <c r="Y436" s="54"/>
      <c r="Z436" s="54"/>
      <c r="AA436" s="54"/>
      <c r="AB436" s="54"/>
      <c r="AC436" s="54"/>
      <c r="AD436" s="54"/>
      <c r="AE436" s="54"/>
      <c r="AF436" s="54"/>
      <c r="AG436" s="54"/>
      <c r="AH436" s="54"/>
      <c r="AI436" s="117">
        <f t="shared" si="19"/>
        <v>251512.49149363418</v>
      </c>
      <c r="AJ436" s="117">
        <f t="shared" si="20"/>
        <v>251512.49149363418</v>
      </c>
      <c r="AK436" s="117">
        <f t="shared" si="21"/>
        <v>0</v>
      </c>
      <c r="AL436" s="23"/>
      <c r="AM436" s="127" t="b">
        <f t="shared" si="22"/>
        <v>0</v>
      </c>
      <c r="AN436" s="127" t="str">
        <f t="shared" si="23"/>
        <v/>
      </c>
      <c r="AO436" s="129"/>
      <c r="AP436" s="129">
        <v>1</v>
      </c>
      <c r="AQ436" s="129">
        <v>1</v>
      </c>
      <c r="AR436" s="129"/>
      <c r="AS436" s="129"/>
      <c r="AT436" s="129"/>
      <c r="AU436" s="129"/>
      <c r="AV436" s="129"/>
      <c r="AW436" s="129"/>
      <c r="AX436" s="197"/>
      <c r="AY436" s="197"/>
      <c r="AZ436" s="197"/>
      <c r="BA436" s="197">
        <v>1</v>
      </c>
      <c r="BB436" s="129">
        <v>1</v>
      </c>
      <c r="BC436" s="129">
        <v>1</v>
      </c>
      <c r="BD436" s="129">
        <v>1</v>
      </c>
      <c r="BE436" s="129">
        <v>1</v>
      </c>
      <c r="BF436" s="129">
        <v>1</v>
      </c>
      <c r="BG436" s="129">
        <v>1</v>
      </c>
      <c r="BH436" s="129">
        <v>1</v>
      </c>
      <c r="BI436" s="129">
        <v>1</v>
      </c>
      <c r="BJ436" s="129">
        <v>1</v>
      </c>
      <c r="BK436" s="129">
        <v>1</v>
      </c>
      <c r="BL436" s="129"/>
      <c r="BM436" s="197"/>
    </row>
    <row r="437" spans="1:65" x14ac:dyDescent="0.25">
      <c r="A437" s="171" t="s">
        <v>44</v>
      </c>
      <c r="B437" s="171" t="s">
        <v>26</v>
      </c>
      <c r="C437" s="172" t="s">
        <v>371</v>
      </c>
      <c r="D437" s="161">
        <v>2</v>
      </c>
      <c r="E437" s="29" t="str">
        <f t="shared" si="18"/>
        <v>Expected real return (excl forecast asset revaluations)</v>
      </c>
      <c r="F437" s="122">
        <v>9530.2232734395438</v>
      </c>
      <c r="G437" s="122">
        <v>9286.9234123321821</v>
      </c>
      <c r="H437" s="122">
        <v>2361.7578881248328</v>
      </c>
      <c r="I437" s="122">
        <v>4677.6733344705153</v>
      </c>
      <c r="J437" s="122">
        <v>7074.9155360806681</v>
      </c>
      <c r="K437" s="122">
        <v>2693.9672814516757</v>
      </c>
      <c r="L437" s="122">
        <v>3890.7829268865894</v>
      </c>
      <c r="M437" s="122">
        <v>1432.3088641505835</v>
      </c>
      <c r="N437" s="122">
        <v>7009.6956386702168</v>
      </c>
      <c r="O437" s="122">
        <v>7084.6339260476898</v>
      </c>
      <c r="P437" s="122">
        <v>56749.86114748862</v>
      </c>
      <c r="Q437" s="122">
        <v>6312.7707893322658</v>
      </c>
      <c r="R437" s="122">
        <v>6412.3089410729872</v>
      </c>
      <c r="S437" s="122">
        <v>20101.987367379355</v>
      </c>
      <c r="T437" s="122">
        <v>86869.59038597632</v>
      </c>
      <c r="U437" s="122">
        <v>28215.901625263115</v>
      </c>
      <c r="V437" s="122"/>
      <c r="W437" s="54"/>
      <c r="X437" s="54"/>
      <c r="Y437" s="54"/>
      <c r="Z437" s="54"/>
      <c r="AA437" s="54"/>
      <c r="AB437" s="54"/>
      <c r="AC437" s="54"/>
      <c r="AD437" s="54"/>
      <c r="AE437" s="54"/>
      <c r="AF437" s="54"/>
      <c r="AG437" s="54"/>
      <c r="AH437" s="54"/>
      <c r="AI437" s="117">
        <f t="shared" si="19"/>
        <v>259705.30233816718</v>
      </c>
      <c r="AJ437" s="117">
        <f t="shared" si="20"/>
        <v>259705.30233816718</v>
      </c>
      <c r="AK437" s="117">
        <f t="shared" si="21"/>
        <v>0</v>
      </c>
      <c r="AL437" s="23"/>
      <c r="AM437" s="127" t="b">
        <f t="shared" si="22"/>
        <v>0</v>
      </c>
      <c r="AN437" s="127" t="str">
        <f t="shared" si="23"/>
        <v/>
      </c>
      <c r="AO437" s="129"/>
      <c r="AP437" s="129">
        <v>1</v>
      </c>
      <c r="AQ437" s="129">
        <v>1</v>
      </c>
      <c r="AR437" s="129"/>
      <c r="AS437" s="129"/>
      <c r="AT437" s="129"/>
      <c r="AU437" s="129"/>
      <c r="AV437" s="129"/>
      <c r="AW437" s="129"/>
      <c r="AX437" s="197"/>
      <c r="AY437" s="197"/>
      <c r="AZ437" s="197"/>
      <c r="BA437" s="197">
        <v>1</v>
      </c>
      <c r="BB437" s="129">
        <v>1</v>
      </c>
      <c r="BC437" s="129">
        <v>1</v>
      </c>
      <c r="BD437" s="129">
        <v>1</v>
      </c>
      <c r="BE437" s="129">
        <v>1</v>
      </c>
      <c r="BF437" s="129">
        <v>1</v>
      </c>
      <c r="BG437" s="129">
        <v>1</v>
      </c>
      <c r="BH437" s="129">
        <v>1</v>
      </c>
      <c r="BI437" s="129">
        <v>1</v>
      </c>
      <c r="BJ437" s="129">
        <v>1</v>
      </c>
      <c r="BK437" s="129">
        <v>1</v>
      </c>
      <c r="BL437" s="129"/>
      <c r="BM437" s="197"/>
    </row>
    <row r="438" spans="1:65" x14ac:dyDescent="0.25">
      <c r="A438" s="171" t="s">
        <v>44</v>
      </c>
      <c r="B438" s="171" t="s">
        <v>27</v>
      </c>
      <c r="C438" s="172" t="s">
        <v>371</v>
      </c>
      <c r="D438" s="161">
        <v>2</v>
      </c>
      <c r="E438" s="29" t="str">
        <f t="shared" si="18"/>
        <v>Expected real return (excl forecast asset revaluations)</v>
      </c>
      <c r="F438" s="122">
        <v>9973.674149043025</v>
      </c>
      <c r="G438" s="122">
        <v>9729.408248809912</v>
      </c>
      <c r="H438" s="122">
        <v>2433.0216933029615</v>
      </c>
      <c r="I438" s="122">
        <v>4797.3041282631038</v>
      </c>
      <c r="J438" s="122">
        <v>7327.3104186092423</v>
      </c>
      <c r="K438" s="122">
        <v>2763.6410854061105</v>
      </c>
      <c r="L438" s="122">
        <v>3986.0568909066128</v>
      </c>
      <c r="M438" s="122">
        <v>1466.941049424265</v>
      </c>
      <c r="N438" s="122">
        <v>7134.8271425651164</v>
      </c>
      <c r="O438" s="122">
        <v>7313.7563714231874</v>
      </c>
      <c r="P438" s="122">
        <v>57976.395598369389</v>
      </c>
      <c r="Q438" s="122">
        <v>6506.6133779145239</v>
      </c>
      <c r="R438" s="122">
        <v>6745.0151246236719</v>
      </c>
      <c r="S438" s="122">
        <v>21081.73198019866</v>
      </c>
      <c r="T438" s="122">
        <v>89863.802993584686</v>
      </c>
      <c r="U438" s="122">
        <v>28997.627811837228</v>
      </c>
      <c r="V438" s="122"/>
      <c r="W438" s="54"/>
      <c r="X438" s="54"/>
      <c r="Y438" s="54"/>
      <c r="Z438" s="54"/>
      <c r="AA438" s="54"/>
      <c r="AB438" s="54"/>
      <c r="AC438" s="54"/>
      <c r="AD438" s="54"/>
      <c r="AE438" s="54"/>
      <c r="AF438" s="54"/>
      <c r="AG438" s="54"/>
      <c r="AH438" s="54"/>
      <c r="AI438" s="117">
        <f t="shared" si="19"/>
        <v>268097.12806428171</v>
      </c>
      <c r="AJ438" s="117">
        <f t="shared" si="20"/>
        <v>268097.12806428171</v>
      </c>
      <c r="AK438" s="117">
        <f t="shared" si="21"/>
        <v>0</v>
      </c>
      <c r="AL438" s="23"/>
      <c r="AM438" s="127" t="b">
        <f t="shared" si="22"/>
        <v>0</v>
      </c>
      <c r="AN438" s="127" t="str">
        <f t="shared" si="23"/>
        <v/>
      </c>
      <c r="AO438" s="129"/>
      <c r="AP438" s="129">
        <v>1</v>
      </c>
      <c r="AQ438" s="129">
        <v>1</v>
      </c>
      <c r="AR438" s="129"/>
      <c r="AS438" s="129"/>
      <c r="AT438" s="129"/>
      <c r="AU438" s="129"/>
      <c r="AV438" s="129"/>
      <c r="AW438" s="129"/>
      <c r="AX438" s="197"/>
      <c r="AY438" s="197"/>
      <c r="AZ438" s="197"/>
      <c r="BA438" s="197">
        <v>1</v>
      </c>
      <c r="BB438" s="129">
        <v>1</v>
      </c>
      <c r="BC438" s="129">
        <v>1</v>
      </c>
      <c r="BD438" s="129">
        <v>1</v>
      </c>
      <c r="BE438" s="129">
        <v>1</v>
      </c>
      <c r="BF438" s="129">
        <v>1</v>
      </c>
      <c r="BG438" s="129">
        <v>1</v>
      </c>
      <c r="BH438" s="129">
        <v>1</v>
      </c>
      <c r="BI438" s="129">
        <v>1</v>
      </c>
      <c r="BJ438" s="129">
        <v>1</v>
      </c>
      <c r="BK438" s="129">
        <v>1</v>
      </c>
      <c r="BL438" s="129"/>
      <c r="BM438" s="197"/>
    </row>
    <row r="439" spans="1:65" x14ac:dyDescent="0.25">
      <c r="A439" s="121"/>
      <c r="B439" s="121"/>
      <c r="C439" s="172"/>
      <c r="D439" s="49"/>
      <c r="E439" s="49"/>
      <c r="F439" s="54"/>
      <c r="G439" s="54"/>
      <c r="H439" s="54"/>
      <c r="I439" s="54"/>
      <c r="J439" s="54"/>
      <c r="K439" s="54"/>
      <c r="L439" s="54"/>
      <c r="M439" s="54"/>
      <c r="N439" s="54"/>
      <c r="O439" s="54"/>
      <c r="P439" s="54"/>
      <c r="Q439" s="54"/>
      <c r="R439" s="54"/>
      <c r="S439" s="54"/>
      <c r="T439" s="54"/>
      <c r="U439" s="54"/>
      <c r="V439" s="54"/>
      <c r="W439" s="54"/>
      <c r="X439" s="54"/>
      <c r="Y439" s="54"/>
      <c r="Z439" s="54"/>
      <c r="AA439" s="54"/>
      <c r="AB439" s="54"/>
      <c r="AC439" s="54"/>
      <c r="AD439" s="54"/>
      <c r="AE439" s="54"/>
      <c r="AF439" s="54"/>
      <c r="AG439" s="54"/>
      <c r="AH439" s="54"/>
      <c r="AI439" s="54"/>
      <c r="AJ439" s="54"/>
      <c r="AK439" s="54"/>
      <c r="AL439" s="23"/>
      <c r="AM439" s="127"/>
      <c r="AN439" s="127"/>
      <c r="AO439" s="129"/>
      <c r="AP439" s="129"/>
      <c r="AQ439" s="129"/>
      <c r="AR439" s="129"/>
      <c r="AS439" s="129"/>
      <c r="AT439" s="129"/>
      <c r="AU439" s="129"/>
      <c r="AV439" s="129"/>
      <c r="AW439" s="129"/>
      <c r="AX439" s="197"/>
      <c r="AY439" s="197"/>
      <c r="AZ439" s="197"/>
      <c r="BA439" s="197"/>
      <c r="BB439" s="129"/>
      <c r="BC439" s="129"/>
      <c r="BD439" s="129"/>
      <c r="BE439" s="129"/>
      <c r="BF439" s="129"/>
      <c r="BG439" s="129"/>
      <c r="BH439" s="129"/>
      <c r="BI439" s="129"/>
      <c r="BJ439" s="129"/>
      <c r="BK439" s="129"/>
      <c r="BL439" s="129"/>
      <c r="BM439" s="197"/>
    </row>
    <row r="440" spans="1:65" x14ac:dyDescent="0.25">
      <c r="A440" s="121"/>
      <c r="B440" s="121"/>
      <c r="C440" s="172"/>
      <c r="D440" s="46"/>
      <c r="E440" s="46"/>
      <c r="F440" s="54"/>
      <c r="G440" s="54"/>
      <c r="H440" s="54"/>
      <c r="I440" s="54"/>
      <c r="J440" s="54"/>
      <c r="K440" s="54"/>
      <c r="L440" s="54"/>
      <c r="M440" s="54"/>
      <c r="N440" s="54"/>
      <c r="O440" s="54"/>
      <c r="P440" s="54"/>
      <c r="Q440" s="54"/>
      <c r="R440" s="54"/>
      <c r="S440" s="54"/>
      <c r="T440" s="54"/>
      <c r="U440" s="54"/>
      <c r="V440" s="54"/>
      <c r="W440" s="55"/>
      <c r="X440" s="55"/>
      <c r="Y440" s="55"/>
      <c r="Z440" s="55"/>
      <c r="AA440" s="55"/>
      <c r="AB440" s="55"/>
      <c r="AC440" s="55"/>
      <c r="AD440" s="55"/>
      <c r="AE440" s="55"/>
      <c r="AF440" s="55"/>
      <c r="AG440" s="55"/>
      <c r="AH440" s="55"/>
      <c r="AI440" s="54"/>
      <c r="AJ440" s="54"/>
      <c r="AK440" s="54"/>
      <c r="AL440" s="23"/>
      <c r="AM440" s="127"/>
      <c r="AN440" s="127"/>
      <c r="AO440" s="129"/>
      <c r="AP440" s="129"/>
      <c r="AQ440" s="129"/>
      <c r="AR440" s="129"/>
      <c r="AS440" s="129"/>
      <c r="AT440" s="129"/>
      <c r="AU440" s="129"/>
      <c r="AV440" s="129"/>
      <c r="AW440" s="129"/>
      <c r="AX440" s="197"/>
      <c r="AY440" s="197"/>
      <c r="AZ440" s="197"/>
      <c r="BA440" s="197"/>
      <c r="BB440" s="129"/>
      <c r="BC440" s="129"/>
      <c r="BD440" s="129"/>
      <c r="BE440" s="129"/>
      <c r="BF440" s="129"/>
      <c r="BG440" s="129"/>
      <c r="BH440" s="129"/>
      <c r="BI440" s="129"/>
      <c r="BJ440" s="129"/>
      <c r="BK440" s="129"/>
      <c r="BL440" s="129"/>
      <c r="BM440" s="197"/>
    </row>
    <row r="441" spans="1:65" x14ac:dyDescent="0.25">
      <c r="A441" s="121" t="s">
        <v>44</v>
      </c>
      <c r="B441" s="121" t="s">
        <v>22</v>
      </c>
      <c r="C441" s="172" t="s">
        <v>370</v>
      </c>
      <c r="D441" s="161">
        <v>4</v>
      </c>
      <c r="E441" s="29" t="str">
        <f t="shared" ref="E441:E446" si="24">INDEX(ra_ScName,MATCH(D441,ra_ScNumber,0))</f>
        <v>Net additions prior to 1 April 2012</v>
      </c>
      <c r="F441" s="122">
        <v>7644</v>
      </c>
      <c r="G441" s="122">
        <v>7786</v>
      </c>
      <c r="H441" s="122">
        <v>2023</v>
      </c>
      <c r="I441" s="122">
        <v>4225</v>
      </c>
      <c r="J441" s="122">
        <v>5894</v>
      </c>
      <c r="K441" s="122">
        <v>2382</v>
      </c>
      <c r="L441" s="122">
        <v>3449</v>
      </c>
      <c r="M441" s="122">
        <v>1084.6002031156527</v>
      </c>
      <c r="N441" s="122">
        <v>6387.6247468541751</v>
      </c>
      <c r="O441" s="122">
        <v>6303</v>
      </c>
      <c r="P441" s="122">
        <v>52422</v>
      </c>
      <c r="Q441" s="122">
        <v>5635.3221811466228</v>
      </c>
      <c r="R441" s="122">
        <v>5234</v>
      </c>
      <c r="S441" s="122">
        <v>16649.2682399277</v>
      </c>
      <c r="T441" s="122">
        <v>76573.310789910291</v>
      </c>
      <c r="U441" s="122">
        <v>25343.756747688079</v>
      </c>
      <c r="V441" s="122"/>
      <c r="W441" s="54"/>
      <c r="X441" s="54"/>
      <c r="Y441" s="54"/>
      <c r="Z441" s="54"/>
      <c r="AA441" s="54"/>
      <c r="AB441" s="54"/>
      <c r="AC441" s="54"/>
      <c r="AD441" s="54"/>
      <c r="AE441" s="54"/>
      <c r="AF441" s="54"/>
      <c r="AG441" s="54"/>
      <c r="AH441" s="54"/>
      <c r="AI441" s="117">
        <f t="shared" ref="AI441:AI446" si="25">SUM(F441:AH441)</f>
        <v>229035.8829086425</v>
      </c>
      <c r="AJ441" s="117">
        <f t="shared" ref="AJ441:AJ446" si="26">SUM(F441:U441)</f>
        <v>229035.8829086425</v>
      </c>
      <c r="AK441" s="117">
        <f t="shared" ref="AK441:AK446" si="27">SUM(W441:AH441)</f>
        <v>0</v>
      </c>
      <c r="AL441" s="23"/>
      <c r="AM441" s="127" t="b">
        <f t="shared" ref="AM441:AM446" si="28">IF(INDEX($AO441:$BM441,0,$F$14)=1,TRUE,FALSE)</f>
        <v>0</v>
      </c>
      <c r="AN441" s="127" t="str">
        <f t="shared" ref="AN441:AN446" si="29">IF(AM441,A441&amp;", "&amp;B441,"")</f>
        <v/>
      </c>
      <c r="AO441" s="129"/>
      <c r="AP441" s="129"/>
      <c r="AQ441" s="129"/>
      <c r="AR441" s="129">
        <v>1</v>
      </c>
      <c r="AS441" s="129"/>
      <c r="AT441" s="129"/>
      <c r="AU441" s="129"/>
      <c r="AV441" s="129"/>
      <c r="AW441" s="129"/>
      <c r="AX441" s="197"/>
      <c r="AY441" s="197"/>
      <c r="AZ441" s="197"/>
      <c r="BA441" s="197"/>
      <c r="BB441" s="129"/>
      <c r="BC441" s="129"/>
      <c r="BD441" s="129"/>
      <c r="BE441" s="129"/>
      <c r="BF441" s="129"/>
      <c r="BG441" s="129"/>
      <c r="BH441" s="129"/>
      <c r="BI441" s="129"/>
      <c r="BJ441" s="129"/>
      <c r="BK441" s="129"/>
      <c r="BL441" s="129"/>
      <c r="BM441" s="197"/>
    </row>
    <row r="442" spans="1:65" x14ac:dyDescent="0.25">
      <c r="A442" s="121" t="s">
        <v>44</v>
      </c>
      <c r="B442" s="121" t="s">
        <v>23</v>
      </c>
      <c r="C442" s="172" t="s">
        <v>370</v>
      </c>
      <c r="D442" s="161">
        <v>4</v>
      </c>
      <c r="E442" s="29" t="str">
        <f t="shared" si="24"/>
        <v>Net additions prior to 1 April 2012</v>
      </c>
      <c r="F442" s="122">
        <v>7761.3029581220562</v>
      </c>
      <c r="G442" s="122">
        <v>8081.7333333333336</v>
      </c>
      <c r="H442" s="122">
        <v>2078.9835143810369</v>
      </c>
      <c r="I442" s="122">
        <v>4334.231845352957</v>
      </c>
      <c r="J442" s="122">
        <v>6168.2436097180789</v>
      </c>
      <c r="K442" s="122">
        <v>2446.6052171407432</v>
      </c>
      <c r="L442" s="122">
        <v>3495.6234094332171</v>
      </c>
      <c r="M442" s="122">
        <v>1112.1113142267639</v>
      </c>
      <c r="N442" s="122">
        <v>6483.4469690763963</v>
      </c>
      <c r="O442" s="122">
        <v>6418.333333333333</v>
      </c>
      <c r="P442" s="122">
        <v>53337.872898626425</v>
      </c>
      <c r="Q442" s="122">
        <v>5795.7716123642067</v>
      </c>
      <c r="R442" s="122">
        <v>5376.2517526675592</v>
      </c>
      <c r="S442" s="122">
        <v>17426.695562926536</v>
      </c>
      <c r="T442" s="122">
        <v>79257.518297225819</v>
      </c>
      <c r="U442" s="122">
        <v>26111.326352307129</v>
      </c>
      <c r="V442" s="122"/>
      <c r="W442" s="54"/>
      <c r="X442" s="54"/>
      <c r="Y442" s="54"/>
      <c r="Z442" s="54"/>
      <c r="AA442" s="54"/>
      <c r="AB442" s="54"/>
      <c r="AC442" s="54"/>
      <c r="AD442" s="54"/>
      <c r="AE442" s="54"/>
      <c r="AF442" s="54"/>
      <c r="AG442" s="54"/>
      <c r="AH442" s="54"/>
      <c r="AI442" s="117">
        <f t="shared" si="25"/>
        <v>235686.05198023561</v>
      </c>
      <c r="AJ442" s="117">
        <f t="shared" si="26"/>
        <v>235686.05198023561</v>
      </c>
      <c r="AK442" s="117">
        <f t="shared" si="27"/>
        <v>0</v>
      </c>
      <c r="AL442" s="23"/>
      <c r="AM442" s="127" t="b">
        <f t="shared" si="28"/>
        <v>0</v>
      </c>
      <c r="AN442" s="127" t="str">
        <f t="shared" si="29"/>
        <v/>
      </c>
      <c r="AO442" s="129"/>
      <c r="AP442" s="129"/>
      <c r="AQ442" s="129"/>
      <c r="AR442" s="129">
        <v>1</v>
      </c>
      <c r="AS442" s="129"/>
      <c r="AT442" s="129"/>
      <c r="AU442" s="129"/>
      <c r="AV442" s="129"/>
      <c r="AW442" s="129"/>
      <c r="AX442" s="197"/>
      <c r="AY442" s="197"/>
      <c r="AZ442" s="197"/>
      <c r="BA442" s="197"/>
      <c r="BB442" s="129"/>
      <c r="BC442" s="129"/>
      <c r="BD442" s="129"/>
      <c r="BE442" s="129"/>
      <c r="BF442" s="129"/>
      <c r="BG442" s="129"/>
      <c r="BH442" s="129"/>
      <c r="BI442" s="129"/>
      <c r="BJ442" s="129"/>
      <c r="BK442" s="129"/>
      <c r="BL442" s="129"/>
      <c r="BM442" s="197"/>
    </row>
    <row r="443" spans="1:65" x14ac:dyDescent="0.25">
      <c r="A443" s="121" t="s">
        <v>44</v>
      </c>
      <c r="B443" s="121" t="s">
        <v>24</v>
      </c>
      <c r="C443" s="172" t="s">
        <v>370</v>
      </c>
      <c r="D443" s="161">
        <v>4</v>
      </c>
      <c r="E443" s="29" t="str">
        <f t="shared" si="24"/>
        <v>Net additions prior to 1 April 2012</v>
      </c>
      <c r="F443" s="122">
        <v>7971.1191502295596</v>
      </c>
      <c r="G443" s="122">
        <v>8439.549361187539</v>
      </c>
      <c r="H443" s="122">
        <v>2241.8366194921477</v>
      </c>
      <c r="I443" s="122">
        <v>4438.1993635940416</v>
      </c>
      <c r="J443" s="122">
        <v>6529.4623330817103</v>
      </c>
      <c r="K443" s="122">
        <v>2499.7593646279029</v>
      </c>
      <c r="L443" s="122">
        <v>3575.7361748319199</v>
      </c>
      <c r="M443" s="122">
        <v>1158.6224253378748</v>
      </c>
      <c r="N443" s="122">
        <v>6588.908323478835</v>
      </c>
      <c r="O443" s="122">
        <v>6578.8394437432808</v>
      </c>
      <c r="P443" s="122">
        <v>54612.481272064746</v>
      </c>
      <c r="Q443" s="122">
        <v>5943.3029621138057</v>
      </c>
      <c r="R443" s="122">
        <v>5611.242399774279</v>
      </c>
      <c r="S443" s="122">
        <v>18113.876235809708</v>
      </c>
      <c r="T443" s="122">
        <v>81692.138092521898</v>
      </c>
      <c r="U443" s="122">
        <v>26582.09866043723</v>
      </c>
      <c r="V443" s="122"/>
      <c r="W443" s="54"/>
      <c r="X443" s="54"/>
      <c r="Y443" s="54"/>
      <c r="Z443" s="54"/>
      <c r="AA443" s="54"/>
      <c r="AB443" s="54"/>
      <c r="AC443" s="54"/>
      <c r="AD443" s="54"/>
      <c r="AE443" s="54"/>
      <c r="AF443" s="54"/>
      <c r="AG443" s="54"/>
      <c r="AH443" s="54"/>
      <c r="AI443" s="117">
        <f t="shared" si="25"/>
        <v>242577.1721823265</v>
      </c>
      <c r="AJ443" s="117">
        <f t="shared" si="26"/>
        <v>242577.1721823265</v>
      </c>
      <c r="AK443" s="117">
        <f t="shared" si="27"/>
        <v>0</v>
      </c>
      <c r="AL443" s="23"/>
      <c r="AM443" s="127" t="b">
        <f t="shared" si="28"/>
        <v>0</v>
      </c>
      <c r="AN443" s="127" t="str">
        <f t="shared" si="29"/>
        <v/>
      </c>
      <c r="AO443" s="129"/>
      <c r="AP443" s="129"/>
      <c r="AQ443" s="129"/>
      <c r="AR443" s="129">
        <v>1</v>
      </c>
      <c r="AS443" s="129"/>
      <c r="AT443" s="129"/>
      <c r="AU443" s="129"/>
      <c r="AV443" s="129"/>
      <c r="AW443" s="129"/>
      <c r="AX443" s="197"/>
      <c r="AY443" s="197"/>
      <c r="AZ443" s="197"/>
      <c r="BA443" s="197"/>
      <c r="BB443" s="129"/>
      <c r="BC443" s="129"/>
      <c r="BD443" s="129"/>
      <c r="BE443" s="129"/>
      <c r="BF443" s="129"/>
      <c r="BG443" s="129"/>
      <c r="BH443" s="129"/>
      <c r="BI443" s="129"/>
      <c r="BJ443" s="129"/>
      <c r="BK443" s="129"/>
      <c r="BL443" s="129"/>
      <c r="BM443" s="197"/>
    </row>
    <row r="444" spans="1:65" x14ac:dyDescent="0.25">
      <c r="A444" s="121" t="s">
        <v>44</v>
      </c>
      <c r="B444" s="121" t="s">
        <v>25</v>
      </c>
      <c r="C444" s="172" t="s">
        <v>370</v>
      </c>
      <c r="D444" s="161">
        <v>4</v>
      </c>
      <c r="E444" s="29" t="str">
        <f t="shared" si="24"/>
        <v>Net additions prior to 1 April 2012</v>
      </c>
      <c r="F444" s="122">
        <v>8131.2992146668739</v>
      </c>
      <c r="G444" s="122">
        <v>8705.6565126241185</v>
      </c>
      <c r="H444" s="122">
        <v>2302.6887192699255</v>
      </c>
      <c r="I444" s="122">
        <v>4540.7876636976562</v>
      </c>
      <c r="J444" s="122">
        <v>6751.5353904311378</v>
      </c>
      <c r="K444" s="122">
        <v>2547.7436536620908</v>
      </c>
      <c r="L444" s="122">
        <v>3647.8005305611873</v>
      </c>
      <c r="M444" s="122">
        <v>1179.1113142267639</v>
      </c>
      <c r="N444" s="122">
        <v>6641.1481974918624</v>
      </c>
      <c r="O444" s="122">
        <v>6702.481604443311</v>
      </c>
      <c r="P444" s="122">
        <v>55648.915501300165</v>
      </c>
      <c r="Q444" s="122">
        <v>6139.043183352057</v>
      </c>
      <c r="R444" s="122">
        <v>5916.2274004103319</v>
      </c>
      <c r="S444" s="122">
        <v>18584.602303432934</v>
      </c>
      <c r="T444" s="122">
        <v>83328.401473344464</v>
      </c>
      <c r="U444" s="122">
        <v>26930.809771548342</v>
      </c>
      <c r="V444" s="122"/>
      <c r="W444" s="54"/>
      <c r="X444" s="54"/>
      <c r="Y444" s="54"/>
      <c r="Z444" s="54"/>
      <c r="AA444" s="54"/>
      <c r="AB444" s="54"/>
      <c r="AC444" s="54"/>
      <c r="AD444" s="54"/>
      <c r="AE444" s="54"/>
      <c r="AF444" s="54"/>
      <c r="AG444" s="54"/>
      <c r="AH444" s="54"/>
      <c r="AI444" s="117">
        <f t="shared" si="25"/>
        <v>247698.25243446321</v>
      </c>
      <c r="AJ444" s="117">
        <f t="shared" si="26"/>
        <v>247698.25243446321</v>
      </c>
      <c r="AK444" s="117">
        <f t="shared" si="27"/>
        <v>0</v>
      </c>
      <c r="AL444" s="23"/>
      <c r="AM444" s="127" t="b">
        <f t="shared" si="28"/>
        <v>0</v>
      </c>
      <c r="AN444" s="127" t="str">
        <f t="shared" si="29"/>
        <v/>
      </c>
      <c r="AO444" s="129"/>
      <c r="AP444" s="129"/>
      <c r="AQ444" s="129"/>
      <c r="AR444" s="129">
        <v>1</v>
      </c>
      <c r="AS444" s="129"/>
      <c r="AT444" s="129"/>
      <c r="AU444" s="129"/>
      <c r="AV444" s="129"/>
      <c r="AW444" s="129"/>
      <c r="AX444" s="197"/>
      <c r="AY444" s="197"/>
      <c r="AZ444" s="197"/>
      <c r="BA444" s="197"/>
      <c r="BB444" s="129"/>
      <c r="BC444" s="129"/>
      <c r="BD444" s="129"/>
      <c r="BE444" s="129"/>
      <c r="BF444" s="129"/>
      <c r="BG444" s="129"/>
      <c r="BH444" s="129"/>
      <c r="BI444" s="129"/>
      <c r="BJ444" s="129"/>
      <c r="BK444" s="129"/>
      <c r="BL444" s="129"/>
      <c r="BM444" s="197"/>
    </row>
    <row r="445" spans="1:65" x14ac:dyDescent="0.25">
      <c r="A445" s="121" t="s">
        <v>44</v>
      </c>
      <c r="B445" s="121" t="s">
        <v>26</v>
      </c>
      <c r="C445" s="172" t="s">
        <v>370</v>
      </c>
      <c r="D445" s="161">
        <v>4</v>
      </c>
      <c r="E445" s="29" t="str">
        <f t="shared" si="24"/>
        <v>Net additions prior to 1 April 2012</v>
      </c>
      <c r="F445" s="122">
        <v>8748.3357490569324</v>
      </c>
      <c r="G445" s="122">
        <v>9077.6841477261896</v>
      </c>
      <c r="H445" s="122">
        <v>2384.7016261514477</v>
      </c>
      <c r="I445" s="122">
        <v>4659.6684505771682</v>
      </c>
      <c r="J445" s="122">
        <v>6916.8837753390981</v>
      </c>
      <c r="K445" s="122">
        <v>2624.5220763938137</v>
      </c>
      <c r="L445" s="122">
        <v>3771.6973804675545</v>
      </c>
      <c r="M445" s="122">
        <v>1221.4620656616394</v>
      </c>
      <c r="N445" s="122">
        <v>6783.1656040100088</v>
      </c>
      <c r="O445" s="122">
        <v>6932.8409726021819</v>
      </c>
      <c r="P445" s="122">
        <v>56783.87495865034</v>
      </c>
      <c r="Q445" s="122">
        <v>6326.7855133463881</v>
      </c>
      <c r="R445" s="122">
        <v>6260.5994315888029</v>
      </c>
      <c r="S445" s="122">
        <v>19545.772136399613</v>
      </c>
      <c r="T445" s="122">
        <v>86214.387704741734</v>
      </c>
      <c r="U445" s="122">
        <v>27698.78825235198</v>
      </c>
      <c r="V445" s="122"/>
      <c r="W445" s="54"/>
      <c r="X445" s="54"/>
      <c r="Y445" s="54"/>
      <c r="Z445" s="54"/>
      <c r="AA445" s="54"/>
      <c r="AB445" s="54"/>
      <c r="AC445" s="54"/>
      <c r="AD445" s="54"/>
      <c r="AE445" s="54"/>
      <c r="AF445" s="54"/>
      <c r="AG445" s="54"/>
      <c r="AH445" s="54"/>
      <c r="AI445" s="117">
        <f t="shared" si="25"/>
        <v>255951.1698450649</v>
      </c>
      <c r="AJ445" s="117">
        <f t="shared" si="26"/>
        <v>255951.1698450649</v>
      </c>
      <c r="AK445" s="117">
        <f t="shared" si="27"/>
        <v>0</v>
      </c>
      <c r="AL445" s="23"/>
      <c r="AM445" s="127" t="b">
        <f t="shared" si="28"/>
        <v>0</v>
      </c>
      <c r="AN445" s="127" t="str">
        <f t="shared" si="29"/>
        <v/>
      </c>
      <c r="AO445" s="129"/>
      <c r="AP445" s="129"/>
      <c r="AQ445" s="129"/>
      <c r="AR445" s="129">
        <v>1</v>
      </c>
      <c r="AS445" s="129"/>
      <c r="AT445" s="129"/>
      <c r="AU445" s="129"/>
      <c r="AV445" s="129"/>
      <c r="AW445" s="129"/>
      <c r="AX445" s="197"/>
      <c r="AY445" s="197"/>
      <c r="AZ445" s="197"/>
      <c r="BA445" s="197"/>
      <c r="BB445" s="129"/>
      <c r="BC445" s="129"/>
      <c r="BD445" s="129"/>
      <c r="BE445" s="129"/>
      <c r="BF445" s="129"/>
      <c r="BG445" s="129"/>
      <c r="BH445" s="129"/>
      <c r="BI445" s="129"/>
      <c r="BJ445" s="129"/>
      <c r="BK445" s="129"/>
      <c r="BL445" s="129"/>
      <c r="BM445" s="197"/>
    </row>
    <row r="446" spans="1:65" x14ac:dyDescent="0.25">
      <c r="A446" s="121" t="s">
        <v>44</v>
      </c>
      <c r="B446" s="121" t="s">
        <v>27</v>
      </c>
      <c r="C446" s="172" t="s">
        <v>370</v>
      </c>
      <c r="D446" s="161">
        <v>4</v>
      </c>
      <c r="E446" s="29" t="str">
        <f t="shared" si="24"/>
        <v>Net additions prior to 1 April 2012</v>
      </c>
      <c r="F446" s="122">
        <v>9158.1371285320874</v>
      </c>
      <c r="G446" s="122">
        <v>9536.3405062953098</v>
      </c>
      <c r="H446" s="122">
        <v>2453.0571808047771</v>
      </c>
      <c r="I446" s="122">
        <v>4779.1837222024433</v>
      </c>
      <c r="J446" s="122">
        <v>7112.7565952601153</v>
      </c>
      <c r="K446" s="122">
        <v>2693.2594965061744</v>
      </c>
      <c r="L446" s="122">
        <v>3867.3903603700992</v>
      </c>
      <c r="M446" s="122">
        <v>1256.094250935321</v>
      </c>
      <c r="N446" s="122">
        <v>6908.2971079049084</v>
      </c>
      <c r="O446" s="122">
        <v>7161.9634179776813</v>
      </c>
      <c r="P446" s="122">
        <v>58011.660075724649</v>
      </c>
      <c r="Q446" s="122">
        <v>6527.5197555408631</v>
      </c>
      <c r="R446" s="122">
        <v>6593.3056190536736</v>
      </c>
      <c r="S446" s="122">
        <v>20564.519700427623</v>
      </c>
      <c r="T446" s="122">
        <v>89301.106804337323</v>
      </c>
      <c r="U446" s="122">
        <v>28480.514437888916</v>
      </c>
      <c r="V446" s="122"/>
      <c r="W446" s="54"/>
      <c r="X446" s="54"/>
      <c r="Y446" s="54"/>
      <c r="Z446" s="54"/>
      <c r="AA446" s="54"/>
      <c r="AB446" s="54"/>
      <c r="AC446" s="54"/>
      <c r="AD446" s="54"/>
      <c r="AE446" s="54"/>
      <c r="AF446" s="54"/>
      <c r="AG446" s="54"/>
      <c r="AH446" s="54"/>
      <c r="AI446" s="117">
        <f t="shared" si="25"/>
        <v>264405.10615976196</v>
      </c>
      <c r="AJ446" s="117">
        <f t="shared" si="26"/>
        <v>264405.10615976196</v>
      </c>
      <c r="AK446" s="117">
        <f t="shared" si="27"/>
        <v>0</v>
      </c>
      <c r="AL446" s="23"/>
      <c r="AM446" s="127" t="b">
        <f t="shared" si="28"/>
        <v>0</v>
      </c>
      <c r="AN446" s="127" t="str">
        <f t="shared" si="29"/>
        <v/>
      </c>
      <c r="AO446" s="129"/>
      <c r="AP446" s="129"/>
      <c r="AQ446" s="129"/>
      <c r="AR446" s="129">
        <v>1</v>
      </c>
      <c r="AS446" s="129"/>
      <c r="AT446" s="129"/>
      <c r="AU446" s="129"/>
      <c r="AV446" s="129"/>
      <c r="AW446" s="129"/>
      <c r="AX446" s="197"/>
      <c r="AY446" s="197"/>
      <c r="AZ446" s="197"/>
      <c r="BA446" s="197"/>
      <c r="BB446" s="129"/>
      <c r="BC446" s="129"/>
      <c r="BD446" s="129"/>
      <c r="BE446" s="129"/>
      <c r="BF446" s="129"/>
      <c r="BG446" s="129"/>
      <c r="BH446" s="129"/>
      <c r="BI446" s="129"/>
      <c r="BJ446" s="129"/>
      <c r="BK446" s="129"/>
      <c r="BL446" s="129"/>
      <c r="BM446" s="197"/>
    </row>
    <row r="447" spans="1:65" x14ac:dyDescent="0.25">
      <c r="A447" s="121"/>
      <c r="B447" s="121"/>
      <c r="C447" s="172"/>
      <c r="D447" s="49"/>
      <c r="E447" s="49"/>
      <c r="F447" s="54"/>
      <c r="G447" s="54"/>
      <c r="H447" s="54"/>
      <c r="I447" s="54"/>
      <c r="J447" s="54"/>
      <c r="K447" s="54"/>
      <c r="L447" s="54"/>
      <c r="M447" s="54"/>
      <c r="N447" s="54"/>
      <c r="O447" s="54"/>
      <c r="P447" s="54"/>
      <c r="Q447" s="55"/>
      <c r="R447" s="54"/>
      <c r="S447" s="54"/>
      <c r="T447" s="54"/>
      <c r="U447" s="54"/>
      <c r="V447" s="54"/>
      <c r="W447" s="55"/>
      <c r="X447" s="55"/>
      <c r="Y447" s="55"/>
      <c r="Z447" s="55"/>
      <c r="AA447" s="55"/>
      <c r="AB447" s="55"/>
      <c r="AC447" s="55"/>
      <c r="AD447" s="55"/>
      <c r="AE447" s="55"/>
      <c r="AF447" s="55"/>
      <c r="AG447" s="55"/>
      <c r="AH447" s="55"/>
      <c r="AI447" s="54"/>
      <c r="AJ447" s="54"/>
      <c r="AK447" s="54"/>
      <c r="AL447" s="23"/>
      <c r="AM447" s="127"/>
      <c r="AN447" s="127"/>
      <c r="AO447" s="129"/>
      <c r="AP447" s="129"/>
      <c r="AQ447" s="129"/>
      <c r="AR447" s="129"/>
      <c r="AS447" s="129"/>
      <c r="AT447" s="129"/>
      <c r="AU447" s="129"/>
      <c r="AV447" s="129"/>
      <c r="AW447" s="129"/>
      <c r="AX447" s="197"/>
      <c r="AY447" s="197"/>
      <c r="AZ447" s="197"/>
      <c r="BA447" s="197"/>
      <c r="BB447" s="129"/>
      <c r="BC447" s="129"/>
      <c r="BD447" s="129"/>
      <c r="BE447" s="129"/>
      <c r="BF447" s="129"/>
      <c r="BG447" s="129"/>
      <c r="BH447" s="129"/>
      <c r="BI447" s="129"/>
      <c r="BJ447" s="129"/>
      <c r="BK447" s="129"/>
      <c r="BL447" s="129"/>
      <c r="BM447" s="197"/>
    </row>
    <row r="448" spans="1:65" x14ac:dyDescent="0.25">
      <c r="A448" s="121"/>
      <c r="B448" s="121"/>
      <c r="C448" s="172"/>
      <c r="D448" s="46"/>
      <c r="E448" s="46"/>
      <c r="F448" s="54"/>
      <c r="G448" s="54"/>
      <c r="H448" s="54"/>
      <c r="I448" s="54"/>
      <c r="J448" s="54"/>
      <c r="K448" s="54"/>
      <c r="L448" s="54"/>
      <c r="M448" s="54"/>
      <c r="N448" s="54"/>
      <c r="O448" s="54"/>
      <c r="P448" s="54"/>
      <c r="Q448" s="55"/>
      <c r="R448" s="54"/>
      <c r="S448" s="54"/>
      <c r="T448" s="54"/>
      <c r="U448" s="54"/>
      <c r="V448" s="54"/>
      <c r="W448" s="55"/>
      <c r="X448" s="55"/>
      <c r="Y448" s="55"/>
      <c r="Z448" s="55"/>
      <c r="AA448" s="55"/>
      <c r="AB448" s="55"/>
      <c r="AC448" s="55"/>
      <c r="AD448" s="55"/>
      <c r="AE448" s="55"/>
      <c r="AF448" s="55"/>
      <c r="AG448" s="55"/>
      <c r="AH448" s="55"/>
      <c r="AI448" s="54"/>
      <c r="AJ448" s="54"/>
      <c r="AK448" s="54"/>
      <c r="AL448" s="23"/>
      <c r="AM448" s="127"/>
      <c r="AN448" s="127"/>
      <c r="AO448" s="129"/>
      <c r="AP448" s="129"/>
      <c r="AQ448" s="129"/>
      <c r="AR448" s="129"/>
      <c r="AS448" s="129"/>
      <c r="AT448" s="129"/>
      <c r="AU448" s="129"/>
      <c r="AV448" s="129"/>
      <c r="AW448" s="129"/>
      <c r="AX448" s="197"/>
      <c r="AY448" s="197"/>
      <c r="AZ448" s="197"/>
      <c r="BA448" s="197"/>
      <c r="BB448" s="129"/>
      <c r="BC448" s="129"/>
      <c r="BD448" s="129"/>
      <c r="BE448" s="129"/>
      <c r="BF448" s="129"/>
      <c r="BG448" s="129"/>
      <c r="BH448" s="129"/>
      <c r="BI448" s="129"/>
      <c r="BJ448" s="129"/>
      <c r="BK448" s="129"/>
      <c r="BL448" s="129"/>
      <c r="BM448" s="197"/>
    </row>
    <row r="449" spans="1:65" x14ac:dyDescent="0.25">
      <c r="A449" s="121" t="s">
        <v>44</v>
      </c>
      <c r="B449" s="121" t="s">
        <v>22</v>
      </c>
      <c r="C449" s="172" t="s">
        <v>399</v>
      </c>
      <c r="D449" s="161">
        <v>5</v>
      </c>
      <c r="E449" s="29" t="str">
        <f t="shared" ref="E449:E454" si="30">INDEX(ra_ScName,MATCH(D449,ra_ScNumber,0))</f>
        <v>Input price inflators 2013–15</v>
      </c>
      <c r="F449" s="122">
        <v>7644</v>
      </c>
      <c r="G449" s="122">
        <v>7786</v>
      </c>
      <c r="H449" s="122">
        <v>2023</v>
      </c>
      <c r="I449" s="122">
        <v>4225</v>
      </c>
      <c r="J449" s="122">
        <v>5894</v>
      </c>
      <c r="K449" s="122">
        <v>2382</v>
      </c>
      <c r="L449" s="122">
        <v>3449</v>
      </c>
      <c r="M449" s="122">
        <v>1084.6002031156527</v>
      </c>
      <c r="N449" s="122">
        <v>6387.6247468541751</v>
      </c>
      <c r="O449" s="122">
        <v>6303</v>
      </c>
      <c r="P449" s="122">
        <v>52422</v>
      </c>
      <c r="Q449" s="122">
        <v>5635.3221811466228</v>
      </c>
      <c r="R449" s="122">
        <v>5234</v>
      </c>
      <c r="S449" s="122">
        <v>16649.2682399277</v>
      </c>
      <c r="T449" s="122">
        <v>76573.310789910291</v>
      </c>
      <c r="U449" s="122">
        <v>25343.756747688079</v>
      </c>
      <c r="V449" s="122"/>
      <c r="W449" s="54"/>
      <c r="X449" s="54"/>
      <c r="Y449" s="54"/>
      <c r="Z449" s="54"/>
      <c r="AA449" s="54"/>
      <c r="AB449" s="54"/>
      <c r="AC449" s="54"/>
      <c r="AD449" s="54"/>
      <c r="AE449" s="54"/>
      <c r="AF449" s="54"/>
      <c r="AG449" s="54"/>
      <c r="AH449" s="54"/>
      <c r="AI449" s="117">
        <f t="shared" ref="AI449:AI454" si="31">SUM(F449:AH449)</f>
        <v>229035.8829086425</v>
      </c>
      <c r="AJ449" s="117">
        <f t="shared" ref="AJ449:AJ454" si="32">SUM(F449:U449)</f>
        <v>229035.8829086425</v>
      </c>
      <c r="AK449" s="117">
        <f t="shared" ref="AK449:AK454" si="33">SUM(W449:AH449)</f>
        <v>0</v>
      </c>
      <c r="AL449" s="23"/>
      <c r="AM449" s="127" t="b">
        <f t="shared" ref="AM449:AM454" si="34">IF(INDEX($AO449:$BM449,0,$F$14)=1,TRUE,FALSE)</f>
        <v>0</v>
      </c>
      <c r="AN449" s="127" t="str">
        <f t="shared" ref="AN449:AN454" si="35">IF(AM449,A449&amp;", "&amp;B449,"")</f>
        <v/>
      </c>
      <c r="AO449" s="129"/>
      <c r="AP449" s="129"/>
      <c r="AQ449" s="129"/>
      <c r="AR449" s="129"/>
      <c r="AS449" s="129">
        <v>1</v>
      </c>
      <c r="AT449" s="129">
        <v>1</v>
      </c>
      <c r="AU449" s="129"/>
      <c r="AV449" s="129"/>
      <c r="AW449" s="129"/>
      <c r="AX449" s="197"/>
      <c r="AY449" s="197"/>
      <c r="AZ449" s="197"/>
      <c r="BA449" s="197"/>
      <c r="BB449" s="129"/>
      <c r="BC449" s="129"/>
      <c r="BD449" s="129"/>
      <c r="BE449" s="129"/>
      <c r="BF449" s="129"/>
      <c r="BG449" s="129"/>
      <c r="BH449" s="129"/>
      <c r="BI449" s="129"/>
      <c r="BJ449" s="129"/>
      <c r="BK449" s="129"/>
      <c r="BL449" s="129"/>
      <c r="BM449" s="197"/>
    </row>
    <row r="450" spans="1:65" x14ac:dyDescent="0.25">
      <c r="A450" s="121" t="s">
        <v>44</v>
      </c>
      <c r="B450" s="121" t="s">
        <v>23</v>
      </c>
      <c r="C450" s="172" t="s">
        <v>399</v>
      </c>
      <c r="D450" s="161">
        <v>5</v>
      </c>
      <c r="E450" s="29" t="str">
        <f t="shared" si="30"/>
        <v>Input price inflators 2013–15</v>
      </c>
      <c r="F450" s="122">
        <v>7761.3029581220562</v>
      </c>
      <c r="G450" s="122">
        <v>8081.7333333333336</v>
      </c>
      <c r="H450" s="122">
        <v>2078.9835143810369</v>
      </c>
      <c r="I450" s="122">
        <v>4334.231845352957</v>
      </c>
      <c r="J450" s="122">
        <v>6168.2436097180789</v>
      </c>
      <c r="K450" s="122">
        <v>2446.6052171407432</v>
      </c>
      <c r="L450" s="122">
        <v>3495.6234094332171</v>
      </c>
      <c r="M450" s="122">
        <v>1112.1113142267639</v>
      </c>
      <c r="N450" s="122">
        <v>6483.4469690763963</v>
      </c>
      <c r="O450" s="122">
        <v>6418.333333333333</v>
      </c>
      <c r="P450" s="122">
        <v>53337.872898626425</v>
      </c>
      <c r="Q450" s="122">
        <v>5795.7716123642067</v>
      </c>
      <c r="R450" s="122">
        <v>5376.2517526675592</v>
      </c>
      <c r="S450" s="122">
        <v>17426.695562926536</v>
      </c>
      <c r="T450" s="122">
        <v>79257.518297225819</v>
      </c>
      <c r="U450" s="122">
        <v>26111.326352307129</v>
      </c>
      <c r="V450" s="122"/>
      <c r="W450" s="54"/>
      <c r="X450" s="54"/>
      <c r="Y450" s="54"/>
      <c r="Z450" s="54"/>
      <c r="AA450" s="54"/>
      <c r="AB450" s="54"/>
      <c r="AC450" s="54"/>
      <c r="AD450" s="54"/>
      <c r="AE450" s="54"/>
      <c r="AF450" s="54"/>
      <c r="AG450" s="54"/>
      <c r="AH450" s="54"/>
      <c r="AI450" s="117">
        <f t="shared" si="31"/>
        <v>235686.05198023561</v>
      </c>
      <c r="AJ450" s="117">
        <f t="shared" si="32"/>
        <v>235686.05198023561</v>
      </c>
      <c r="AK450" s="117">
        <f t="shared" si="33"/>
        <v>0</v>
      </c>
      <c r="AL450" s="23"/>
      <c r="AM450" s="127" t="b">
        <f t="shared" si="34"/>
        <v>0</v>
      </c>
      <c r="AN450" s="127" t="str">
        <f t="shared" si="35"/>
        <v/>
      </c>
      <c r="AO450" s="129"/>
      <c r="AP450" s="129"/>
      <c r="AQ450" s="129"/>
      <c r="AR450" s="129"/>
      <c r="AS450" s="129">
        <v>1</v>
      </c>
      <c r="AT450" s="129">
        <v>1</v>
      </c>
      <c r="AU450" s="129"/>
      <c r="AV450" s="129"/>
      <c r="AW450" s="129"/>
      <c r="AX450" s="197"/>
      <c r="AY450" s="197"/>
      <c r="AZ450" s="197"/>
      <c r="BA450" s="197"/>
      <c r="BB450" s="129"/>
      <c r="BC450" s="129"/>
      <c r="BD450" s="129"/>
      <c r="BE450" s="129"/>
      <c r="BF450" s="129"/>
      <c r="BG450" s="129"/>
      <c r="BH450" s="129"/>
      <c r="BI450" s="129"/>
      <c r="BJ450" s="129"/>
      <c r="BK450" s="129"/>
      <c r="BL450" s="129"/>
      <c r="BM450" s="197"/>
    </row>
    <row r="451" spans="1:65" x14ac:dyDescent="0.25">
      <c r="A451" s="121" t="s">
        <v>44</v>
      </c>
      <c r="B451" s="121" t="s">
        <v>24</v>
      </c>
      <c r="C451" s="172" t="s">
        <v>399</v>
      </c>
      <c r="D451" s="161">
        <v>5</v>
      </c>
      <c r="E451" s="29" t="str">
        <f t="shared" si="30"/>
        <v>Input price inflators 2013–15</v>
      </c>
      <c r="F451" s="122">
        <v>7971.1191502295596</v>
      </c>
      <c r="G451" s="122">
        <v>8439.549361187539</v>
      </c>
      <c r="H451" s="122">
        <v>2241.8366194921477</v>
      </c>
      <c r="I451" s="122">
        <v>4438.1993635940416</v>
      </c>
      <c r="J451" s="122">
        <v>6529.4623330817103</v>
      </c>
      <c r="K451" s="122">
        <v>2499.7593646279029</v>
      </c>
      <c r="L451" s="122">
        <v>3575.7361748319199</v>
      </c>
      <c r="M451" s="122">
        <v>1158.6224253378748</v>
      </c>
      <c r="N451" s="122">
        <v>6588.908323478835</v>
      </c>
      <c r="O451" s="122">
        <v>6578.8394437432808</v>
      </c>
      <c r="P451" s="122">
        <v>54612.481272064746</v>
      </c>
      <c r="Q451" s="122">
        <v>5943.3029621138057</v>
      </c>
      <c r="R451" s="122">
        <v>5611.242399774279</v>
      </c>
      <c r="S451" s="122">
        <v>18113.876235809708</v>
      </c>
      <c r="T451" s="122">
        <v>81692.138092521898</v>
      </c>
      <c r="U451" s="122">
        <v>26582.09866043723</v>
      </c>
      <c r="V451" s="122"/>
      <c r="W451" s="54"/>
      <c r="X451" s="54"/>
      <c r="Y451" s="54"/>
      <c r="Z451" s="54"/>
      <c r="AA451" s="54"/>
      <c r="AB451" s="54"/>
      <c r="AC451" s="54"/>
      <c r="AD451" s="54"/>
      <c r="AE451" s="54"/>
      <c r="AF451" s="54"/>
      <c r="AG451" s="54"/>
      <c r="AH451" s="54"/>
      <c r="AI451" s="117">
        <f t="shared" si="31"/>
        <v>242577.1721823265</v>
      </c>
      <c r="AJ451" s="117">
        <f t="shared" si="32"/>
        <v>242577.1721823265</v>
      </c>
      <c r="AK451" s="117">
        <f t="shared" si="33"/>
        <v>0</v>
      </c>
      <c r="AL451" s="23"/>
      <c r="AM451" s="127" t="b">
        <f t="shared" si="34"/>
        <v>0</v>
      </c>
      <c r="AN451" s="127" t="str">
        <f t="shared" si="35"/>
        <v/>
      </c>
      <c r="AO451" s="129"/>
      <c r="AP451" s="129"/>
      <c r="AQ451" s="129"/>
      <c r="AR451" s="129"/>
      <c r="AS451" s="129">
        <v>1</v>
      </c>
      <c r="AT451" s="129">
        <v>1</v>
      </c>
      <c r="AU451" s="129"/>
      <c r="AV451" s="129"/>
      <c r="AW451" s="129"/>
      <c r="AX451" s="197"/>
      <c r="AY451" s="197"/>
      <c r="AZ451" s="197"/>
      <c r="BA451" s="197"/>
      <c r="BB451" s="129"/>
      <c r="BC451" s="129"/>
      <c r="BD451" s="129"/>
      <c r="BE451" s="129"/>
      <c r="BF451" s="129"/>
      <c r="BG451" s="129"/>
      <c r="BH451" s="129"/>
      <c r="BI451" s="129"/>
      <c r="BJ451" s="129"/>
      <c r="BK451" s="129"/>
      <c r="BL451" s="129"/>
      <c r="BM451" s="197"/>
    </row>
    <row r="452" spans="1:65" x14ac:dyDescent="0.25">
      <c r="A452" s="121" t="s">
        <v>44</v>
      </c>
      <c r="B452" s="121" t="s">
        <v>25</v>
      </c>
      <c r="C452" s="172" t="s">
        <v>399</v>
      </c>
      <c r="D452" s="161">
        <v>5</v>
      </c>
      <c r="E452" s="29" t="str">
        <f t="shared" si="30"/>
        <v>Input price inflators 2013–15</v>
      </c>
      <c r="F452" s="122">
        <v>8131.2992146668739</v>
      </c>
      <c r="G452" s="122">
        <v>8705.6565126241185</v>
      </c>
      <c r="H452" s="122">
        <v>2302.6887192699255</v>
      </c>
      <c r="I452" s="122">
        <v>4540.7876636976562</v>
      </c>
      <c r="J452" s="122">
        <v>6751.5353904311378</v>
      </c>
      <c r="K452" s="122">
        <v>2547.7436536620908</v>
      </c>
      <c r="L452" s="122">
        <v>3647.8005305611873</v>
      </c>
      <c r="M452" s="122">
        <v>1179.1113142267639</v>
      </c>
      <c r="N452" s="122">
        <v>6641.1481974918624</v>
      </c>
      <c r="O452" s="122">
        <v>6702.481604443311</v>
      </c>
      <c r="P452" s="122">
        <v>55648.915501300165</v>
      </c>
      <c r="Q452" s="122">
        <v>6139.043183352057</v>
      </c>
      <c r="R452" s="122">
        <v>5916.2274004103319</v>
      </c>
      <c r="S452" s="122">
        <v>18584.602303432934</v>
      </c>
      <c r="T452" s="122">
        <v>83328.401473344464</v>
      </c>
      <c r="U452" s="122">
        <v>26930.809771548342</v>
      </c>
      <c r="V452" s="122"/>
      <c r="W452" s="54"/>
      <c r="X452" s="54"/>
      <c r="Y452" s="54"/>
      <c r="Z452" s="54"/>
      <c r="AA452" s="54"/>
      <c r="AB452" s="54"/>
      <c r="AC452" s="54"/>
      <c r="AD452" s="54"/>
      <c r="AE452" s="54"/>
      <c r="AF452" s="54"/>
      <c r="AG452" s="54"/>
      <c r="AH452" s="54"/>
      <c r="AI452" s="117">
        <f t="shared" si="31"/>
        <v>247698.25243446321</v>
      </c>
      <c r="AJ452" s="117">
        <f t="shared" si="32"/>
        <v>247698.25243446321</v>
      </c>
      <c r="AK452" s="117">
        <f t="shared" si="33"/>
        <v>0</v>
      </c>
      <c r="AL452" s="23"/>
      <c r="AM452" s="127" t="b">
        <f t="shared" si="34"/>
        <v>0</v>
      </c>
      <c r="AN452" s="127" t="str">
        <f t="shared" si="35"/>
        <v/>
      </c>
      <c r="AO452" s="129"/>
      <c r="AP452" s="129"/>
      <c r="AQ452" s="129"/>
      <c r="AR452" s="129"/>
      <c r="AS452" s="129">
        <v>1</v>
      </c>
      <c r="AT452" s="129">
        <v>1</v>
      </c>
      <c r="AU452" s="129"/>
      <c r="AV452" s="129"/>
      <c r="AW452" s="129"/>
      <c r="AX452" s="197"/>
      <c r="AY452" s="197"/>
      <c r="AZ452" s="197"/>
      <c r="BA452" s="197"/>
      <c r="BB452" s="129"/>
      <c r="BC452" s="129"/>
      <c r="BD452" s="129"/>
      <c r="BE452" s="129"/>
      <c r="BF452" s="129"/>
      <c r="BG452" s="129"/>
      <c r="BH452" s="129"/>
      <c r="BI452" s="129"/>
      <c r="BJ452" s="129"/>
      <c r="BK452" s="129"/>
      <c r="BL452" s="129"/>
      <c r="BM452" s="197"/>
    </row>
    <row r="453" spans="1:65" x14ac:dyDescent="0.25">
      <c r="A453" s="121" t="s">
        <v>44</v>
      </c>
      <c r="B453" s="121" t="s">
        <v>26</v>
      </c>
      <c r="C453" s="172" t="s">
        <v>399</v>
      </c>
      <c r="D453" s="161">
        <v>5</v>
      </c>
      <c r="E453" s="29" t="str">
        <f t="shared" si="30"/>
        <v>Input price inflators 2013–15</v>
      </c>
      <c r="F453" s="122">
        <v>8747.1321399187127</v>
      </c>
      <c r="G453" s="122">
        <v>9076.9973818578201</v>
      </c>
      <c r="H453" s="122">
        <v>2384.5452587513437</v>
      </c>
      <c r="I453" s="122">
        <v>4659.4262798598502</v>
      </c>
      <c r="J453" s="122">
        <v>6916.4804982974401</v>
      </c>
      <c r="K453" s="122">
        <v>2624.3763468234088</v>
      </c>
      <c r="L453" s="122">
        <v>3771.4636682675196</v>
      </c>
      <c r="M453" s="122">
        <v>1221.3838858496013</v>
      </c>
      <c r="N453" s="122">
        <v>6782.9034387881047</v>
      </c>
      <c r="O453" s="122">
        <v>6932.4157274413828</v>
      </c>
      <c r="P453" s="122">
        <v>56780.697936209857</v>
      </c>
      <c r="Q453" s="122">
        <v>6326.4380158628301</v>
      </c>
      <c r="R453" s="122">
        <v>6259.961119822965</v>
      </c>
      <c r="S453" s="122">
        <v>19543.981329567981</v>
      </c>
      <c r="T453" s="122">
        <v>86208.526304586878</v>
      </c>
      <c r="U453" s="122">
        <v>27697.368546538142</v>
      </c>
      <c r="V453" s="122"/>
      <c r="W453" s="54"/>
      <c r="X453" s="54"/>
      <c r="Y453" s="54"/>
      <c r="Z453" s="54"/>
      <c r="AA453" s="54"/>
      <c r="AB453" s="54"/>
      <c r="AC453" s="54"/>
      <c r="AD453" s="54"/>
      <c r="AE453" s="54"/>
      <c r="AF453" s="54"/>
      <c r="AG453" s="54"/>
      <c r="AH453" s="54"/>
      <c r="AI453" s="117">
        <f t="shared" si="31"/>
        <v>255934.09787844383</v>
      </c>
      <c r="AJ453" s="117">
        <f t="shared" si="32"/>
        <v>255934.09787844383</v>
      </c>
      <c r="AK453" s="117">
        <f t="shared" si="33"/>
        <v>0</v>
      </c>
      <c r="AL453" s="23"/>
      <c r="AM453" s="127" t="b">
        <f t="shared" si="34"/>
        <v>0</v>
      </c>
      <c r="AN453" s="127" t="str">
        <f t="shared" si="35"/>
        <v/>
      </c>
      <c r="AO453" s="129"/>
      <c r="AP453" s="129"/>
      <c r="AQ453" s="129"/>
      <c r="AR453" s="129"/>
      <c r="AS453" s="129">
        <v>1</v>
      </c>
      <c r="AT453" s="129">
        <v>1</v>
      </c>
      <c r="AU453" s="129"/>
      <c r="AV453" s="129"/>
      <c r="AW453" s="129"/>
      <c r="AX453" s="197"/>
      <c r="AY453" s="197"/>
      <c r="AZ453" s="197"/>
      <c r="BA453" s="197"/>
      <c r="BB453" s="129"/>
      <c r="BC453" s="129"/>
      <c r="BD453" s="129"/>
      <c r="BE453" s="129"/>
      <c r="BF453" s="129"/>
      <c r="BG453" s="129"/>
      <c r="BH453" s="129"/>
      <c r="BI453" s="129"/>
      <c r="BJ453" s="129"/>
      <c r="BK453" s="129"/>
      <c r="BL453" s="129"/>
      <c r="BM453" s="197"/>
    </row>
    <row r="454" spans="1:65" x14ac:dyDescent="0.25">
      <c r="A454" s="121" t="s">
        <v>44</v>
      </c>
      <c r="B454" s="121" t="s">
        <v>27</v>
      </c>
      <c r="C454" s="172" t="s">
        <v>399</v>
      </c>
      <c r="D454" s="161">
        <v>5</v>
      </c>
      <c r="E454" s="29" t="str">
        <f t="shared" si="30"/>
        <v>Input price inflators 2013–15</v>
      </c>
      <c r="F454" s="122">
        <v>9154.8005628440242</v>
      </c>
      <c r="G454" s="122">
        <v>9533.4721562891318</v>
      </c>
      <c r="H454" s="122">
        <v>2452.5618494198252</v>
      </c>
      <c r="I454" s="122">
        <v>4778.3108980193992</v>
      </c>
      <c r="J454" s="122">
        <v>7111.1528101214899</v>
      </c>
      <c r="K454" s="122">
        <v>2692.7758159175837</v>
      </c>
      <c r="L454" s="122">
        <v>3866.6878313357502</v>
      </c>
      <c r="M454" s="122">
        <v>1255.8513442539415</v>
      </c>
      <c r="N454" s="122">
        <v>6907.4397587311487</v>
      </c>
      <c r="O454" s="122">
        <v>7160.4483593146642</v>
      </c>
      <c r="P454" s="122">
        <v>57999.659415654955</v>
      </c>
      <c r="Q454" s="122">
        <v>6526.2149526591375</v>
      </c>
      <c r="R454" s="122">
        <v>6591.0776668856952</v>
      </c>
      <c r="S454" s="122">
        <v>20557.837944663275</v>
      </c>
      <c r="T454" s="122">
        <v>89279.106937158766</v>
      </c>
      <c r="U454" s="122">
        <v>28475.370868859838</v>
      </c>
      <c r="V454" s="122"/>
      <c r="W454" s="54"/>
      <c r="X454" s="54"/>
      <c r="Y454" s="54"/>
      <c r="Z454" s="54"/>
      <c r="AA454" s="54"/>
      <c r="AB454" s="54"/>
      <c r="AC454" s="54"/>
      <c r="AD454" s="54"/>
      <c r="AE454" s="54"/>
      <c r="AF454" s="54"/>
      <c r="AG454" s="54"/>
      <c r="AH454" s="54"/>
      <c r="AI454" s="117">
        <f t="shared" si="31"/>
        <v>264342.76917212864</v>
      </c>
      <c r="AJ454" s="117">
        <f t="shared" si="32"/>
        <v>264342.76917212864</v>
      </c>
      <c r="AK454" s="117">
        <f t="shared" si="33"/>
        <v>0</v>
      </c>
      <c r="AL454" s="23"/>
      <c r="AM454" s="127" t="b">
        <f t="shared" si="34"/>
        <v>0</v>
      </c>
      <c r="AN454" s="127" t="str">
        <f t="shared" si="35"/>
        <v/>
      </c>
      <c r="AO454" s="129"/>
      <c r="AP454" s="129"/>
      <c r="AQ454" s="129"/>
      <c r="AR454" s="129"/>
      <c r="AS454" s="129">
        <v>1</v>
      </c>
      <c r="AT454" s="129">
        <v>1</v>
      </c>
      <c r="AU454" s="129"/>
      <c r="AV454" s="129"/>
      <c r="AW454" s="129"/>
      <c r="AX454" s="197"/>
      <c r="AY454" s="197"/>
      <c r="AZ454" s="197"/>
      <c r="BA454" s="197"/>
      <c r="BB454" s="129"/>
      <c r="BC454" s="129"/>
      <c r="BD454" s="129"/>
      <c r="BE454" s="129"/>
      <c r="BF454" s="129"/>
      <c r="BG454" s="129"/>
      <c r="BH454" s="129"/>
      <c r="BI454" s="129"/>
      <c r="BJ454" s="129"/>
      <c r="BK454" s="129"/>
      <c r="BL454" s="129"/>
      <c r="BM454" s="197"/>
    </row>
    <row r="455" spans="1:65" x14ac:dyDescent="0.25">
      <c r="A455" s="166"/>
      <c r="B455" s="166"/>
      <c r="C455" s="172"/>
      <c r="D455" s="49"/>
      <c r="E455" s="49"/>
      <c r="F455" s="54"/>
      <c r="G455" s="54"/>
      <c r="H455" s="54"/>
      <c r="I455" s="54"/>
      <c r="J455" s="54"/>
      <c r="K455" s="54"/>
      <c r="L455" s="54"/>
      <c r="M455" s="54"/>
      <c r="N455" s="54"/>
      <c r="O455" s="54"/>
      <c r="P455" s="54"/>
      <c r="Q455" s="55"/>
      <c r="R455" s="54"/>
      <c r="S455" s="54"/>
      <c r="T455" s="54"/>
      <c r="U455" s="54"/>
      <c r="V455" s="54"/>
      <c r="W455" s="55"/>
      <c r="X455" s="55"/>
      <c r="Y455" s="55"/>
      <c r="Z455" s="55"/>
      <c r="AA455" s="55"/>
      <c r="AB455" s="55"/>
      <c r="AC455" s="55"/>
      <c r="AD455" s="55"/>
      <c r="AE455" s="55"/>
      <c r="AF455" s="55"/>
      <c r="AG455" s="55"/>
      <c r="AH455" s="55"/>
      <c r="AI455" s="54"/>
      <c r="AJ455" s="54"/>
      <c r="AK455" s="54"/>
      <c r="AL455" s="23"/>
      <c r="AM455" s="127"/>
      <c r="AN455" s="127"/>
      <c r="AO455" s="129"/>
      <c r="AP455" s="129"/>
      <c r="AQ455" s="129"/>
      <c r="AR455" s="129"/>
      <c r="AS455" s="129"/>
      <c r="AT455" s="129"/>
      <c r="AU455" s="129"/>
      <c r="AV455" s="129"/>
      <c r="AW455" s="129"/>
      <c r="AX455" s="197"/>
      <c r="AY455" s="197"/>
      <c r="AZ455" s="197"/>
      <c r="BA455" s="197"/>
      <c r="BB455" s="129"/>
      <c r="BC455" s="129"/>
      <c r="BD455" s="129"/>
      <c r="BE455" s="129"/>
      <c r="BF455" s="129"/>
      <c r="BG455" s="129"/>
      <c r="BH455" s="129"/>
      <c r="BI455" s="129"/>
      <c r="BJ455" s="129"/>
      <c r="BK455" s="129"/>
      <c r="BL455" s="129"/>
      <c r="BM455" s="197"/>
    </row>
    <row r="456" spans="1:65" x14ac:dyDescent="0.25">
      <c r="A456" s="166"/>
      <c r="B456" s="166"/>
      <c r="C456" s="172"/>
      <c r="D456" s="46"/>
      <c r="E456" s="46"/>
      <c r="F456" s="54"/>
      <c r="G456" s="54"/>
      <c r="H456" s="54"/>
      <c r="I456" s="54"/>
      <c r="J456" s="54"/>
      <c r="K456" s="54"/>
      <c r="L456" s="54"/>
      <c r="M456" s="54"/>
      <c r="N456" s="54"/>
      <c r="O456" s="54"/>
      <c r="P456" s="54"/>
      <c r="Q456" s="55"/>
      <c r="R456" s="54"/>
      <c r="S456" s="54"/>
      <c r="T456" s="54"/>
      <c r="U456" s="54"/>
      <c r="V456" s="54"/>
      <c r="W456" s="55"/>
      <c r="X456" s="55"/>
      <c r="Y456" s="55"/>
      <c r="Z456" s="55"/>
      <c r="AA456" s="55"/>
      <c r="AB456" s="55"/>
      <c r="AC456" s="55"/>
      <c r="AD456" s="55"/>
      <c r="AE456" s="55"/>
      <c r="AF456" s="55"/>
      <c r="AG456" s="55"/>
      <c r="AH456" s="55"/>
      <c r="AI456" s="54"/>
      <c r="AJ456" s="54"/>
      <c r="AK456" s="54"/>
      <c r="AL456" s="23"/>
      <c r="AM456" s="127"/>
      <c r="AN456" s="127"/>
      <c r="AO456" s="129"/>
      <c r="AP456" s="129"/>
      <c r="AQ456" s="129"/>
      <c r="AR456" s="129"/>
      <c r="AS456" s="129"/>
      <c r="AT456" s="129"/>
      <c r="AU456" s="129"/>
      <c r="AV456" s="129"/>
      <c r="AW456" s="129"/>
      <c r="AX456" s="197"/>
      <c r="AY456" s="197"/>
      <c r="AZ456" s="197"/>
      <c r="BA456" s="197"/>
      <c r="BB456" s="129"/>
      <c r="BC456" s="129"/>
      <c r="BD456" s="129"/>
      <c r="BE456" s="129"/>
      <c r="BF456" s="129"/>
      <c r="BG456" s="129"/>
      <c r="BH456" s="129"/>
      <c r="BI456" s="129"/>
      <c r="BJ456" s="129"/>
      <c r="BK456" s="129"/>
      <c r="BL456" s="129"/>
      <c r="BM456" s="197"/>
    </row>
    <row r="457" spans="1:65" x14ac:dyDescent="0.25">
      <c r="A457" s="166" t="s">
        <v>44</v>
      </c>
      <c r="B457" s="166" t="s">
        <v>22</v>
      </c>
      <c r="C457" s="172" t="s">
        <v>396</v>
      </c>
      <c r="D457" s="161">
        <v>7</v>
      </c>
      <c r="E457" s="29" t="str">
        <f t="shared" ref="E457:E462" si="36">INDEX(ra_ScName,MATCH(D457,ra_ScNumber,0))</f>
        <v>Commissioned assets 2013–15</v>
      </c>
      <c r="F457" s="122">
        <v>7644</v>
      </c>
      <c r="G457" s="122">
        <v>7786</v>
      </c>
      <c r="H457" s="122">
        <v>2023</v>
      </c>
      <c r="I457" s="122">
        <v>4225</v>
      </c>
      <c r="J457" s="122">
        <v>5894</v>
      </c>
      <c r="K457" s="122">
        <v>2382</v>
      </c>
      <c r="L457" s="122">
        <v>3449</v>
      </c>
      <c r="M457" s="122">
        <v>1084.6002031156527</v>
      </c>
      <c r="N457" s="122">
        <v>6387.6247468541751</v>
      </c>
      <c r="O457" s="122">
        <v>6303</v>
      </c>
      <c r="P457" s="122">
        <v>52422</v>
      </c>
      <c r="Q457" s="122">
        <v>5635.3221811466228</v>
      </c>
      <c r="R457" s="122">
        <v>5234</v>
      </c>
      <c r="S457" s="122">
        <v>16649.2682399277</v>
      </c>
      <c r="T457" s="122">
        <v>76573.310789910291</v>
      </c>
      <c r="U457" s="122">
        <v>25343.756747688079</v>
      </c>
      <c r="V457" s="122"/>
      <c r="W457" s="54"/>
      <c r="X457" s="54"/>
      <c r="Y457" s="54"/>
      <c r="Z457" s="54"/>
      <c r="AA457" s="54"/>
      <c r="AB457" s="54"/>
      <c r="AC457" s="54"/>
      <c r="AD457" s="54"/>
      <c r="AE457" s="54"/>
      <c r="AF457" s="54"/>
      <c r="AG457" s="54"/>
      <c r="AH457" s="54"/>
      <c r="AI457" s="117">
        <f t="shared" ref="AI457:AI462" si="37">SUM(F457:AH457)</f>
        <v>229035.8829086425</v>
      </c>
      <c r="AJ457" s="117">
        <f t="shared" ref="AJ457:AJ462" si="38">SUM(F457:U457)</f>
        <v>229035.8829086425</v>
      </c>
      <c r="AK457" s="117">
        <f t="shared" ref="AK457:AK462" si="39">SUM(W457:AH457)</f>
        <v>0</v>
      </c>
      <c r="AL457" s="23"/>
      <c r="AM457" s="127" t="b">
        <f t="shared" ref="AM457:AM462" si="40">IF(INDEX($AO457:$BM457,0,$F$14)=1,TRUE,FALSE)</f>
        <v>0</v>
      </c>
      <c r="AN457" s="127" t="str">
        <f t="shared" ref="AN457:AN462" si="41">IF(AM457,A457&amp;", "&amp;B457,"")</f>
        <v/>
      </c>
      <c r="AO457" s="129"/>
      <c r="AP457" s="129"/>
      <c r="AQ457" s="129"/>
      <c r="AR457" s="129"/>
      <c r="AS457" s="129"/>
      <c r="AT457" s="129"/>
      <c r="AU457" s="129">
        <v>1</v>
      </c>
      <c r="AV457" s="129"/>
      <c r="AW457" s="129"/>
      <c r="AX457" s="197"/>
      <c r="AY457" s="197"/>
      <c r="AZ457" s="197"/>
      <c r="BA457" s="197"/>
      <c r="BB457" s="129"/>
      <c r="BC457" s="129"/>
      <c r="BD457" s="129"/>
      <c r="BE457" s="129"/>
      <c r="BF457" s="129"/>
      <c r="BG457" s="129"/>
      <c r="BH457" s="129"/>
      <c r="BI457" s="129"/>
      <c r="BJ457" s="129"/>
      <c r="BK457" s="129"/>
      <c r="BL457" s="129"/>
      <c r="BM457" s="197"/>
    </row>
    <row r="458" spans="1:65" x14ac:dyDescent="0.25">
      <c r="A458" s="166" t="s">
        <v>44</v>
      </c>
      <c r="B458" s="166" t="s">
        <v>23</v>
      </c>
      <c r="C458" s="172" t="s">
        <v>396</v>
      </c>
      <c r="D458" s="161">
        <v>7</v>
      </c>
      <c r="E458" s="29" t="str">
        <f t="shared" si="36"/>
        <v>Commissioned assets 2013–15</v>
      </c>
      <c r="F458" s="122">
        <v>7761.3029581220562</v>
      </c>
      <c r="G458" s="122">
        <v>8081.7333333333336</v>
      </c>
      <c r="H458" s="122">
        <v>2078.9835143810369</v>
      </c>
      <c r="I458" s="122">
        <v>4334.231845352957</v>
      </c>
      <c r="J458" s="122">
        <v>6168.2436097180789</v>
      </c>
      <c r="K458" s="122">
        <v>2446.6052171407432</v>
      </c>
      <c r="L458" s="122">
        <v>3495.6234094332171</v>
      </c>
      <c r="M458" s="122">
        <v>1112.1113142267639</v>
      </c>
      <c r="N458" s="122">
        <v>6483.4469690763963</v>
      </c>
      <c r="O458" s="122">
        <v>6418.333333333333</v>
      </c>
      <c r="P458" s="122">
        <v>53337.872898626425</v>
      </c>
      <c r="Q458" s="122">
        <v>5795.7716123642067</v>
      </c>
      <c r="R458" s="122">
        <v>5376.2517526675592</v>
      </c>
      <c r="S458" s="122">
        <v>17426.695562926536</v>
      </c>
      <c r="T458" s="122">
        <v>79257.518297225819</v>
      </c>
      <c r="U458" s="122">
        <v>26111.326352307129</v>
      </c>
      <c r="V458" s="122"/>
      <c r="W458" s="54"/>
      <c r="X458" s="54"/>
      <c r="Y458" s="54"/>
      <c r="Z458" s="54"/>
      <c r="AA458" s="54"/>
      <c r="AB458" s="54"/>
      <c r="AC458" s="54"/>
      <c r="AD458" s="54"/>
      <c r="AE458" s="54"/>
      <c r="AF458" s="54"/>
      <c r="AG458" s="54"/>
      <c r="AH458" s="54"/>
      <c r="AI458" s="117">
        <f t="shared" si="37"/>
        <v>235686.05198023561</v>
      </c>
      <c r="AJ458" s="117">
        <f t="shared" si="38"/>
        <v>235686.05198023561</v>
      </c>
      <c r="AK458" s="117">
        <f t="shared" si="39"/>
        <v>0</v>
      </c>
      <c r="AL458" s="23"/>
      <c r="AM458" s="127" t="b">
        <f t="shared" si="40"/>
        <v>0</v>
      </c>
      <c r="AN458" s="127" t="str">
        <f t="shared" si="41"/>
        <v/>
      </c>
      <c r="AO458" s="129"/>
      <c r="AP458" s="129"/>
      <c r="AQ458" s="129"/>
      <c r="AR458" s="129"/>
      <c r="AS458" s="129"/>
      <c r="AT458" s="129"/>
      <c r="AU458" s="129">
        <v>1</v>
      </c>
      <c r="AV458" s="129"/>
      <c r="AW458" s="129"/>
      <c r="AX458" s="197"/>
      <c r="AY458" s="197"/>
      <c r="AZ458" s="197"/>
      <c r="BA458" s="197"/>
      <c r="BB458" s="129"/>
      <c r="BC458" s="129"/>
      <c r="BD458" s="129"/>
      <c r="BE458" s="129"/>
      <c r="BF458" s="129"/>
      <c r="BG458" s="129"/>
      <c r="BH458" s="129"/>
      <c r="BI458" s="129"/>
      <c r="BJ458" s="129"/>
      <c r="BK458" s="129"/>
      <c r="BL458" s="129"/>
      <c r="BM458" s="197"/>
    </row>
    <row r="459" spans="1:65" x14ac:dyDescent="0.25">
      <c r="A459" s="166" t="s">
        <v>44</v>
      </c>
      <c r="B459" s="166" t="s">
        <v>24</v>
      </c>
      <c r="C459" s="172" t="s">
        <v>396</v>
      </c>
      <c r="D459" s="161">
        <v>7</v>
      </c>
      <c r="E459" s="29" t="str">
        <f t="shared" si="36"/>
        <v>Commissioned assets 2013–15</v>
      </c>
      <c r="F459" s="122">
        <v>7971.1191502295596</v>
      </c>
      <c r="G459" s="122">
        <v>8439.549361187539</v>
      </c>
      <c r="H459" s="122">
        <v>2241.8366194921477</v>
      </c>
      <c r="I459" s="122">
        <v>4438.1993635940416</v>
      </c>
      <c r="J459" s="122">
        <v>6529.4623330817103</v>
      </c>
      <c r="K459" s="122">
        <v>2499.7593646279029</v>
      </c>
      <c r="L459" s="122">
        <v>3575.7361748319199</v>
      </c>
      <c r="M459" s="122">
        <v>1158.6224253378748</v>
      </c>
      <c r="N459" s="122">
        <v>6588.908323478835</v>
      </c>
      <c r="O459" s="122">
        <v>6578.8394437432808</v>
      </c>
      <c r="P459" s="122">
        <v>54612.481272064746</v>
      </c>
      <c r="Q459" s="122">
        <v>5943.3029621138057</v>
      </c>
      <c r="R459" s="122">
        <v>5611.242399774279</v>
      </c>
      <c r="S459" s="122">
        <v>18113.876235809708</v>
      </c>
      <c r="T459" s="122">
        <v>81692.138092521898</v>
      </c>
      <c r="U459" s="122">
        <v>26582.09866043723</v>
      </c>
      <c r="V459" s="122"/>
      <c r="W459" s="54"/>
      <c r="X459" s="54"/>
      <c r="Y459" s="54"/>
      <c r="Z459" s="54"/>
      <c r="AA459" s="54"/>
      <c r="AB459" s="54"/>
      <c r="AC459" s="54"/>
      <c r="AD459" s="54"/>
      <c r="AE459" s="54"/>
      <c r="AF459" s="54"/>
      <c r="AG459" s="54"/>
      <c r="AH459" s="54"/>
      <c r="AI459" s="117">
        <f t="shared" si="37"/>
        <v>242577.1721823265</v>
      </c>
      <c r="AJ459" s="117">
        <f t="shared" si="38"/>
        <v>242577.1721823265</v>
      </c>
      <c r="AK459" s="117">
        <f t="shared" si="39"/>
        <v>0</v>
      </c>
      <c r="AL459" s="23"/>
      <c r="AM459" s="127" t="b">
        <f t="shared" si="40"/>
        <v>0</v>
      </c>
      <c r="AN459" s="127" t="str">
        <f t="shared" si="41"/>
        <v/>
      </c>
      <c r="AO459" s="129"/>
      <c r="AP459" s="129"/>
      <c r="AQ459" s="129"/>
      <c r="AR459" s="129"/>
      <c r="AS459" s="129"/>
      <c r="AT459" s="129"/>
      <c r="AU459" s="129">
        <v>1</v>
      </c>
      <c r="AV459" s="129"/>
      <c r="AW459" s="129"/>
      <c r="AX459" s="197"/>
      <c r="AY459" s="197"/>
      <c r="AZ459" s="197"/>
      <c r="BA459" s="197"/>
      <c r="BB459" s="129"/>
      <c r="BC459" s="129"/>
      <c r="BD459" s="129"/>
      <c r="BE459" s="129"/>
      <c r="BF459" s="129"/>
      <c r="BG459" s="129"/>
      <c r="BH459" s="129"/>
      <c r="BI459" s="129"/>
      <c r="BJ459" s="129"/>
      <c r="BK459" s="129"/>
      <c r="BL459" s="129"/>
      <c r="BM459" s="197"/>
    </row>
    <row r="460" spans="1:65" x14ac:dyDescent="0.25">
      <c r="A460" s="166" t="s">
        <v>44</v>
      </c>
      <c r="B460" s="166" t="s">
        <v>25</v>
      </c>
      <c r="C460" s="172" t="s">
        <v>396</v>
      </c>
      <c r="D460" s="161">
        <v>7</v>
      </c>
      <c r="E460" s="29" t="str">
        <f t="shared" si="36"/>
        <v>Commissioned assets 2013–15</v>
      </c>
      <c r="F460" s="122">
        <v>8131.2992146668739</v>
      </c>
      <c r="G460" s="122">
        <v>8705.6565126241185</v>
      </c>
      <c r="H460" s="122">
        <v>2302.6887192699255</v>
      </c>
      <c r="I460" s="122">
        <v>4540.7876636976562</v>
      </c>
      <c r="J460" s="122">
        <v>6751.5353904311378</v>
      </c>
      <c r="K460" s="122">
        <v>2547.7436536620908</v>
      </c>
      <c r="L460" s="122">
        <v>3647.8005305611873</v>
      </c>
      <c r="M460" s="122">
        <v>1179.1113142267639</v>
      </c>
      <c r="N460" s="122">
        <v>6641.1481974918624</v>
      </c>
      <c r="O460" s="122">
        <v>6702.481604443311</v>
      </c>
      <c r="P460" s="122">
        <v>55648.915501300165</v>
      </c>
      <c r="Q460" s="122">
        <v>6139.043183352057</v>
      </c>
      <c r="R460" s="122">
        <v>5916.2274004103319</v>
      </c>
      <c r="S460" s="122">
        <v>18584.602303432934</v>
      </c>
      <c r="T460" s="122">
        <v>83328.401473344464</v>
      </c>
      <c r="U460" s="122">
        <v>26930.809771548342</v>
      </c>
      <c r="V460" s="122"/>
      <c r="W460" s="54"/>
      <c r="X460" s="54"/>
      <c r="Y460" s="54"/>
      <c r="Z460" s="54"/>
      <c r="AA460" s="54"/>
      <c r="AB460" s="54"/>
      <c r="AC460" s="54"/>
      <c r="AD460" s="54"/>
      <c r="AE460" s="54"/>
      <c r="AF460" s="54"/>
      <c r="AG460" s="54"/>
      <c r="AH460" s="54"/>
      <c r="AI460" s="117">
        <f t="shared" si="37"/>
        <v>247698.25243446321</v>
      </c>
      <c r="AJ460" s="117">
        <f t="shared" si="38"/>
        <v>247698.25243446321</v>
      </c>
      <c r="AK460" s="117">
        <f t="shared" si="39"/>
        <v>0</v>
      </c>
      <c r="AL460" s="23"/>
      <c r="AM460" s="127" t="b">
        <f t="shared" si="40"/>
        <v>0</v>
      </c>
      <c r="AN460" s="127" t="str">
        <f t="shared" si="41"/>
        <v/>
      </c>
      <c r="AO460" s="129"/>
      <c r="AP460" s="129"/>
      <c r="AQ460" s="129"/>
      <c r="AR460" s="129"/>
      <c r="AS460" s="129"/>
      <c r="AT460" s="129"/>
      <c r="AU460" s="129">
        <v>1</v>
      </c>
      <c r="AV460" s="129"/>
      <c r="AW460" s="129"/>
      <c r="AX460" s="197"/>
      <c r="AY460" s="197"/>
      <c r="AZ460" s="197"/>
      <c r="BA460" s="197"/>
      <c r="BB460" s="129"/>
      <c r="BC460" s="129"/>
      <c r="BD460" s="129"/>
      <c r="BE460" s="129"/>
      <c r="BF460" s="129"/>
      <c r="BG460" s="129"/>
      <c r="BH460" s="129"/>
      <c r="BI460" s="129"/>
      <c r="BJ460" s="129"/>
      <c r="BK460" s="129"/>
      <c r="BL460" s="129"/>
      <c r="BM460" s="197"/>
    </row>
    <row r="461" spans="1:65" x14ac:dyDescent="0.25">
      <c r="A461" s="166" t="s">
        <v>44</v>
      </c>
      <c r="B461" s="166" t="s">
        <v>26</v>
      </c>
      <c r="C461" s="172" t="s">
        <v>396</v>
      </c>
      <c r="D461" s="161">
        <v>7</v>
      </c>
      <c r="E461" s="29" t="str">
        <f t="shared" si="36"/>
        <v>Commissioned assets 2013–15</v>
      </c>
      <c r="F461" s="122">
        <v>8743.7077659480565</v>
      </c>
      <c r="G461" s="122">
        <v>8992.0120681796743</v>
      </c>
      <c r="H461" s="122">
        <v>2378.2735978219762</v>
      </c>
      <c r="I461" s="122">
        <v>4635.8397474146395</v>
      </c>
      <c r="J461" s="122">
        <v>7231.180302849205</v>
      </c>
      <c r="K461" s="122">
        <v>2628.1567529791091</v>
      </c>
      <c r="L461" s="122">
        <v>3793.7072916936859</v>
      </c>
      <c r="M461" s="122">
        <v>1214.6313142267638</v>
      </c>
      <c r="N461" s="122">
        <v>6710.3259752696404</v>
      </c>
      <c r="O461" s="122">
        <v>6926.9704933321991</v>
      </c>
      <c r="P461" s="122">
        <v>56788.073758426515</v>
      </c>
      <c r="Q461" s="122">
        <v>6316.1650272945471</v>
      </c>
      <c r="R461" s="122">
        <v>6568.351180292595</v>
      </c>
      <c r="S461" s="122">
        <v>19021.188896249096</v>
      </c>
      <c r="T461" s="122">
        <v>85570.366772312453</v>
      </c>
      <c r="U461" s="122">
        <v>27420.808932133874</v>
      </c>
      <c r="V461" s="122"/>
      <c r="W461" s="54"/>
      <c r="X461" s="54"/>
      <c r="Y461" s="54"/>
      <c r="Z461" s="54"/>
      <c r="AA461" s="54"/>
      <c r="AB461" s="54"/>
      <c r="AC461" s="54"/>
      <c r="AD461" s="54"/>
      <c r="AE461" s="54"/>
      <c r="AF461" s="54"/>
      <c r="AG461" s="54"/>
      <c r="AH461" s="54"/>
      <c r="AI461" s="117">
        <f t="shared" si="37"/>
        <v>254939.75987642401</v>
      </c>
      <c r="AJ461" s="117">
        <f t="shared" si="38"/>
        <v>254939.75987642401</v>
      </c>
      <c r="AK461" s="117">
        <f t="shared" si="39"/>
        <v>0</v>
      </c>
      <c r="AL461" s="23"/>
      <c r="AM461" s="127" t="b">
        <f t="shared" si="40"/>
        <v>0</v>
      </c>
      <c r="AN461" s="127" t="str">
        <f t="shared" si="41"/>
        <v/>
      </c>
      <c r="AO461" s="129"/>
      <c r="AP461" s="129"/>
      <c r="AQ461" s="129"/>
      <c r="AR461" s="129"/>
      <c r="AS461" s="129"/>
      <c r="AT461" s="129"/>
      <c r="AU461" s="129">
        <v>1</v>
      </c>
      <c r="AV461" s="129"/>
      <c r="AW461" s="129"/>
      <c r="AX461" s="197"/>
      <c r="AY461" s="197"/>
      <c r="AZ461" s="197"/>
      <c r="BA461" s="197"/>
      <c r="BB461" s="129"/>
      <c r="BC461" s="129"/>
      <c r="BD461" s="129"/>
      <c r="BE461" s="129"/>
      <c r="BF461" s="129"/>
      <c r="BG461" s="129"/>
      <c r="BH461" s="129"/>
      <c r="BI461" s="129"/>
      <c r="BJ461" s="129"/>
      <c r="BK461" s="129"/>
      <c r="BL461" s="129"/>
      <c r="BM461" s="197"/>
    </row>
    <row r="462" spans="1:65" x14ac:dyDescent="0.25">
      <c r="A462" s="166" t="s">
        <v>44</v>
      </c>
      <c r="B462" s="166" t="s">
        <v>27</v>
      </c>
      <c r="C462" s="172" t="s">
        <v>396</v>
      </c>
      <c r="D462" s="161">
        <v>7</v>
      </c>
      <c r="E462" s="29" t="str">
        <f t="shared" si="36"/>
        <v>Commissioned assets 2013–15</v>
      </c>
      <c r="F462" s="122">
        <v>8952.8883915714287</v>
      </c>
      <c r="G462" s="122">
        <v>9289.2120681796732</v>
      </c>
      <c r="H462" s="122">
        <v>2426.8952572971775</v>
      </c>
      <c r="I462" s="122">
        <v>4750.8605727695876</v>
      </c>
      <c r="J462" s="122">
        <v>7599.9077177972049</v>
      </c>
      <c r="K462" s="122">
        <v>2657.5285562973845</v>
      </c>
      <c r="L462" s="122">
        <v>3997.0259466274219</v>
      </c>
      <c r="M462" s="122">
        <v>1493.772043560097</v>
      </c>
      <c r="N462" s="122">
        <v>6916.5481974918621</v>
      </c>
      <c r="O462" s="122">
        <v>7088.8570711099783</v>
      </c>
      <c r="P462" s="122">
        <v>58415.669861211529</v>
      </c>
      <c r="Q462" s="122">
        <v>6513.5686678895263</v>
      </c>
      <c r="R462" s="122">
        <v>7013.2401663134688</v>
      </c>
      <c r="S462" s="122">
        <v>20093.374222426446</v>
      </c>
      <c r="T462" s="122">
        <v>88443.289310832173</v>
      </c>
      <c r="U462" s="122">
        <v>28130.195395112147</v>
      </c>
      <c r="V462" s="122"/>
      <c r="W462" s="54"/>
      <c r="X462" s="54"/>
      <c r="Y462" s="54"/>
      <c r="Z462" s="54"/>
      <c r="AA462" s="54"/>
      <c r="AB462" s="54"/>
      <c r="AC462" s="54"/>
      <c r="AD462" s="54"/>
      <c r="AE462" s="54"/>
      <c r="AF462" s="54"/>
      <c r="AG462" s="54"/>
      <c r="AH462" s="54"/>
      <c r="AI462" s="117">
        <f t="shared" si="37"/>
        <v>263782.83344648714</v>
      </c>
      <c r="AJ462" s="117">
        <f t="shared" si="38"/>
        <v>263782.83344648714</v>
      </c>
      <c r="AK462" s="117">
        <f t="shared" si="39"/>
        <v>0</v>
      </c>
      <c r="AL462" s="23"/>
      <c r="AM462" s="127" t="b">
        <f t="shared" si="40"/>
        <v>0</v>
      </c>
      <c r="AN462" s="127" t="str">
        <f t="shared" si="41"/>
        <v/>
      </c>
      <c r="AO462" s="129"/>
      <c r="AP462" s="129"/>
      <c r="AQ462" s="129"/>
      <c r="AR462" s="129"/>
      <c r="AS462" s="129"/>
      <c r="AT462" s="129"/>
      <c r="AU462" s="129">
        <v>1</v>
      </c>
      <c r="AV462" s="129"/>
      <c r="AW462" s="129"/>
      <c r="AX462" s="197"/>
      <c r="AY462" s="197"/>
      <c r="AZ462" s="197"/>
      <c r="BA462" s="197"/>
      <c r="BB462" s="129"/>
      <c r="BC462" s="129"/>
      <c r="BD462" s="129"/>
      <c r="BE462" s="129"/>
      <c r="BF462" s="129"/>
      <c r="BG462" s="129"/>
      <c r="BH462" s="129"/>
      <c r="BI462" s="129"/>
      <c r="BJ462" s="129"/>
      <c r="BK462" s="129"/>
      <c r="BL462" s="129"/>
      <c r="BM462" s="197"/>
    </row>
    <row r="463" spans="1:65" s="4" customFormat="1" x14ac:dyDescent="0.25">
      <c r="A463" s="177"/>
      <c r="B463" s="177"/>
      <c r="C463" s="177"/>
      <c r="D463" s="49"/>
      <c r="E463" s="49"/>
      <c r="F463" s="54"/>
      <c r="G463" s="54"/>
      <c r="H463" s="54"/>
      <c r="I463" s="54"/>
      <c r="J463" s="54"/>
      <c r="K463" s="54"/>
      <c r="L463" s="54"/>
      <c r="M463" s="54"/>
      <c r="N463" s="54"/>
      <c r="O463" s="54"/>
      <c r="P463" s="54"/>
      <c r="Q463" s="54"/>
      <c r="R463" s="54"/>
      <c r="S463" s="54"/>
      <c r="T463" s="54"/>
      <c r="U463" s="54"/>
      <c r="V463" s="54"/>
      <c r="W463" s="55"/>
      <c r="X463" s="55"/>
      <c r="Y463" s="55"/>
      <c r="Z463" s="55"/>
      <c r="AA463" s="55"/>
      <c r="AB463" s="55"/>
      <c r="AC463" s="55"/>
      <c r="AD463" s="55"/>
      <c r="AE463" s="55"/>
      <c r="AF463" s="55"/>
      <c r="AG463" s="55"/>
      <c r="AH463" s="55"/>
      <c r="AI463" s="54"/>
      <c r="AJ463" s="54"/>
      <c r="AK463" s="54"/>
      <c r="AL463" s="23"/>
      <c r="AM463" s="127"/>
      <c r="AN463" s="127"/>
      <c r="AO463" s="129"/>
      <c r="AP463" s="129"/>
      <c r="AQ463" s="129"/>
      <c r="AR463" s="129"/>
      <c r="AS463" s="129"/>
      <c r="AT463" s="129"/>
      <c r="AU463" s="129"/>
      <c r="AV463" s="129"/>
      <c r="AW463" s="129"/>
      <c r="AX463" s="197"/>
      <c r="AY463" s="197"/>
      <c r="AZ463" s="197"/>
      <c r="BA463" s="197"/>
      <c r="BB463" s="129"/>
      <c r="BC463" s="129"/>
      <c r="BD463" s="129"/>
      <c r="BE463" s="129"/>
      <c r="BF463" s="129"/>
      <c r="BG463" s="129"/>
      <c r="BH463" s="129"/>
      <c r="BI463" s="129"/>
      <c r="BJ463" s="129"/>
      <c r="BK463" s="129"/>
      <c r="BL463" s="129"/>
      <c r="BM463" s="197"/>
    </row>
    <row r="464" spans="1:65" s="4" customFormat="1" x14ac:dyDescent="0.25">
      <c r="A464" s="177"/>
      <c r="B464" s="177"/>
      <c r="C464" s="177"/>
      <c r="D464" s="46"/>
      <c r="E464" s="46"/>
      <c r="F464" s="54"/>
      <c r="G464" s="54"/>
      <c r="H464" s="54"/>
      <c r="I464" s="54"/>
      <c r="J464" s="54"/>
      <c r="K464" s="54"/>
      <c r="L464" s="54"/>
      <c r="M464" s="54"/>
      <c r="N464" s="54"/>
      <c r="O464" s="54"/>
      <c r="P464" s="54"/>
      <c r="Q464" s="54"/>
      <c r="R464" s="54"/>
      <c r="S464" s="54"/>
      <c r="T464" s="54"/>
      <c r="U464" s="54"/>
      <c r="V464" s="54"/>
      <c r="W464" s="55"/>
      <c r="X464" s="55"/>
      <c r="Y464" s="55"/>
      <c r="Z464" s="55"/>
      <c r="AA464" s="55"/>
      <c r="AB464" s="55"/>
      <c r="AC464" s="55"/>
      <c r="AD464" s="55"/>
      <c r="AE464" s="55"/>
      <c r="AF464" s="55"/>
      <c r="AG464" s="55"/>
      <c r="AH464" s="55"/>
      <c r="AI464" s="54"/>
      <c r="AJ464" s="54"/>
      <c r="AK464" s="54"/>
      <c r="AL464" s="23"/>
      <c r="AM464" s="127"/>
      <c r="AN464" s="127"/>
      <c r="AO464" s="129"/>
      <c r="AP464" s="129"/>
      <c r="AQ464" s="129"/>
      <c r="AR464" s="129"/>
      <c r="AS464" s="129"/>
      <c r="AT464" s="129"/>
      <c r="AU464" s="129"/>
      <c r="AV464" s="129"/>
      <c r="AW464" s="129"/>
      <c r="AX464" s="197"/>
      <c r="AY464" s="197"/>
      <c r="AZ464" s="197"/>
      <c r="BA464" s="197"/>
      <c r="BB464" s="129"/>
      <c r="BC464" s="129"/>
      <c r="BD464" s="129"/>
      <c r="BE464" s="129"/>
      <c r="BF464" s="129"/>
      <c r="BG464" s="129"/>
      <c r="BH464" s="129"/>
      <c r="BI464" s="129"/>
      <c r="BJ464" s="129"/>
      <c r="BK464" s="129"/>
      <c r="BL464" s="129"/>
      <c r="BM464" s="197"/>
    </row>
    <row r="465" spans="1:65" s="4" customFormat="1" x14ac:dyDescent="0.25">
      <c r="A465" s="177" t="s">
        <v>44</v>
      </c>
      <c r="B465" s="177" t="s">
        <v>22</v>
      </c>
      <c r="C465" s="177" t="s">
        <v>402</v>
      </c>
      <c r="D465" s="161">
        <v>8</v>
      </c>
      <c r="E465" s="29" t="str">
        <f t="shared" ref="E465:E470" si="42">INDEX(ra_ScName,MATCH(D465,ra_ScNumber,0))</f>
        <v>Asset disposals 2013–15</v>
      </c>
      <c r="F465" s="122">
        <v>7644</v>
      </c>
      <c r="G465" s="122">
        <v>7786</v>
      </c>
      <c r="H465" s="122">
        <v>2023</v>
      </c>
      <c r="I465" s="122">
        <v>4225</v>
      </c>
      <c r="J465" s="122">
        <v>5894</v>
      </c>
      <c r="K465" s="122">
        <v>2382</v>
      </c>
      <c r="L465" s="122">
        <v>3449</v>
      </c>
      <c r="M465" s="122">
        <v>1084.6002031156527</v>
      </c>
      <c r="N465" s="122">
        <v>6387.6247468541751</v>
      </c>
      <c r="O465" s="122">
        <v>6303</v>
      </c>
      <c r="P465" s="122">
        <v>52422</v>
      </c>
      <c r="Q465" s="122">
        <v>5635.3221811466228</v>
      </c>
      <c r="R465" s="122">
        <v>5234</v>
      </c>
      <c r="S465" s="122">
        <v>16649.2682399277</v>
      </c>
      <c r="T465" s="122">
        <v>76573.310789910291</v>
      </c>
      <c r="U465" s="122">
        <v>25343.756747688079</v>
      </c>
      <c r="V465" s="95"/>
      <c r="W465" s="95"/>
      <c r="X465" s="95"/>
      <c r="Y465" s="95"/>
      <c r="Z465" s="95"/>
      <c r="AA465" s="95"/>
      <c r="AB465" s="95"/>
      <c r="AC465" s="95"/>
      <c r="AD465" s="95"/>
      <c r="AE465" s="95"/>
      <c r="AF465" s="95"/>
      <c r="AG465" s="95"/>
      <c r="AH465" s="95"/>
      <c r="AI465" s="117">
        <f t="shared" ref="AI465:AI470" si="43">SUM(F465:AH465)</f>
        <v>229035.8829086425</v>
      </c>
      <c r="AJ465" s="117">
        <f t="shared" ref="AJ465:AJ470" si="44">SUM(F465:U465)</f>
        <v>229035.8829086425</v>
      </c>
      <c r="AK465" s="117">
        <f t="shared" ref="AK465:AK470" si="45">SUM(W465:AH465)</f>
        <v>0</v>
      </c>
      <c r="AL465" s="23"/>
      <c r="AM465" s="127" t="b">
        <f t="shared" ref="AM465:AM470" si="46">IF(INDEX($AO465:$BM465,0,$F$14)=1,TRUE,FALSE)</f>
        <v>0</v>
      </c>
      <c r="AN465" s="127" t="str">
        <f t="shared" ref="AN465:AN470" si="47">IF(AM465,A465&amp;", "&amp;B465,"")</f>
        <v/>
      </c>
      <c r="AO465" s="129"/>
      <c r="AP465" s="129"/>
      <c r="AQ465" s="129"/>
      <c r="AR465" s="129"/>
      <c r="AS465" s="129"/>
      <c r="AT465" s="129"/>
      <c r="AU465" s="129"/>
      <c r="AV465" s="129">
        <v>1</v>
      </c>
      <c r="AW465" s="129"/>
      <c r="AX465" s="197"/>
      <c r="AY465" s="197"/>
      <c r="AZ465" s="197"/>
      <c r="BA465" s="197"/>
      <c r="BB465" s="129"/>
      <c r="BC465" s="129"/>
      <c r="BD465" s="129"/>
      <c r="BE465" s="129"/>
      <c r="BF465" s="129"/>
      <c r="BG465" s="129"/>
      <c r="BH465" s="129"/>
      <c r="BI465" s="129"/>
      <c r="BJ465" s="129"/>
      <c r="BK465" s="129"/>
      <c r="BL465" s="129">
        <v>1</v>
      </c>
      <c r="BM465" s="197"/>
    </row>
    <row r="466" spans="1:65" s="4" customFormat="1" x14ac:dyDescent="0.25">
      <c r="A466" s="177" t="s">
        <v>44</v>
      </c>
      <c r="B466" s="177" t="s">
        <v>23</v>
      </c>
      <c r="C466" s="177" t="s">
        <v>402</v>
      </c>
      <c r="D466" s="161">
        <v>8</v>
      </c>
      <c r="E466" s="29" t="str">
        <f t="shared" si="42"/>
        <v>Asset disposals 2013–15</v>
      </c>
      <c r="F466" s="122">
        <v>7761.3029581220562</v>
      </c>
      <c r="G466" s="122">
        <v>8081.7333333333336</v>
      </c>
      <c r="H466" s="122">
        <v>2078.9835143810369</v>
      </c>
      <c r="I466" s="122">
        <v>4334.231845352957</v>
      </c>
      <c r="J466" s="122">
        <v>6168.2436097180789</v>
      </c>
      <c r="K466" s="122">
        <v>2446.6052171407432</v>
      </c>
      <c r="L466" s="122">
        <v>3495.6234094332171</v>
      </c>
      <c r="M466" s="122">
        <v>1112.1113142267639</v>
      </c>
      <c r="N466" s="122">
        <v>6483.4469690763963</v>
      </c>
      <c r="O466" s="122">
        <v>6418.333333333333</v>
      </c>
      <c r="P466" s="122">
        <v>53337.872898626425</v>
      </c>
      <c r="Q466" s="122">
        <v>5795.7716123642067</v>
      </c>
      <c r="R466" s="122">
        <v>5376.2517526675592</v>
      </c>
      <c r="S466" s="122">
        <v>17426.695562926536</v>
      </c>
      <c r="T466" s="122">
        <v>79257.518297225819</v>
      </c>
      <c r="U466" s="122">
        <v>26111.326352307129</v>
      </c>
      <c r="V466" s="95"/>
      <c r="W466" s="95"/>
      <c r="X466" s="95"/>
      <c r="Y466" s="95"/>
      <c r="Z466" s="95"/>
      <c r="AA466" s="95"/>
      <c r="AB466" s="95"/>
      <c r="AC466" s="95"/>
      <c r="AD466" s="95"/>
      <c r="AE466" s="95"/>
      <c r="AF466" s="95"/>
      <c r="AG466" s="95"/>
      <c r="AH466" s="95"/>
      <c r="AI466" s="117">
        <f t="shared" si="43"/>
        <v>235686.05198023561</v>
      </c>
      <c r="AJ466" s="117">
        <f t="shared" si="44"/>
        <v>235686.05198023561</v>
      </c>
      <c r="AK466" s="117">
        <f t="shared" si="45"/>
        <v>0</v>
      </c>
      <c r="AL466" s="23"/>
      <c r="AM466" s="127" t="b">
        <f t="shared" si="46"/>
        <v>0</v>
      </c>
      <c r="AN466" s="127" t="str">
        <f t="shared" si="47"/>
        <v/>
      </c>
      <c r="AO466" s="129"/>
      <c r="AP466" s="129"/>
      <c r="AQ466" s="129"/>
      <c r="AR466" s="129"/>
      <c r="AS466" s="129"/>
      <c r="AT466" s="129"/>
      <c r="AU466" s="129"/>
      <c r="AV466" s="129">
        <v>1</v>
      </c>
      <c r="AW466" s="129"/>
      <c r="AX466" s="197"/>
      <c r="AY466" s="197"/>
      <c r="AZ466" s="197"/>
      <c r="BA466" s="197"/>
      <c r="BB466" s="129"/>
      <c r="BC466" s="129"/>
      <c r="BD466" s="129"/>
      <c r="BE466" s="129"/>
      <c r="BF466" s="129"/>
      <c r="BG466" s="129"/>
      <c r="BH466" s="129"/>
      <c r="BI466" s="129"/>
      <c r="BJ466" s="129"/>
      <c r="BK466" s="129"/>
      <c r="BL466" s="129">
        <v>1</v>
      </c>
      <c r="BM466" s="197"/>
    </row>
    <row r="467" spans="1:65" s="4" customFormat="1" x14ac:dyDescent="0.25">
      <c r="A467" s="177" t="s">
        <v>44</v>
      </c>
      <c r="B467" s="177" t="s">
        <v>24</v>
      </c>
      <c r="C467" s="177" t="s">
        <v>402</v>
      </c>
      <c r="D467" s="161">
        <v>8</v>
      </c>
      <c r="E467" s="29" t="str">
        <f t="shared" si="42"/>
        <v>Asset disposals 2013–15</v>
      </c>
      <c r="F467" s="122">
        <v>7971.1191502295596</v>
      </c>
      <c r="G467" s="122">
        <v>8439.549361187539</v>
      </c>
      <c r="H467" s="122">
        <v>2241.8366194921477</v>
      </c>
      <c r="I467" s="122">
        <v>4438.1993635940416</v>
      </c>
      <c r="J467" s="122">
        <v>6529.4623330817103</v>
      </c>
      <c r="K467" s="122">
        <v>2499.7593646279029</v>
      </c>
      <c r="L467" s="122">
        <v>3575.7361748319199</v>
      </c>
      <c r="M467" s="122">
        <v>1158.6224253378748</v>
      </c>
      <c r="N467" s="122">
        <v>6588.908323478835</v>
      </c>
      <c r="O467" s="122">
        <v>6578.8394437432808</v>
      </c>
      <c r="P467" s="122">
        <v>54612.481272064746</v>
      </c>
      <c r="Q467" s="122">
        <v>5943.3029621138057</v>
      </c>
      <c r="R467" s="122">
        <v>5611.242399774279</v>
      </c>
      <c r="S467" s="122">
        <v>18113.876235809708</v>
      </c>
      <c r="T467" s="122">
        <v>81692.138092521898</v>
      </c>
      <c r="U467" s="122">
        <v>26582.09866043723</v>
      </c>
      <c r="V467" s="95"/>
      <c r="W467" s="95"/>
      <c r="X467" s="95"/>
      <c r="Y467" s="95"/>
      <c r="Z467" s="95"/>
      <c r="AA467" s="95"/>
      <c r="AB467" s="95"/>
      <c r="AC467" s="95"/>
      <c r="AD467" s="95"/>
      <c r="AE467" s="95"/>
      <c r="AF467" s="95"/>
      <c r="AG467" s="95"/>
      <c r="AH467" s="95"/>
      <c r="AI467" s="117">
        <f t="shared" si="43"/>
        <v>242577.1721823265</v>
      </c>
      <c r="AJ467" s="117">
        <f t="shared" si="44"/>
        <v>242577.1721823265</v>
      </c>
      <c r="AK467" s="117">
        <f t="shared" si="45"/>
        <v>0</v>
      </c>
      <c r="AL467" s="23"/>
      <c r="AM467" s="127" t="b">
        <f t="shared" si="46"/>
        <v>0</v>
      </c>
      <c r="AN467" s="127" t="str">
        <f t="shared" si="47"/>
        <v/>
      </c>
      <c r="AO467" s="129"/>
      <c r="AP467" s="129"/>
      <c r="AQ467" s="129"/>
      <c r="AR467" s="129"/>
      <c r="AS467" s="129"/>
      <c r="AT467" s="129"/>
      <c r="AU467" s="129"/>
      <c r="AV467" s="129">
        <v>1</v>
      </c>
      <c r="AW467" s="129"/>
      <c r="AX467" s="197"/>
      <c r="AY467" s="197"/>
      <c r="AZ467" s="197"/>
      <c r="BA467" s="197"/>
      <c r="BB467" s="129"/>
      <c r="BC467" s="129"/>
      <c r="BD467" s="129"/>
      <c r="BE467" s="129"/>
      <c r="BF467" s="129"/>
      <c r="BG467" s="129"/>
      <c r="BH467" s="129"/>
      <c r="BI467" s="129"/>
      <c r="BJ467" s="129"/>
      <c r="BK467" s="129"/>
      <c r="BL467" s="129">
        <v>1</v>
      </c>
      <c r="BM467" s="197"/>
    </row>
    <row r="468" spans="1:65" s="4" customFormat="1" x14ac:dyDescent="0.25">
      <c r="A468" s="177" t="s">
        <v>44</v>
      </c>
      <c r="B468" s="177" t="s">
        <v>25</v>
      </c>
      <c r="C468" s="177" t="s">
        <v>402</v>
      </c>
      <c r="D468" s="161">
        <v>8</v>
      </c>
      <c r="E468" s="29" t="str">
        <f t="shared" si="42"/>
        <v>Asset disposals 2013–15</v>
      </c>
      <c r="F468" s="122">
        <v>8131.2992146668739</v>
      </c>
      <c r="G468" s="122">
        <v>8705.6565126241185</v>
      </c>
      <c r="H468" s="122">
        <v>2302.6887192699255</v>
      </c>
      <c r="I468" s="122">
        <v>4540.7876636976562</v>
      </c>
      <c r="J468" s="122">
        <v>6751.5353904311378</v>
      </c>
      <c r="K468" s="122">
        <v>2547.7436536620908</v>
      </c>
      <c r="L468" s="122">
        <v>3647.8005305611873</v>
      </c>
      <c r="M468" s="122">
        <v>1179.1113142267639</v>
      </c>
      <c r="N468" s="122">
        <v>6641.1481974918624</v>
      </c>
      <c r="O468" s="122">
        <v>6702.481604443311</v>
      </c>
      <c r="P468" s="122">
        <v>55648.915501300165</v>
      </c>
      <c r="Q468" s="122">
        <v>6139.043183352057</v>
      </c>
      <c r="R468" s="122">
        <v>5916.2274004103319</v>
      </c>
      <c r="S468" s="122">
        <v>18584.602303432934</v>
      </c>
      <c r="T468" s="122">
        <v>83328.401473344464</v>
      </c>
      <c r="U468" s="122">
        <v>26930.809771548342</v>
      </c>
      <c r="V468" s="95"/>
      <c r="W468" s="95"/>
      <c r="X468" s="95"/>
      <c r="Y468" s="95"/>
      <c r="Z468" s="95"/>
      <c r="AA468" s="95"/>
      <c r="AB468" s="95"/>
      <c r="AC468" s="95"/>
      <c r="AD468" s="95"/>
      <c r="AE468" s="95"/>
      <c r="AF468" s="95"/>
      <c r="AG468" s="95"/>
      <c r="AH468" s="95"/>
      <c r="AI468" s="117">
        <f t="shared" si="43"/>
        <v>247698.25243446321</v>
      </c>
      <c r="AJ468" s="117">
        <f t="shared" si="44"/>
        <v>247698.25243446321</v>
      </c>
      <c r="AK468" s="117">
        <f t="shared" si="45"/>
        <v>0</v>
      </c>
      <c r="AL468" s="23"/>
      <c r="AM468" s="127" t="b">
        <f t="shared" si="46"/>
        <v>0</v>
      </c>
      <c r="AN468" s="127" t="str">
        <f t="shared" si="47"/>
        <v/>
      </c>
      <c r="AO468" s="129"/>
      <c r="AP468" s="129"/>
      <c r="AQ468" s="129"/>
      <c r="AR468" s="129"/>
      <c r="AS468" s="129"/>
      <c r="AT468" s="129"/>
      <c r="AU468" s="129"/>
      <c r="AV468" s="129">
        <v>1</v>
      </c>
      <c r="AW468" s="129"/>
      <c r="AX468" s="197"/>
      <c r="AY468" s="197"/>
      <c r="AZ468" s="197"/>
      <c r="BA468" s="197"/>
      <c r="BB468" s="129"/>
      <c r="BC468" s="129"/>
      <c r="BD468" s="129"/>
      <c r="BE468" s="129"/>
      <c r="BF468" s="129"/>
      <c r="BG468" s="129"/>
      <c r="BH468" s="129"/>
      <c r="BI468" s="129"/>
      <c r="BJ468" s="129"/>
      <c r="BK468" s="129"/>
      <c r="BL468" s="129">
        <v>1</v>
      </c>
      <c r="BM468" s="197"/>
    </row>
    <row r="469" spans="1:65" s="4" customFormat="1" x14ac:dyDescent="0.25">
      <c r="A469" s="177" t="s">
        <v>44</v>
      </c>
      <c r="B469" s="177" t="s">
        <v>26</v>
      </c>
      <c r="C469" s="177" t="s">
        <v>402</v>
      </c>
      <c r="D469" s="161">
        <v>8</v>
      </c>
      <c r="E469" s="29" t="str">
        <f t="shared" si="42"/>
        <v>Asset disposals 2013–15</v>
      </c>
      <c r="F469" s="122">
        <v>8730.1155883568554</v>
      </c>
      <c r="G469" s="122">
        <v>8992.0120681796743</v>
      </c>
      <c r="H469" s="122">
        <v>2380.9664061588142</v>
      </c>
      <c r="I469" s="122">
        <v>4637.0924199034898</v>
      </c>
      <c r="J469" s="122">
        <v>7213.9281333546151</v>
      </c>
      <c r="K469" s="122">
        <v>2623.6893907380017</v>
      </c>
      <c r="L469" s="122">
        <v>3780.122458477525</v>
      </c>
      <c r="M469" s="122">
        <v>1214.6313142267638</v>
      </c>
      <c r="N469" s="122">
        <v>6691.1093715607749</v>
      </c>
      <c r="O469" s="122">
        <v>6926.3746664824694</v>
      </c>
      <c r="P469" s="122">
        <v>56975.283606279248</v>
      </c>
      <c r="Q469" s="122">
        <v>6315.8161700325727</v>
      </c>
      <c r="R469" s="122">
        <v>6567.3144361796085</v>
      </c>
      <c r="S469" s="122">
        <v>19006.823872273741</v>
      </c>
      <c r="T469" s="122">
        <v>85729.260731782997</v>
      </c>
      <c r="U469" s="122">
        <v>27421.851429452039</v>
      </c>
      <c r="V469" s="95"/>
      <c r="W469" s="95"/>
      <c r="X469" s="95"/>
      <c r="Y469" s="95"/>
      <c r="Z469" s="95"/>
      <c r="AA469" s="95"/>
      <c r="AB469" s="95"/>
      <c r="AC469" s="95"/>
      <c r="AD469" s="95"/>
      <c r="AE469" s="95"/>
      <c r="AF469" s="95"/>
      <c r="AG469" s="95"/>
      <c r="AH469" s="95"/>
      <c r="AI469" s="117">
        <f t="shared" si="43"/>
        <v>255206.39206343918</v>
      </c>
      <c r="AJ469" s="117">
        <f t="shared" si="44"/>
        <v>255206.39206343918</v>
      </c>
      <c r="AK469" s="117">
        <f t="shared" si="45"/>
        <v>0</v>
      </c>
      <c r="AL469" s="23"/>
      <c r="AM469" s="127" t="b">
        <f t="shared" si="46"/>
        <v>0</v>
      </c>
      <c r="AN469" s="127" t="str">
        <f t="shared" si="47"/>
        <v/>
      </c>
      <c r="AO469" s="129"/>
      <c r="AP469" s="129"/>
      <c r="AQ469" s="129"/>
      <c r="AR469" s="129"/>
      <c r="AS469" s="129"/>
      <c r="AT469" s="129"/>
      <c r="AU469" s="129"/>
      <c r="AV469" s="129">
        <v>1</v>
      </c>
      <c r="AW469" s="129"/>
      <c r="AX469" s="197"/>
      <c r="AY469" s="197"/>
      <c r="AZ469" s="197"/>
      <c r="BA469" s="197"/>
      <c r="BB469" s="129"/>
      <c r="BC469" s="129"/>
      <c r="BD469" s="129"/>
      <c r="BE469" s="129"/>
      <c r="BF469" s="129"/>
      <c r="BG469" s="129"/>
      <c r="BH469" s="129"/>
      <c r="BI469" s="129"/>
      <c r="BJ469" s="129"/>
      <c r="BK469" s="129"/>
      <c r="BL469" s="129">
        <v>1</v>
      </c>
      <c r="BM469" s="197"/>
    </row>
    <row r="470" spans="1:65" s="4" customFormat="1" x14ac:dyDescent="0.25">
      <c r="A470" s="177" t="s">
        <v>44</v>
      </c>
      <c r="B470" s="177" t="s">
        <v>27</v>
      </c>
      <c r="C470" s="177" t="s">
        <v>402</v>
      </c>
      <c r="D470" s="161">
        <v>8</v>
      </c>
      <c r="E470" s="29" t="str">
        <f t="shared" si="42"/>
        <v>Asset disposals 2013–15</v>
      </c>
      <c r="F470" s="122">
        <v>8963.5286186989342</v>
      </c>
      <c r="G470" s="122">
        <v>9285.140470217917</v>
      </c>
      <c r="H470" s="122">
        <v>2432.3947840448081</v>
      </c>
      <c r="I470" s="122">
        <v>4758.7719355402869</v>
      </c>
      <c r="J470" s="122">
        <v>7565.429866070438</v>
      </c>
      <c r="K470" s="122">
        <v>2644.645943068339</v>
      </c>
      <c r="L470" s="122">
        <v>3982.1125389011672</v>
      </c>
      <c r="M470" s="122">
        <v>1493.772043560097</v>
      </c>
      <c r="N470" s="122">
        <v>6882.5322819794746</v>
      </c>
      <c r="O470" s="122">
        <v>7087.057447821795</v>
      </c>
      <c r="P470" s="122">
        <v>58802.212996233226</v>
      </c>
      <c r="Q470" s="122">
        <v>6513.187381953825</v>
      </c>
      <c r="R470" s="122">
        <v>7010.7532485634547</v>
      </c>
      <c r="S470" s="122">
        <v>19823.925861331176</v>
      </c>
      <c r="T470" s="122">
        <v>88566.367135714885</v>
      </c>
      <c r="U470" s="122">
        <v>28109.002959825528</v>
      </c>
      <c r="V470" s="95"/>
      <c r="W470" s="95"/>
      <c r="X470" s="95"/>
      <c r="Y470" s="95"/>
      <c r="Z470" s="95"/>
      <c r="AA470" s="95"/>
      <c r="AB470" s="95"/>
      <c r="AC470" s="95"/>
      <c r="AD470" s="95"/>
      <c r="AE470" s="95"/>
      <c r="AF470" s="95"/>
      <c r="AG470" s="95"/>
      <c r="AH470" s="95"/>
      <c r="AI470" s="117">
        <f t="shared" si="43"/>
        <v>263920.83551352535</v>
      </c>
      <c r="AJ470" s="117">
        <f t="shared" si="44"/>
        <v>263920.83551352535</v>
      </c>
      <c r="AK470" s="117">
        <f t="shared" si="45"/>
        <v>0</v>
      </c>
      <c r="AL470" s="23"/>
      <c r="AM470" s="127" t="b">
        <f t="shared" si="46"/>
        <v>0</v>
      </c>
      <c r="AN470" s="127" t="str">
        <f t="shared" si="47"/>
        <v/>
      </c>
      <c r="AO470" s="129"/>
      <c r="AP470" s="129"/>
      <c r="AQ470" s="129"/>
      <c r="AR470" s="129"/>
      <c r="AS470" s="129"/>
      <c r="AT470" s="129"/>
      <c r="AU470" s="129"/>
      <c r="AV470" s="129">
        <v>1</v>
      </c>
      <c r="AW470" s="129"/>
      <c r="AX470" s="197"/>
      <c r="AY470" s="197"/>
      <c r="AZ470" s="197"/>
      <c r="BA470" s="197"/>
      <c r="BB470" s="129"/>
      <c r="BC470" s="129"/>
      <c r="BD470" s="129"/>
      <c r="BE470" s="129"/>
      <c r="BF470" s="129"/>
      <c r="BG470" s="129"/>
      <c r="BH470" s="129"/>
      <c r="BI470" s="129"/>
      <c r="BJ470" s="129"/>
      <c r="BK470" s="129"/>
      <c r="BL470" s="129">
        <v>1</v>
      </c>
      <c r="BM470" s="197"/>
    </row>
    <row r="471" spans="1:65" x14ac:dyDescent="0.25">
      <c r="A471" s="121"/>
      <c r="B471" s="121"/>
      <c r="C471" s="172"/>
      <c r="D471" s="49"/>
      <c r="E471" s="49"/>
      <c r="F471" s="54"/>
      <c r="G471" s="54"/>
      <c r="H471" s="54"/>
      <c r="I471" s="54"/>
      <c r="J471" s="54"/>
      <c r="K471" s="54"/>
      <c r="L471" s="54"/>
      <c r="M471" s="54"/>
      <c r="N471" s="54"/>
      <c r="O471" s="54"/>
      <c r="P471" s="54"/>
      <c r="Q471" s="54"/>
      <c r="R471" s="54"/>
      <c r="S471" s="54"/>
      <c r="T471" s="54"/>
      <c r="U471" s="54"/>
      <c r="V471" s="54"/>
      <c r="W471" s="55"/>
      <c r="X471" s="55"/>
      <c r="Y471" s="55"/>
      <c r="Z471" s="55"/>
      <c r="AA471" s="55"/>
      <c r="AB471" s="55"/>
      <c r="AC471" s="55"/>
      <c r="AD471" s="55"/>
      <c r="AE471" s="55"/>
      <c r="AF471" s="55"/>
      <c r="AG471" s="55"/>
      <c r="AH471" s="55"/>
      <c r="AI471" s="54"/>
      <c r="AJ471" s="54"/>
      <c r="AK471" s="54"/>
      <c r="AL471" s="23"/>
      <c r="AM471" s="127"/>
      <c r="AN471" s="127"/>
      <c r="AO471" s="129"/>
      <c r="AP471" s="129"/>
      <c r="AQ471" s="129"/>
      <c r="AR471" s="129"/>
      <c r="AS471" s="129"/>
      <c r="AT471" s="129"/>
      <c r="AU471" s="129"/>
      <c r="AV471" s="129"/>
      <c r="AW471" s="129"/>
      <c r="AX471" s="197"/>
      <c r="AY471" s="197"/>
      <c r="AZ471" s="197"/>
      <c r="BA471" s="197"/>
      <c r="BB471" s="129"/>
      <c r="BC471" s="129"/>
      <c r="BD471" s="129"/>
      <c r="BE471" s="129"/>
      <c r="BF471" s="129"/>
      <c r="BG471" s="129"/>
      <c r="BH471" s="129"/>
      <c r="BI471" s="129"/>
      <c r="BJ471" s="129"/>
      <c r="BK471" s="129"/>
      <c r="BL471" s="129"/>
      <c r="BM471" s="197"/>
    </row>
    <row r="472" spans="1:65" x14ac:dyDescent="0.25">
      <c r="A472" s="121"/>
      <c r="B472" s="121"/>
      <c r="C472" s="172"/>
      <c r="D472" s="46"/>
      <c r="E472" s="46"/>
      <c r="F472" s="54"/>
      <c r="G472" s="54"/>
      <c r="H472" s="54"/>
      <c r="I472" s="54"/>
      <c r="J472" s="54"/>
      <c r="K472" s="54"/>
      <c r="L472" s="54"/>
      <c r="M472" s="54"/>
      <c r="N472" s="54"/>
      <c r="O472" s="54"/>
      <c r="P472" s="54"/>
      <c r="Q472" s="54"/>
      <c r="R472" s="54"/>
      <c r="S472" s="54"/>
      <c r="T472" s="54"/>
      <c r="U472" s="54"/>
      <c r="V472" s="54"/>
      <c r="W472" s="55"/>
      <c r="X472" s="55"/>
      <c r="Y472" s="55"/>
      <c r="Z472" s="55"/>
      <c r="AA472" s="55"/>
      <c r="AB472" s="55"/>
      <c r="AC472" s="55"/>
      <c r="AD472" s="55"/>
      <c r="AE472" s="55"/>
      <c r="AF472" s="55"/>
      <c r="AG472" s="55"/>
      <c r="AH472" s="55"/>
      <c r="AI472" s="54"/>
      <c r="AJ472" s="54"/>
      <c r="AK472" s="54"/>
      <c r="AL472" s="23"/>
      <c r="AM472" s="127"/>
      <c r="AN472" s="127"/>
      <c r="AO472" s="129"/>
      <c r="AP472" s="129"/>
      <c r="AQ472" s="129"/>
      <c r="AR472" s="129"/>
      <c r="AS472" s="129"/>
      <c r="AT472" s="129"/>
      <c r="AU472" s="129"/>
      <c r="AV472" s="129"/>
      <c r="AW472" s="129"/>
      <c r="AX472" s="197"/>
      <c r="AY472" s="197"/>
      <c r="AZ472" s="197"/>
      <c r="BA472" s="197"/>
      <c r="BB472" s="129"/>
      <c r="BC472" s="129"/>
      <c r="BD472" s="129"/>
      <c r="BE472" s="129"/>
      <c r="BF472" s="129"/>
      <c r="BG472" s="129"/>
      <c r="BH472" s="129"/>
      <c r="BI472" s="129"/>
      <c r="BJ472" s="129"/>
      <c r="BK472" s="129"/>
      <c r="BL472" s="129"/>
      <c r="BM472" s="197"/>
    </row>
    <row r="473" spans="1:65" x14ac:dyDescent="0.25">
      <c r="A473" s="121" t="s">
        <v>44</v>
      </c>
      <c r="B473" s="121" t="s">
        <v>22</v>
      </c>
      <c r="C473" s="172" t="s">
        <v>353</v>
      </c>
      <c r="D473" s="161">
        <v>9</v>
      </c>
      <c r="E473" s="29" t="str">
        <f t="shared" ref="E473:E478" si="48">INDEX(ra_ScName,MATCH(D473,ra_ScNumber,0))</f>
        <v>Disclosed real return (excl actual asset revaluations)</v>
      </c>
      <c r="F473" s="122">
        <v>10171.687593617829</v>
      </c>
      <c r="G473" s="122">
        <v>10135</v>
      </c>
      <c r="H473" s="122">
        <v>2065.1497289251101</v>
      </c>
      <c r="I473" s="122">
        <v>7349.3197272645857</v>
      </c>
      <c r="J473" s="122">
        <v>5849</v>
      </c>
      <c r="K473" s="122">
        <v>2360</v>
      </c>
      <c r="L473" s="122">
        <v>4259.8467630553369</v>
      </c>
      <c r="M473" s="122">
        <v>1076.6679999999999</v>
      </c>
      <c r="N473" s="122">
        <v>6388</v>
      </c>
      <c r="O473" s="122">
        <v>5714</v>
      </c>
      <c r="P473" s="122">
        <v>51266</v>
      </c>
      <c r="Q473" s="122">
        <v>9923</v>
      </c>
      <c r="R473" s="122">
        <v>5247</v>
      </c>
      <c r="S473" s="122">
        <v>16378.23806</v>
      </c>
      <c r="T473" s="122">
        <v>80507</v>
      </c>
      <c r="U473" s="122">
        <v>23245.08936625734</v>
      </c>
      <c r="V473" s="95">
        <v>29014</v>
      </c>
      <c r="W473" s="95">
        <v>1287</v>
      </c>
      <c r="X473" s="95">
        <v>5469.222354156178</v>
      </c>
      <c r="Y473" s="95">
        <v>5329</v>
      </c>
      <c r="Z473" s="95">
        <v>8194</v>
      </c>
      <c r="AA473" s="95">
        <v>9116</v>
      </c>
      <c r="AB473" s="95">
        <v>3281</v>
      </c>
      <c r="AC473" s="95">
        <v>9022.7278748470744</v>
      </c>
      <c r="AD473" s="95">
        <v>843</v>
      </c>
      <c r="AE473" s="95">
        <v>11584</v>
      </c>
      <c r="AF473" s="95">
        <v>2946.399826244141</v>
      </c>
      <c r="AG473" s="95">
        <v>12056.001064113671</v>
      </c>
      <c r="AH473" s="95">
        <v>3486</v>
      </c>
      <c r="AI473" s="117">
        <f t="shared" ref="AI473:AI478" si="49">SUM(F473:AH473)</f>
        <v>343563.35035848129</v>
      </c>
      <c r="AJ473" s="117">
        <f t="shared" ref="AJ473:AJ478" si="50">SUM(F473:U473)</f>
        <v>241934.9992391202</v>
      </c>
      <c r="AK473" s="117">
        <f t="shared" ref="AK473:AK478" si="51">SUM(W473:AH473)</f>
        <v>72614.351119361061</v>
      </c>
      <c r="AL473" s="23"/>
      <c r="AM473" s="127" t="b">
        <f t="shared" ref="AM473:AM478" si="52">IF(INDEX($AO473:$BM473,0,$F$14)=1,TRUE,FALSE)</f>
        <v>0</v>
      </c>
      <c r="AN473" s="127" t="str">
        <f t="shared" ref="AN473:AN478" si="53">IF(AM473,A473&amp;", "&amp;B473,"")</f>
        <v/>
      </c>
      <c r="AO473" s="129"/>
      <c r="AP473" s="129"/>
      <c r="AQ473" s="129"/>
      <c r="AR473" s="129"/>
      <c r="AS473" s="129"/>
      <c r="AT473" s="129"/>
      <c r="AU473" s="129"/>
      <c r="AV473" s="129"/>
      <c r="AW473" s="129">
        <v>1</v>
      </c>
      <c r="AX473" s="197"/>
      <c r="AY473" s="197"/>
      <c r="AZ473" s="197"/>
      <c r="BA473" s="197"/>
      <c r="BB473" s="129"/>
      <c r="BC473" s="129"/>
      <c r="BD473" s="129"/>
      <c r="BE473" s="129"/>
      <c r="BF473" s="129"/>
      <c r="BG473" s="129"/>
      <c r="BH473" s="129"/>
      <c r="BI473" s="129"/>
      <c r="BJ473" s="129"/>
      <c r="BK473" s="129"/>
      <c r="BL473" s="129"/>
      <c r="BM473" s="197">
        <v>1</v>
      </c>
    </row>
    <row r="474" spans="1:65" x14ac:dyDescent="0.25">
      <c r="A474" s="121" t="s">
        <v>44</v>
      </c>
      <c r="B474" s="121" t="s">
        <v>23</v>
      </c>
      <c r="C474" s="172" t="s">
        <v>353</v>
      </c>
      <c r="D474" s="161">
        <v>9</v>
      </c>
      <c r="E474" s="29" t="str">
        <f t="shared" si="48"/>
        <v>Disclosed real return (excl actual asset revaluations)</v>
      </c>
      <c r="F474" s="122">
        <v>8146.4584561405809</v>
      </c>
      <c r="G474" s="122">
        <v>10096.64490837692</v>
      </c>
      <c r="H474" s="122">
        <v>2091.6936047409276</v>
      </c>
      <c r="I474" s="122">
        <v>4696.1284533992748</v>
      </c>
      <c r="J474" s="122">
        <v>6154.0101305371791</v>
      </c>
      <c r="K474" s="122">
        <v>2432.0189769023241</v>
      </c>
      <c r="L474" s="122">
        <v>4271.8633178627551</v>
      </c>
      <c r="M474" s="122">
        <v>1101.9212881096587</v>
      </c>
      <c r="N474" s="122">
        <v>5985.8578543225067</v>
      </c>
      <c r="O474" s="122">
        <v>5799.9353980778615</v>
      </c>
      <c r="P474" s="122">
        <v>53556.035425068563</v>
      </c>
      <c r="Q474" s="122">
        <v>8916.8806754840934</v>
      </c>
      <c r="R474" s="122">
        <v>5539.5701430695035</v>
      </c>
      <c r="S474" s="122">
        <v>17259.03205768219</v>
      </c>
      <c r="T474" s="122">
        <v>81359.195624609856</v>
      </c>
      <c r="U474" s="122">
        <v>26853.204631296827</v>
      </c>
      <c r="V474" s="95">
        <v>30202.374412283669</v>
      </c>
      <c r="W474" s="95">
        <v>1224.2089898890883</v>
      </c>
      <c r="X474" s="95">
        <v>5417.74577331829</v>
      </c>
      <c r="Y474" s="95">
        <v>5326.3771026844961</v>
      </c>
      <c r="Z474" s="95">
        <v>8529.1774684155462</v>
      </c>
      <c r="AA474" s="95">
        <v>8695.4789525405577</v>
      </c>
      <c r="AB474" s="95">
        <v>2799.2684552724013</v>
      </c>
      <c r="AC474" s="95">
        <v>9242.7149746382966</v>
      </c>
      <c r="AD474" s="95">
        <v>896.03455738868195</v>
      </c>
      <c r="AE474" s="95">
        <v>12113.206611570249</v>
      </c>
      <c r="AF474" s="95">
        <v>2950.5515013301224</v>
      </c>
      <c r="AG474" s="95">
        <v>12280.195329746542</v>
      </c>
      <c r="AH474" s="95">
        <v>3610.5543392772634</v>
      </c>
      <c r="AI474" s="117">
        <f t="shared" si="49"/>
        <v>347548.33941403625</v>
      </c>
      <c r="AJ474" s="117">
        <f t="shared" si="50"/>
        <v>244260.45094568105</v>
      </c>
      <c r="AK474" s="117">
        <f t="shared" si="51"/>
        <v>73085.514056071537</v>
      </c>
      <c r="AL474" s="23"/>
      <c r="AM474" s="127" t="b">
        <f t="shared" si="52"/>
        <v>0</v>
      </c>
      <c r="AN474" s="127" t="str">
        <f t="shared" si="53"/>
        <v/>
      </c>
      <c r="AO474" s="129"/>
      <c r="AP474" s="129"/>
      <c r="AQ474" s="129"/>
      <c r="AR474" s="129"/>
      <c r="AS474" s="129"/>
      <c r="AT474" s="129"/>
      <c r="AU474" s="129"/>
      <c r="AV474" s="129"/>
      <c r="AW474" s="129">
        <v>1</v>
      </c>
      <c r="AX474" s="197"/>
      <c r="AY474" s="197"/>
      <c r="AZ474" s="197"/>
      <c r="BA474" s="197"/>
      <c r="BB474" s="129"/>
      <c r="BC474" s="129"/>
      <c r="BD474" s="129"/>
      <c r="BE474" s="129"/>
      <c r="BF474" s="129"/>
      <c r="BG474" s="129"/>
      <c r="BH474" s="129"/>
      <c r="BI474" s="129"/>
      <c r="BJ474" s="129"/>
      <c r="BK474" s="129"/>
      <c r="BL474" s="129"/>
      <c r="BM474" s="197">
        <v>1</v>
      </c>
    </row>
    <row r="475" spans="1:65" x14ac:dyDescent="0.25">
      <c r="A475" s="121" t="s">
        <v>44</v>
      </c>
      <c r="B475" s="121" t="s">
        <v>24</v>
      </c>
      <c r="C475" s="172" t="s">
        <v>353</v>
      </c>
      <c r="D475" s="161">
        <v>9</v>
      </c>
      <c r="E475" s="29" t="str">
        <f t="shared" si="48"/>
        <v>Disclosed real return (excl actual asset revaluations)</v>
      </c>
      <c r="F475" s="122">
        <v>8574.361774918254</v>
      </c>
      <c r="G475" s="122">
        <v>10347.983621144285</v>
      </c>
      <c r="H475" s="122">
        <v>2236.8103630985706</v>
      </c>
      <c r="I475" s="122">
        <v>4726.9892743311302</v>
      </c>
      <c r="J475" s="122">
        <v>6877.1016831246625</v>
      </c>
      <c r="K475" s="122">
        <v>2449.6013244156243</v>
      </c>
      <c r="L475" s="122">
        <v>4291.228457790512</v>
      </c>
      <c r="M475" s="122">
        <v>1082.1320075073315</v>
      </c>
      <c r="N475" s="122">
        <v>5979.411653055171</v>
      </c>
      <c r="O475" s="122">
        <v>5915.2125227586303</v>
      </c>
      <c r="P475" s="122">
        <v>55294.408683102578</v>
      </c>
      <c r="Q475" s="122">
        <v>8713.0603870247651</v>
      </c>
      <c r="R475" s="122">
        <v>5930.4943872131007</v>
      </c>
      <c r="S475" s="122">
        <v>18649.242072939171</v>
      </c>
      <c r="T475" s="122">
        <v>83795.410634101572</v>
      </c>
      <c r="U475" s="122">
        <v>26856.900308897413</v>
      </c>
      <c r="V475" s="95">
        <v>30982.66546673184</v>
      </c>
      <c r="W475" s="95">
        <v>1185.5020702639215</v>
      </c>
      <c r="X475" s="95">
        <v>5698.6592610549997</v>
      </c>
      <c r="Y475" s="95">
        <v>5053.1460090451201</v>
      </c>
      <c r="Z475" s="95">
        <v>9042.0556739957192</v>
      </c>
      <c r="AA475" s="95">
        <v>8468.2323045841076</v>
      </c>
      <c r="AB475" s="95">
        <v>2839.5764627830063</v>
      </c>
      <c r="AC475" s="95">
        <v>7933.0663423624155</v>
      </c>
      <c r="AD475" s="95">
        <v>957.55797675414874</v>
      </c>
      <c r="AE475" s="95">
        <v>11781.83991856047</v>
      </c>
      <c r="AF475" s="95">
        <v>2998.4141490758429</v>
      </c>
      <c r="AG475" s="95">
        <v>14048.190460756212</v>
      </c>
      <c r="AH475" s="95">
        <v>3691.5735641630517</v>
      </c>
      <c r="AI475" s="117">
        <f t="shared" si="49"/>
        <v>356400.82881555357</v>
      </c>
      <c r="AJ475" s="117">
        <f t="shared" si="50"/>
        <v>251720.34915542277</v>
      </c>
      <c r="AK475" s="117">
        <f t="shared" si="51"/>
        <v>73697.814193399012</v>
      </c>
      <c r="AL475" s="23"/>
      <c r="AM475" s="127" t="b">
        <f t="shared" si="52"/>
        <v>0</v>
      </c>
      <c r="AN475" s="127" t="str">
        <f t="shared" si="53"/>
        <v/>
      </c>
      <c r="AO475" s="129"/>
      <c r="AP475" s="129"/>
      <c r="AQ475" s="129"/>
      <c r="AR475" s="129"/>
      <c r="AS475" s="129"/>
      <c r="AT475" s="129"/>
      <c r="AU475" s="129"/>
      <c r="AV475" s="129"/>
      <c r="AW475" s="129">
        <v>1</v>
      </c>
      <c r="AX475" s="197"/>
      <c r="AY475" s="197"/>
      <c r="AZ475" s="197"/>
      <c r="BA475" s="197"/>
      <c r="BB475" s="129"/>
      <c r="BC475" s="129"/>
      <c r="BD475" s="129"/>
      <c r="BE475" s="129"/>
      <c r="BF475" s="129"/>
      <c r="BG475" s="129"/>
      <c r="BH475" s="129"/>
      <c r="BI475" s="129"/>
      <c r="BJ475" s="129"/>
      <c r="BK475" s="129"/>
      <c r="BL475" s="129"/>
      <c r="BM475" s="197">
        <v>1</v>
      </c>
    </row>
    <row r="476" spans="1:65" x14ac:dyDescent="0.25">
      <c r="A476" s="121" t="s">
        <v>44</v>
      </c>
      <c r="B476" s="121" t="s">
        <v>25</v>
      </c>
      <c r="C476" s="172" t="s">
        <v>353</v>
      </c>
      <c r="D476" s="161">
        <v>9</v>
      </c>
      <c r="E476" s="29" t="str">
        <f t="shared" si="48"/>
        <v>Disclosed real return (excl actual asset revaluations)</v>
      </c>
      <c r="F476" s="122">
        <v>7620.8255385177235</v>
      </c>
      <c r="G476" s="122">
        <v>10480.172513293379</v>
      </c>
      <c r="H476" s="122">
        <v>2357.6807694797653</v>
      </c>
      <c r="I476" s="122">
        <v>4623.5306297707102</v>
      </c>
      <c r="J476" s="122">
        <v>6314.3527114297585</v>
      </c>
      <c r="K476" s="122">
        <v>2459.234846256837</v>
      </c>
      <c r="L476" s="122">
        <v>4131.9608741855309</v>
      </c>
      <c r="M476" s="122">
        <v>1098.4142234342401</v>
      </c>
      <c r="N476" s="122">
        <v>6098.2073168941288</v>
      </c>
      <c r="O476" s="122">
        <v>6046.1615636808956</v>
      </c>
      <c r="P476" s="122">
        <v>55081.593915354359</v>
      </c>
      <c r="Q476" s="122">
        <v>8824.8612545060878</v>
      </c>
      <c r="R476" s="122">
        <v>6484.1851767010075</v>
      </c>
      <c r="S476" s="122">
        <v>19319.49818420062</v>
      </c>
      <c r="T476" s="122">
        <v>80081.27114706843</v>
      </c>
      <c r="U476" s="122">
        <v>24597.033094362119</v>
      </c>
      <c r="V476" s="95">
        <v>31653.06214983921</v>
      </c>
      <c r="W476" s="95">
        <v>1169.2857010361563</v>
      </c>
      <c r="X476" s="95">
        <v>5984.8532649732888</v>
      </c>
      <c r="Y476" s="95">
        <v>4944.2535664132938</v>
      </c>
      <c r="Z476" s="95">
        <v>9328.4590151130105</v>
      </c>
      <c r="AA476" s="95">
        <v>8074.790886070833</v>
      </c>
      <c r="AB476" s="95">
        <v>2885.234255214958</v>
      </c>
      <c r="AC476" s="95">
        <v>8086.482539787723</v>
      </c>
      <c r="AD476" s="95">
        <v>986.352021103163</v>
      </c>
      <c r="AE476" s="95">
        <v>11886.225972404265</v>
      </c>
      <c r="AF476" s="95">
        <v>3046.1648610950601</v>
      </c>
      <c r="AG476" s="95">
        <v>15086.833558123712</v>
      </c>
      <c r="AH476" s="95">
        <v>3798.9130248209276</v>
      </c>
      <c r="AI476" s="117">
        <f t="shared" si="49"/>
        <v>352549.89457513113</v>
      </c>
      <c r="AJ476" s="117">
        <f t="shared" si="50"/>
        <v>245618.98375913559</v>
      </c>
      <c r="AK476" s="117">
        <f t="shared" si="51"/>
        <v>75277.848666156395</v>
      </c>
      <c r="AL476" s="23"/>
      <c r="AM476" s="127" t="b">
        <f t="shared" si="52"/>
        <v>0</v>
      </c>
      <c r="AN476" s="127" t="str">
        <f t="shared" si="53"/>
        <v/>
      </c>
      <c r="AO476" s="129"/>
      <c r="AP476" s="129"/>
      <c r="AQ476" s="129"/>
      <c r="AR476" s="129"/>
      <c r="AS476" s="129"/>
      <c r="AT476" s="129"/>
      <c r="AU476" s="129"/>
      <c r="AV476" s="129"/>
      <c r="AW476" s="129">
        <v>1</v>
      </c>
      <c r="AX476" s="197"/>
      <c r="AY476" s="197"/>
      <c r="AZ476" s="197"/>
      <c r="BA476" s="197"/>
      <c r="BB476" s="129"/>
      <c r="BC476" s="129"/>
      <c r="BD476" s="129"/>
      <c r="BE476" s="129"/>
      <c r="BF476" s="129"/>
      <c r="BG476" s="129"/>
      <c r="BH476" s="129"/>
      <c r="BI476" s="129"/>
      <c r="BJ476" s="129"/>
      <c r="BK476" s="129"/>
      <c r="BL476" s="129"/>
      <c r="BM476" s="197">
        <v>1</v>
      </c>
    </row>
    <row r="477" spans="1:65" x14ac:dyDescent="0.25">
      <c r="A477" s="121" t="s">
        <v>44</v>
      </c>
      <c r="B477" s="121" t="s">
        <v>26</v>
      </c>
      <c r="C477" s="172" t="s">
        <v>353</v>
      </c>
      <c r="D477" s="161">
        <v>9</v>
      </c>
      <c r="E477" s="29" t="str">
        <f t="shared" si="48"/>
        <v>Disclosed real return (excl actual asset revaluations)</v>
      </c>
      <c r="F477" s="122">
        <v>9283.8269090216818</v>
      </c>
      <c r="G477" s="122">
        <v>10779.54369442877</v>
      </c>
      <c r="H477" s="122">
        <v>2420.0821645052838</v>
      </c>
      <c r="I477" s="122">
        <v>4779.1076597529818</v>
      </c>
      <c r="J477" s="122">
        <v>6589.0980850348806</v>
      </c>
      <c r="K477" s="122">
        <v>2375.5272385926264</v>
      </c>
      <c r="L477" s="122">
        <v>4373.9312768791415</v>
      </c>
      <c r="M477" s="122">
        <v>1103.3981871197759</v>
      </c>
      <c r="N477" s="122">
        <v>6150.8968380270808</v>
      </c>
      <c r="O477" s="122">
        <v>6220.428051035994</v>
      </c>
      <c r="P477" s="122">
        <v>56269.350737267472</v>
      </c>
      <c r="Q477" s="122">
        <v>8421.0204222935572</v>
      </c>
      <c r="R477" s="122">
        <v>6957.7019915135697</v>
      </c>
      <c r="S477" s="122">
        <v>20047.744786970303</v>
      </c>
      <c r="T477" s="122">
        <v>85353.936673871984</v>
      </c>
      <c r="U477" s="122">
        <v>24953.828433695329</v>
      </c>
      <c r="V477" s="95">
        <v>32343.429994780487</v>
      </c>
      <c r="W477" s="95">
        <v>1187.0080076234808</v>
      </c>
      <c r="X477" s="95">
        <v>6225.9541282042655</v>
      </c>
      <c r="Y477" s="95">
        <v>5364.3669869259711</v>
      </c>
      <c r="Z477" s="95">
        <v>9875.6915818750222</v>
      </c>
      <c r="AA477" s="95">
        <v>8595.3084048121236</v>
      </c>
      <c r="AB477" s="95">
        <v>3013.3861441358413</v>
      </c>
      <c r="AC477" s="95">
        <v>8192.2762670746251</v>
      </c>
      <c r="AD477" s="95">
        <v>957.23779763813434</v>
      </c>
      <c r="AE477" s="95">
        <v>10925.830104435037</v>
      </c>
      <c r="AF477" s="95">
        <v>3104.5316666651588</v>
      </c>
      <c r="AG477" s="95">
        <v>18630.488966951936</v>
      </c>
      <c r="AH477" s="95">
        <v>3880.0125835830686</v>
      </c>
      <c r="AI477" s="117">
        <f t="shared" si="49"/>
        <v>368374.94578471559</v>
      </c>
      <c r="AJ477" s="117">
        <f t="shared" si="50"/>
        <v>256079.42315001044</v>
      </c>
      <c r="AK477" s="117">
        <f t="shared" si="51"/>
        <v>79952.092639924653</v>
      </c>
      <c r="AL477" s="23"/>
      <c r="AM477" s="127" t="b">
        <f t="shared" si="52"/>
        <v>0</v>
      </c>
      <c r="AN477" s="127" t="str">
        <f t="shared" si="53"/>
        <v/>
      </c>
      <c r="AO477" s="129"/>
      <c r="AP477" s="129"/>
      <c r="AQ477" s="129"/>
      <c r="AR477" s="129"/>
      <c r="AS477" s="129"/>
      <c r="AT477" s="129"/>
      <c r="AU477" s="129"/>
      <c r="AV477" s="129"/>
      <c r="AW477" s="129">
        <v>1</v>
      </c>
      <c r="AX477" s="197"/>
      <c r="AY477" s="197"/>
      <c r="AZ477" s="197"/>
      <c r="BA477" s="197"/>
      <c r="BB477" s="129"/>
      <c r="BC477" s="129"/>
      <c r="BD477" s="129"/>
      <c r="BE477" s="129"/>
      <c r="BF477" s="129"/>
      <c r="BG477" s="129"/>
      <c r="BH477" s="129"/>
      <c r="BI477" s="129"/>
      <c r="BJ477" s="129"/>
      <c r="BK477" s="129"/>
      <c r="BL477" s="129"/>
      <c r="BM477" s="197">
        <v>1</v>
      </c>
    </row>
    <row r="478" spans="1:65" x14ac:dyDescent="0.25">
      <c r="A478" s="121" t="s">
        <v>44</v>
      </c>
      <c r="B478" s="121" t="s">
        <v>27</v>
      </c>
      <c r="C478" s="172" t="s">
        <v>353</v>
      </c>
      <c r="D478" s="161">
        <v>9</v>
      </c>
      <c r="E478" s="29" t="str">
        <f t="shared" si="48"/>
        <v>Disclosed real return (excl actual asset revaluations)</v>
      </c>
      <c r="F478" s="122">
        <v>9274.1659617588411</v>
      </c>
      <c r="G478" s="122">
        <v>11080.23070264018</v>
      </c>
      <c r="H478" s="122">
        <v>2512.8521674168601</v>
      </c>
      <c r="I478" s="122">
        <v>4774.8810084828983</v>
      </c>
      <c r="J478" s="122">
        <v>6912.6189826253358</v>
      </c>
      <c r="K478" s="122">
        <v>2351.6740336765633</v>
      </c>
      <c r="L478" s="122">
        <v>4655.1578587527674</v>
      </c>
      <c r="M478" s="122">
        <v>1355.647191547801</v>
      </c>
      <c r="N478" s="122">
        <v>6272.8402108952587</v>
      </c>
      <c r="O478" s="122">
        <v>6380.4122073037488</v>
      </c>
      <c r="P478" s="122">
        <v>53875.849345913237</v>
      </c>
      <c r="Q478" s="122">
        <v>8597.6435467009505</v>
      </c>
      <c r="R478" s="122">
        <v>7598.5877130508507</v>
      </c>
      <c r="S478" s="122">
        <v>21296.922659243701</v>
      </c>
      <c r="T478" s="122">
        <v>85744.7985673925</v>
      </c>
      <c r="U478" s="122">
        <v>19844.685419634443</v>
      </c>
      <c r="V478" s="95">
        <v>33405.056748246381</v>
      </c>
      <c r="W478" s="95">
        <v>1191.7139832327987</v>
      </c>
      <c r="X478" s="95">
        <v>6647.4013189399238</v>
      </c>
      <c r="Y478" s="95">
        <v>5239.4817058715389</v>
      </c>
      <c r="Z478" s="95">
        <v>10270.225276258843</v>
      </c>
      <c r="AA478" s="95">
        <v>8577.2259242022737</v>
      </c>
      <c r="AB478" s="95">
        <v>3062.8579245652159</v>
      </c>
      <c r="AC478" s="95">
        <v>9132.5225044169565</v>
      </c>
      <c r="AD478" s="95">
        <v>1172.9768426579774</v>
      </c>
      <c r="AE478" s="95">
        <v>11091.0977213018</v>
      </c>
      <c r="AF478" s="95">
        <v>3157.9043662937133</v>
      </c>
      <c r="AG478" s="95">
        <v>18037.891950779893</v>
      </c>
      <c r="AH478" s="95">
        <v>3942.8291312190609</v>
      </c>
      <c r="AI478" s="117">
        <f t="shared" si="49"/>
        <v>367458.15297502221</v>
      </c>
      <c r="AJ478" s="117">
        <f t="shared" si="50"/>
        <v>252528.96757703595</v>
      </c>
      <c r="AK478" s="117">
        <f t="shared" si="51"/>
        <v>81524.128649739985</v>
      </c>
      <c r="AL478" s="23"/>
      <c r="AM478" s="127" t="b">
        <f t="shared" si="52"/>
        <v>0</v>
      </c>
      <c r="AN478" s="127" t="str">
        <f t="shared" si="53"/>
        <v/>
      </c>
      <c r="AO478" s="129"/>
      <c r="AP478" s="129"/>
      <c r="AQ478" s="129"/>
      <c r="AR478" s="129"/>
      <c r="AS478" s="129"/>
      <c r="AT478" s="129"/>
      <c r="AU478" s="129"/>
      <c r="AV478" s="129"/>
      <c r="AW478" s="129">
        <v>1</v>
      </c>
      <c r="AX478" s="197"/>
      <c r="AY478" s="197"/>
      <c r="AZ478" s="197"/>
      <c r="BA478" s="197"/>
      <c r="BB478" s="129"/>
      <c r="BC478" s="129"/>
      <c r="BD478" s="129"/>
      <c r="BE478" s="129"/>
      <c r="BF478" s="129"/>
      <c r="BG478" s="129"/>
      <c r="BH478" s="129"/>
      <c r="BI478" s="129"/>
      <c r="BJ478" s="129"/>
      <c r="BK478" s="129"/>
      <c r="BL478" s="129"/>
      <c r="BM478" s="197">
        <v>1</v>
      </c>
    </row>
    <row r="479" spans="1:65" x14ac:dyDescent="0.25">
      <c r="A479" s="121"/>
      <c r="B479" s="121"/>
      <c r="C479" s="172"/>
      <c r="D479" s="49"/>
      <c r="E479" s="49"/>
      <c r="F479" s="54"/>
      <c r="G479" s="54"/>
      <c r="H479" s="54"/>
      <c r="I479" s="54"/>
      <c r="J479" s="54"/>
      <c r="K479" s="54"/>
      <c r="L479" s="54"/>
      <c r="M479" s="54"/>
      <c r="N479" s="54"/>
      <c r="O479" s="54"/>
      <c r="P479" s="54"/>
      <c r="Q479" s="54"/>
      <c r="R479" s="54"/>
      <c r="S479" s="54"/>
      <c r="T479" s="54"/>
      <c r="U479" s="54"/>
      <c r="V479" s="54"/>
      <c r="W479" s="55"/>
      <c r="X479" s="55"/>
      <c r="Y479" s="55"/>
      <c r="Z479" s="55"/>
      <c r="AA479" s="55"/>
      <c r="AB479" s="55"/>
      <c r="AC479" s="55"/>
      <c r="AD479" s="55"/>
      <c r="AE479" s="55"/>
      <c r="AF479" s="55"/>
      <c r="AG479" s="55"/>
      <c r="AH479" s="55"/>
      <c r="AI479" s="54"/>
      <c r="AJ479" s="54"/>
      <c r="AK479" s="54"/>
      <c r="AL479" s="23"/>
      <c r="AM479" s="127"/>
      <c r="AN479" s="127"/>
      <c r="AO479" s="129"/>
      <c r="AP479" s="129"/>
      <c r="AQ479" s="129"/>
      <c r="AR479" s="129"/>
      <c r="AS479" s="129"/>
      <c r="AT479" s="129"/>
      <c r="AU479" s="129"/>
      <c r="AV479" s="129"/>
      <c r="AW479" s="129"/>
      <c r="AX479" s="197"/>
      <c r="AY479" s="197"/>
      <c r="AZ479" s="197"/>
      <c r="BA479" s="197"/>
      <c r="BB479" s="129"/>
      <c r="BC479" s="129"/>
      <c r="BD479" s="129"/>
      <c r="BE479" s="129"/>
      <c r="BF479" s="129"/>
      <c r="BG479" s="129"/>
      <c r="BH479" s="129"/>
      <c r="BI479" s="129"/>
      <c r="BJ479" s="129"/>
      <c r="BK479" s="129"/>
      <c r="BL479" s="129"/>
      <c r="BM479" s="197"/>
    </row>
    <row r="480" spans="1:65" x14ac:dyDescent="0.25">
      <c r="A480" s="121"/>
      <c r="B480" s="121"/>
      <c r="C480" s="172"/>
      <c r="D480" s="46"/>
      <c r="E480" s="46"/>
      <c r="F480" s="54"/>
      <c r="G480" s="54"/>
      <c r="H480" s="54"/>
      <c r="I480" s="54"/>
      <c r="J480" s="54"/>
      <c r="K480" s="54"/>
      <c r="L480" s="54"/>
      <c r="M480" s="54"/>
      <c r="N480" s="54"/>
      <c r="O480" s="54"/>
      <c r="P480" s="54"/>
      <c r="Q480" s="54"/>
      <c r="R480" s="54"/>
      <c r="S480" s="54"/>
      <c r="T480" s="54"/>
      <c r="U480" s="54"/>
      <c r="V480" s="54"/>
      <c r="W480" s="55"/>
      <c r="X480" s="55"/>
      <c r="Y480" s="55"/>
      <c r="Z480" s="55"/>
      <c r="AA480" s="55"/>
      <c r="AB480" s="55"/>
      <c r="AC480" s="55"/>
      <c r="AD480" s="55"/>
      <c r="AE480" s="55"/>
      <c r="AF480" s="55"/>
      <c r="AG480" s="55"/>
      <c r="AH480" s="55"/>
      <c r="AI480" s="54"/>
      <c r="AJ480" s="54"/>
      <c r="AK480" s="54"/>
      <c r="AL480" s="23"/>
      <c r="AM480" s="127"/>
      <c r="AN480" s="127"/>
      <c r="AO480" s="129"/>
      <c r="AP480" s="129"/>
      <c r="AQ480" s="129"/>
      <c r="AR480" s="129"/>
      <c r="AS480" s="129"/>
      <c r="AT480" s="129"/>
      <c r="AU480" s="129"/>
      <c r="AV480" s="129"/>
      <c r="AW480" s="129"/>
      <c r="AX480" s="197"/>
      <c r="AY480" s="197"/>
      <c r="AZ480" s="197"/>
      <c r="BA480" s="197"/>
      <c r="BB480" s="129"/>
      <c r="BC480" s="129"/>
      <c r="BD480" s="129"/>
      <c r="BE480" s="129"/>
      <c r="BF480" s="129"/>
      <c r="BG480" s="129"/>
      <c r="BH480" s="129"/>
      <c r="BI480" s="129"/>
      <c r="BJ480" s="129"/>
      <c r="BK480" s="129"/>
      <c r="BL480" s="129"/>
      <c r="BM480" s="197"/>
    </row>
    <row r="481" spans="1:65" x14ac:dyDescent="0.25">
      <c r="A481" s="121" t="s">
        <v>44</v>
      </c>
      <c r="B481" s="121" t="s">
        <v>22</v>
      </c>
      <c r="C481" s="172" t="s">
        <v>211</v>
      </c>
      <c r="D481" s="161">
        <v>10</v>
      </c>
      <c r="E481" s="29" t="str">
        <f t="shared" ref="E481:E486" si="54">INDEX(ra_ScName,MATCH(D481,ra_ScNumber,0))</f>
        <v>Disclosed nominal return (incl actual asset revaluations)</v>
      </c>
      <c r="F481" s="122">
        <v>10171.687593617829</v>
      </c>
      <c r="G481" s="122">
        <v>10135</v>
      </c>
      <c r="H481" s="122">
        <v>2065.1497289251101</v>
      </c>
      <c r="I481" s="122">
        <v>7349.3197272645857</v>
      </c>
      <c r="J481" s="122">
        <v>5849</v>
      </c>
      <c r="K481" s="122">
        <v>2360</v>
      </c>
      <c r="L481" s="122">
        <v>4259.8467630553369</v>
      </c>
      <c r="M481" s="122">
        <v>1076.6679999999999</v>
      </c>
      <c r="N481" s="122">
        <v>6388</v>
      </c>
      <c r="O481" s="122">
        <v>5714</v>
      </c>
      <c r="P481" s="122">
        <v>51266</v>
      </c>
      <c r="Q481" s="122">
        <v>9923</v>
      </c>
      <c r="R481" s="122">
        <v>5247</v>
      </c>
      <c r="S481" s="122">
        <v>16378.23806</v>
      </c>
      <c r="T481" s="122">
        <v>80507</v>
      </c>
      <c r="U481" s="122">
        <v>23245.08936625734</v>
      </c>
      <c r="V481" s="122">
        <v>29014</v>
      </c>
      <c r="W481" s="122">
        <v>1287</v>
      </c>
      <c r="X481" s="122">
        <v>5469.222354156178</v>
      </c>
      <c r="Y481" s="122">
        <v>5329</v>
      </c>
      <c r="Z481" s="122">
        <v>8194</v>
      </c>
      <c r="AA481" s="122">
        <v>9116</v>
      </c>
      <c r="AB481" s="122">
        <v>3281</v>
      </c>
      <c r="AC481" s="122">
        <v>9022.7278748470744</v>
      </c>
      <c r="AD481" s="122">
        <v>843</v>
      </c>
      <c r="AE481" s="122">
        <v>11584</v>
      </c>
      <c r="AF481" s="122">
        <v>2946.399826244141</v>
      </c>
      <c r="AG481" s="122">
        <v>12056.001064113671</v>
      </c>
      <c r="AH481" s="122">
        <v>3486</v>
      </c>
      <c r="AI481" s="117">
        <f t="shared" ref="AI481:AI486" si="55">SUM(F481:AH481)</f>
        <v>343563.35035848129</v>
      </c>
      <c r="AJ481" s="117">
        <f t="shared" ref="AJ481:AJ486" si="56">SUM(F481:U481)</f>
        <v>241934.9992391202</v>
      </c>
      <c r="AK481" s="117">
        <f t="shared" ref="AK481:AK486" si="57">SUM(W481:AH481)</f>
        <v>72614.351119361061</v>
      </c>
      <c r="AL481" s="23"/>
      <c r="AM481" s="127" t="b">
        <f t="shared" ref="AM481:AM486" si="58">IF(INDEX($AO481:$BM481,0,$F$14)=1,TRUE,FALSE)</f>
        <v>1</v>
      </c>
      <c r="AN481" s="127" t="str">
        <f t="shared" ref="AN481:AN486" si="59">IF(AM481,A481&amp;", "&amp;B481,"")</f>
        <v>Total depreciation, 2009/10</v>
      </c>
      <c r="AO481" s="129"/>
      <c r="AP481" s="129"/>
      <c r="AQ481" s="129"/>
      <c r="AR481" s="129"/>
      <c r="AS481" s="129"/>
      <c r="AT481" s="129"/>
      <c r="AU481" s="129"/>
      <c r="AV481" s="129"/>
      <c r="AW481" s="129"/>
      <c r="AX481" s="197">
        <v>1</v>
      </c>
      <c r="AY481" s="197">
        <v>1</v>
      </c>
      <c r="AZ481" s="197">
        <v>1</v>
      </c>
      <c r="BA481" s="197"/>
      <c r="BB481" s="129"/>
      <c r="BC481" s="129"/>
      <c r="BD481" s="129"/>
      <c r="BE481" s="129"/>
      <c r="BF481" s="129"/>
      <c r="BG481" s="129"/>
      <c r="BH481" s="129"/>
      <c r="BI481" s="129"/>
      <c r="BJ481" s="129"/>
      <c r="BK481" s="129"/>
      <c r="BL481" s="129"/>
      <c r="BM481" s="197"/>
    </row>
    <row r="482" spans="1:65" x14ac:dyDescent="0.25">
      <c r="A482" s="121" t="s">
        <v>44</v>
      </c>
      <c r="B482" s="121" t="s">
        <v>23</v>
      </c>
      <c r="C482" s="172" t="s">
        <v>211</v>
      </c>
      <c r="D482" s="161">
        <v>10</v>
      </c>
      <c r="E482" s="29" t="str">
        <f t="shared" si="54"/>
        <v>Disclosed nominal return (incl actual asset revaluations)</v>
      </c>
      <c r="F482" s="122">
        <v>8318.1899058455165</v>
      </c>
      <c r="G482" s="122">
        <v>10301</v>
      </c>
      <c r="H482" s="122">
        <v>2133.9467412436102</v>
      </c>
      <c r="I482" s="122">
        <v>4791.5601109596782</v>
      </c>
      <c r="J482" s="122">
        <v>6274</v>
      </c>
      <c r="K482" s="122">
        <v>2481.1</v>
      </c>
      <c r="L482" s="122">
        <v>4361.1163357426494</v>
      </c>
      <c r="M482" s="122">
        <v>1123.8889999999999</v>
      </c>
      <c r="N482" s="122">
        <v>6110</v>
      </c>
      <c r="O482" s="122">
        <v>5918</v>
      </c>
      <c r="P482" s="122">
        <v>54642</v>
      </c>
      <c r="Q482" s="122">
        <v>9101</v>
      </c>
      <c r="R482" s="122">
        <v>5652</v>
      </c>
      <c r="S482" s="122">
        <v>17596.996160000072</v>
      </c>
      <c r="T482" s="122">
        <v>82989</v>
      </c>
      <c r="U482" s="122">
        <v>27391</v>
      </c>
      <c r="V482" s="122">
        <v>30817</v>
      </c>
      <c r="W482" s="122">
        <v>1250</v>
      </c>
      <c r="X482" s="122">
        <v>5524.4708973296993</v>
      </c>
      <c r="Y482" s="122">
        <v>5435</v>
      </c>
      <c r="Z482" s="122">
        <v>8698</v>
      </c>
      <c r="AA482" s="122">
        <v>8870</v>
      </c>
      <c r="AB482" s="122">
        <v>2856</v>
      </c>
      <c r="AC482" s="122">
        <v>9431.7115136576213</v>
      </c>
      <c r="AD482" s="122">
        <v>914</v>
      </c>
      <c r="AE482" s="122">
        <v>12350</v>
      </c>
      <c r="AF482" s="122">
        <v>3010.7020722664811</v>
      </c>
      <c r="AG482" s="122">
        <v>12526.59675006237</v>
      </c>
      <c r="AH482" s="122">
        <v>3683</v>
      </c>
      <c r="AI482" s="117">
        <f t="shared" si="55"/>
        <v>354551.27948710771</v>
      </c>
      <c r="AJ482" s="117">
        <f t="shared" si="56"/>
        <v>249184.79825379152</v>
      </c>
      <c r="AK482" s="117">
        <f t="shared" si="57"/>
        <v>74549.481233316168</v>
      </c>
      <c r="AL482" s="23"/>
      <c r="AM482" s="127" t="b">
        <f t="shared" si="58"/>
        <v>1</v>
      </c>
      <c r="AN482" s="127" t="str">
        <f t="shared" si="59"/>
        <v>Total depreciation, 2010/11</v>
      </c>
      <c r="AO482" s="129"/>
      <c r="AP482" s="129"/>
      <c r="AQ482" s="129"/>
      <c r="AR482" s="129"/>
      <c r="AS482" s="129"/>
      <c r="AT482" s="129"/>
      <c r="AU482" s="129"/>
      <c r="AV482" s="129"/>
      <c r="AW482" s="129"/>
      <c r="AX482" s="197">
        <v>1</v>
      </c>
      <c r="AY482" s="197">
        <v>1</v>
      </c>
      <c r="AZ482" s="197">
        <v>1</v>
      </c>
      <c r="BA482" s="197"/>
      <c r="BB482" s="129"/>
      <c r="BC482" s="129"/>
      <c r="BD482" s="129"/>
      <c r="BE482" s="129"/>
      <c r="BF482" s="129"/>
      <c r="BG482" s="129"/>
      <c r="BH482" s="129"/>
      <c r="BI482" s="129"/>
      <c r="BJ482" s="129"/>
      <c r="BK482" s="129"/>
      <c r="BL482" s="129"/>
      <c r="BM482" s="197"/>
    </row>
    <row r="483" spans="1:65" x14ac:dyDescent="0.25">
      <c r="A483" s="121" t="s">
        <v>44</v>
      </c>
      <c r="B483" s="121" t="s">
        <v>24</v>
      </c>
      <c r="C483" s="172" t="s">
        <v>211</v>
      </c>
      <c r="D483" s="161">
        <v>10</v>
      </c>
      <c r="E483" s="29" t="str">
        <f t="shared" si="54"/>
        <v>Disclosed nominal return (incl actual asset revaluations)</v>
      </c>
      <c r="F483" s="122">
        <v>8948.8828464783765</v>
      </c>
      <c r="G483" s="122">
        <v>10796</v>
      </c>
      <c r="H483" s="122">
        <v>2324.67669524331</v>
      </c>
      <c r="I483" s="122">
        <v>4934.1786925989472</v>
      </c>
      <c r="J483" s="122">
        <v>7157</v>
      </c>
      <c r="K483" s="122">
        <v>2557</v>
      </c>
      <c r="L483" s="122">
        <v>4483.0695803254839</v>
      </c>
      <c r="M483" s="122">
        <v>1127.8</v>
      </c>
      <c r="N483" s="122">
        <v>6247</v>
      </c>
      <c r="O483" s="122">
        <v>6172</v>
      </c>
      <c r="P483" s="122">
        <v>57706</v>
      </c>
      <c r="Q483" s="122">
        <v>9103</v>
      </c>
      <c r="R483" s="122">
        <v>6183</v>
      </c>
      <c r="S483" s="122">
        <v>19434.602199999921</v>
      </c>
      <c r="T483" s="122">
        <v>87420</v>
      </c>
      <c r="U483" s="122">
        <v>28041</v>
      </c>
      <c r="V483" s="122">
        <v>32348</v>
      </c>
      <c r="W483" s="122">
        <v>1241</v>
      </c>
      <c r="X483" s="122">
        <v>5938.6613643217206</v>
      </c>
      <c r="Y483" s="122">
        <v>5283</v>
      </c>
      <c r="Z483" s="122">
        <v>9432</v>
      </c>
      <c r="AA483" s="122">
        <v>8829</v>
      </c>
      <c r="AB483" s="122">
        <v>2959</v>
      </c>
      <c r="AC483" s="122">
        <v>8273.5615469736858</v>
      </c>
      <c r="AD483" s="122">
        <v>997</v>
      </c>
      <c r="AE483" s="122">
        <v>12296</v>
      </c>
      <c r="AF483" s="122">
        <v>3127.2720277566</v>
      </c>
      <c r="AG483" s="122">
        <v>14602.84217696087</v>
      </c>
      <c r="AH483" s="122">
        <v>3854</v>
      </c>
      <c r="AI483" s="117">
        <f t="shared" si="55"/>
        <v>371816.54713065899</v>
      </c>
      <c r="AJ483" s="117">
        <f t="shared" si="56"/>
        <v>262635.21001464606</v>
      </c>
      <c r="AK483" s="117">
        <f t="shared" si="57"/>
        <v>76833.337116012874</v>
      </c>
      <c r="AL483" s="23"/>
      <c r="AM483" s="127" t="b">
        <f t="shared" si="58"/>
        <v>1</v>
      </c>
      <c r="AN483" s="127" t="str">
        <f t="shared" si="59"/>
        <v>Total depreciation, 2011/12</v>
      </c>
      <c r="AO483" s="129"/>
      <c r="AP483" s="129"/>
      <c r="AQ483" s="129"/>
      <c r="AR483" s="129"/>
      <c r="AS483" s="129"/>
      <c r="AT483" s="129"/>
      <c r="AU483" s="129"/>
      <c r="AV483" s="129"/>
      <c r="AW483" s="129"/>
      <c r="AX483" s="197">
        <v>1</v>
      </c>
      <c r="AY483" s="197">
        <v>1</v>
      </c>
      <c r="AZ483" s="197">
        <v>1</v>
      </c>
      <c r="BA483" s="197"/>
      <c r="BB483" s="129"/>
      <c r="BC483" s="129"/>
      <c r="BD483" s="129"/>
      <c r="BE483" s="129"/>
      <c r="BF483" s="129"/>
      <c r="BG483" s="129"/>
      <c r="BH483" s="129"/>
      <c r="BI483" s="129"/>
      <c r="BJ483" s="129"/>
      <c r="BK483" s="129"/>
      <c r="BL483" s="129"/>
      <c r="BM483" s="197"/>
    </row>
    <row r="484" spans="1:65" x14ac:dyDescent="0.25">
      <c r="A484" s="121" t="s">
        <v>44</v>
      </c>
      <c r="B484" s="121" t="s">
        <v>25</v>
      </c>
      <c r="C484" s="172" t="s">
        <v>211</v>
      </c>
      <c r="D484" s="161">
        <v>10</v>
      </c>
      <c r="E484" s="29" t="str">
        <f t="shared" si="54"/>
        <v>Disclosed nominal return (incl actual asset revaluations)</v>
      </c>
      <c r="F484" s="122">
        <v>8058.7312263080712</v>
      </c>
      <c r="G484" s="122">
        <v>11086</v>
      </c>
      <c r="H484" s="122">
        <v>2483.3194160357998</v>
      </c>
      <c r="I484" s="122">
        <v>4893.061603077299</v>
      </c>
      <c r="J484" s="122">
        <v>6655</v>
      </c>
      <c r="K484" s="122">
        <v>2602</v>
      </c>
      <c r="L484" s="122">
        <v>4377.7585894855329</v>
      </c>
      <c r="M484" s="122">
        <v>1161.329</v>
      </c>
      <c r="N484" s="122">
        <v>6468</v>
      </c>
      <c r="O484" s="122">
        <v>6395</v>
      </c>
      <c r="P484" s="122">
        <v>58271.6</v>
      </c>
      <c r="Q484" s="122">
        <v>9343</v>
      </c>
      <c r="R484" s="122">
        <v>6836</v>
      </c>
      <c r="S484" s="122">
        <v>20408.944329999998</v>
      </c>
      <c r="T484" s="122">
        <v>84718</v>
      </c>
      <c r="U484" s="122">
        <v>26060</v>
      </c>
      <c r="V484" s="122">
        <v>33473</v>
      </c>
      <c r="W484" s="122">
        <v>1243</v>
      </c>
      <c r="X484" s="122">
        <v>6315.6237746117386</v>
      </c>
      <c r="Y484" s="122">
        <v>5245</v>
      </c>
      <c r="Z484" s="122">
        <v>9858</v>
      </c>
      <c r="AA484" s="122">
        <v>8526</v>
      </c>
      <c r="AB484" s="122">
        <v>3050</v>
      </c>
      <c r="AC484" s="122">
        <v>8548.8692615571363</v>
      </c>
      <c r="AD484" s="122">
        <v>1041</v>
      </c>
      <c r="AE484" s="122">
        <v>12583</v>
      </c>
      <c r="AF484" s="122">
        <v>3219.9171584780229</v>
      </c>
      <c r="AG484" s="122">
        <v>15873.539999578359</v>
      </c>
      <c r="AH484" s="122">
        <v>4022</v>
      </c>
      <c r="AI484" s="117">
        <f t="shared" si="55"/>
        <v>372816.69435913191</v>
      </c>
      <c r="AJ484" s="117">
        <f t="shared" si="56"/>
        <v>259817.7441649067</v>
      </c>
      <c r="AK484" s="117">
        <f t="shared" si="57"/>
        <v>79525.950194225254</v>
      </c>
      <c r="AL484" s="23"/>
      <c r="AM484" s="127" t="b">
        <f t="shared" si="58"/>
        <v>1</v>
      </c>
      <c r="AN484" s="127" t="str">
        <f t="shared" si="59"/>
        <v>Total depreciation, 2012/13</v>
      </c>
      <c r="AO484" s="129"/>
      <c r="AP484" s="129"/>
      <c r="AQ484" s="129"/>
      <c r="AR484" s="129"/>
      <c r="AS484" s="129"/>
      <c r="AT484" s="129"/>
      <c r="AU484" s="129"/>
      <c r="AV484" s="129"/>
      <c r="AW484" s="129"/>
      <c r="AX484" s="197">
        <v>1</v>
      </c>
      <c r="AY484" s="197">
        <v>1</v>
      </c>
      <c r="AZ484" s="197">
        <v>1</v>
      </c>
      <c r="BA484" s="197"/>
      <c r="BB484" s="129"/>
      <c r="BC484" s="129"/>
      <c r="BD484" s="129"/>
      <c r="BE484" s="129"/>
      <c r="BF484" s="129"/>
      <c r="BG484" s="129"/>
      <c r="BH484" s="129"/>
      <c r="BI484" s="129"/>
      <c r="BJ484" s="129"/>
      <c r="BK484" s="129"/>
      <c r="BL484" s="129"/>
      <c r="BM484" s="197"/>
    </row>
    <row r="485" spans="1:65" x14ac:dyDescent="0.25">
      <c r="A485" s="121" t="s">
        <v>44</v>
      </c>
      <c r="B485" s="121" t="s">
        <v>26</v>
      </c>
      <c r="C485" s="172" t="s">
        <v>211</v>
      </c>
      <c r="D485" s="161">
        <v>10</v>
      </c>
      <c r="E485" s="29" t="str">
        <f t="shared" si="54"/>
        <v>Disclosed nominal return (incl actual asset revaluations)</v>
      </c>
      <c r="F485" s="122">
        <v>9784.5645807422716</v>
      </c>
      <c r="G485" s="122">
        <v>11473</v>
      </c>
      <c r="H485" s="122">
        <v>2561.6034799999979</v>
      </c>
      <c r="I485" s="122">
        <v>5090.053904675583</v>
      </c>
      <c r="J485" s="122">
        <v>6958.4492641642501</v>
      </c>
      <c r="K485" s="122">
        <v>2526.462</v>
      </c>
      <c r="L485" s="122">
        <v>4656.239889999787</v>
      </c>
      <c r="M485" s="122">
        <v>1172.9069463226481</v>
      </c>
      <c r="N485" s="122">
        <v>6574</v>
      </c>
      <c r="O485" s="122">
        <v>6607</v>
      </c>
      <c r="P485" s="122">
        <v>59856.676680658027</v>
      </c>
      <c r="Q485" s="122">
        <v>8968</v>
      </c>
      <c r="R485" s="122">
        <v>7326.4904744508522</v>
      </c>
      <c r="S485" s="122">
        <v>21312</v>
      </c>
      <c r="T485" s="122">
        <v>90831</v>
      </c>
      <c r="U485" s="122">
        <v>26602</v>
      </c>
      <c r="V485" s="122">
        <v>34384.22</v>
      </c>
      <c r="W485" s="122">
        <v>1270</v>
      </c>
      <c r="X485" s="122">
        <v>6607.7623618851194</v>
      </c>
      <c r="Y485" s="122">
        <v>5715</v>
      </c>
      <c r="Z485" s="122">
        <v>10483</v>
      </c>
      <c r="AA485" s="122">
        <v>9119.6530000000002</v>
      </c>
      <c r="AB485" s="122">
        <v>3202</v>
      </c>
      <c r="AC485" s="122">
        <v>8712.1390175608831</v>
      </c>
      <c r="AD485" s="122">
        <v>1016</v>
      </c>
      <c r="AE485" s="122">
        <v>11626.014999999999</v>
      </c>
      <c r="AF485" s="122">
        <v>3300.631810701952</v>
      </c>
      <c r="AG485" s="122">
        <v>19644.688630000001</v>
      </c>
      <c r="AH485" s="122">
        <v>4135</v>
      </c>
      <c r="AI485" s="117">
        <f t="shared" si="55"/>
        <v>391516.55704116129</v>
      </c>
      <c r="AJ485" s="117">
        <f t="shared" si="56"/>
        <v>272300.44722101337</v>
      </c>
      <c r="AK485" s="117">
        <f t="shared" si="57"/>
        <v>84831.889820147961</v>
      </c>
      <c r="AL485" s="23"/>
      <c r="AM485" s="127" t="b">
        <f t="shared" si="58"/>
        <v>1</v>
      </c>
      <c r="AN485" s="127" t="str">
        <f t="shared" si="59"/>
        <v>Total depreciation, 2013/14</v>
      </c>
      <c r="AO485" s="129"/>
      <c r="AP485" s="129"/>
      <c r="AQ485" s="129"/>
      <c r="AR485" s="129"/>
      <c r="AS485" s="129"/>
      <c r="AT485" s="129"/>
      <c r="AU485" s="129"/>
      <c r="AV485" s="129"/>
      <c r="AW485" s="129"/>
      <c r="AX485" s="197">
        <v>1</v>
      </c>
      <c r="AY485" s="197">
        <v>1</v>
      </c>
      <c r="AZ485" s="197">
        <v>1</v>
      </c>
      <c r="BA485" s="197"/>
      <c r="BB485" s="129"/>
      <c r="BC485" s="129"/>
      <c r="BD485" s="129"/>
      <c r="BE485" s="129"/>
      <c r="BF485" s="129"/>
      <c r="BG485" s="129"/>
      <c r="BH485" s="129"/>
      <c r="BI485" s="129"/>
      <c r="BJ485" s="129"/>
      <c r="BK485" s="129"/>
      <c r="BL485" s="129"/>
      <c r="BM485" s="197"/>
    </row>
    <row r="486" spans="1:65" x14ac:dyDescent="0.25">
      <c r="A486" s="121" t="s">
        <v>44</v>
      </c>
      <c r="B486" s="121" t="s">
        <v>27</v>
      </c>
      <c r="C486" s="172" t="s">
        <v>211</v>
      </c>
      <c r="D486" s="161">
        <v>10</v>
      </c>
      <c r="E486" s="29" t="str">
        <f t="shared" si="54"/>
        <v>Disclosed nominal return (incl actual asset revaluations)</v>
      </c>
      <c r="F486" s="122">
        <v>9885</v>
      </c>
      <c r="G486" s="122">
        <v>11941</v>
      </c>
      <c r="H486" s="122">
        <v>2694</v>
      </c>
      <c r="I486" s="122">
        <v>5147.6911944089925</v>
      </c>
      <c r="J486" s="122">
        <v>7374.8213889701783</v>
      </c>
      <c r="K486" s="122">
        <v>2538.8060000000005</v>
      </c>
      <c r="L486" s="122">
        <v>5001.3573500001276</v>
      </c>
      <c r="M486" s="122">
        <v>1430</v>
      </c>
      <c r="N486" s="122">
        <v>6778</v>
      </c>
      <c r="O486" s="122">
        <v>6858</v>
      </c>
      <c r="P486" s="122">
        <v>57918.173984019893</v>
      </c>
      <c r="Q486" s="122">
        <v>9265.482151073511</v>
      </c>
      <c r="R486" s="122">
        <v>8072.4515267208535</v>
      </c>
      <c r="S486" s="122">
        <v>22846</v>
      </c>
      <c r="T486" s="122">
        <v>92306</v>
      </c>
      <c r="U486" s="122">
        <v>21397</v>
      </c>
      <c r="V486" s="122">
        <v>35909.974000000002</v>
      </c>
      <c r="W486" s="122">
        <v>1289.6132399999869</v>
      </c>
      <c r="X486" s="122">
        <v>7132</v>
      </c>
      <c r="Y486" s="122">
        <v>5657.0616900000005</v>
      </c>
      <c r="Z486" s="122">
        <v>10976</v>
      </c>
      <c r="AA486" s="122">
        <v>9203</v>
      </c>
      <c r="AB486" s="122">
        <v>3295</v>
      </c>
      <c r="AC486" s="122">
        <v>9821.0585982765515</v>
      </c>
      <c r="AD486" s="122">
        <v>1257</v>
      </c>
      <c r="AE486" s="122">
        <v>11940.64</v>
      </c>
      <c r="AF486" s="122">
        <v>3400.3476521935777</v>
      </c>
      <c r="AG486" s="122">
        <v>19240.678599999999</v>
      </c>
      <c r="AH486" s="122">
        <v>4261</v>
      </c>
      <c r="AI486" s="117">
        <f t="shared" si="55"/>
        <v>394837.15737566364</v>
      </c>
      <c r="AJ486" s="117">
        <f t="shared" si="56"/>
        <v>271453.78359519353</v>
      </c>
      <c r="AK486" s="117">
        <f t="shared" si="57"/>
        <v>87473.399780470121</v>
      </c>
      <c r="AL486" s="23"/>
      <c r="AM486" s="127" t="b">
        <f t="shared" si="58"/>
        <v>1</v>
      </c>
      <c r="AN486" s="127" t="str">
        <f t="shared" si="59"/>
        <v>Total depreciation, 2014/15</v>
      </c>
      <c r="AO486" s="129"/>
      <c r="AP486" s="129"/>
      <c r="AQ486" s="129"/>
      <c r="AR486" s="129"/>
      <c r="AS486" s="129"/>
      <c r="AT486" s="129"/>
      <c r="AU486" s="129"/>
      <c r="AV486" s="129"/>
      <c r="AW486" s="129"/>
      <c r="AX486" s="197">
        <v>1</v>
      </c>
      <c r="AY486" s="197">
        <v>1</v>
      </c>
      <c r="AZ486" s="197">
        <v>1</v>
      </c>
      <c r="BA486" s="197"/>
      <c r="BB486" s="129"/>
      <c r="BC486" s="129"/>
      <c r="BD486" s="129"/>
      <c r="BE486" s="129"/>
      <c r="BF486" s="129"/>
      <c r="BG486" s="129"/>
      <c r="BH486" s="129"/>
      <c r="BI486" s="129"/>
      <c r="BJ486" s="129"/>
      <c r="BK486" s="129"/>
      <c r="BL486" s="129"/>
      <c r="BM486" s="197"/>
    </row>
    <row r="487" spans="1:65" x14ac:dyDescent="0.25">
      <c r="A487" s="139"/>
      <c r="B487" s="139"/>
      <c r="C487" s="172"/>
      <c r="D487" s="49"/>
      <c r="E487" s="49"/>
      <c r="F487" s="54"/>
      <c r="G487" s="54"/>
      <c r="H487" s="54"/>
      <c r="I487" s="54"/>
      <c r="J487" s="54"/>
      <c r="K487" s="54"/>
      <c r="L487" s="54"/>
      <c r="M487" s="54"/>
      <c r="N487" s="54"/>
      <c r="O487" s="54"/>
      <c r="P487" s="54"/>
      <c r="Q487" s="54"/>
      <c r="R487" s="54"/>
      <c r="S487" s="54"/>
      <c r="T487" s="54"/>
      <c r="U487" s="54"/>
      <c r="V487" s="54"/>
      <c r="W487" s="55"/>
      <c r="X487" s="55"/>
      <c r="Y487" s="55"/>
      <c r="Z487" s="55"/>
      <c r="AA487" s="55"/>
      <c r="AB487" s="55"/>
      <c r="AC487" s="55"/>
      <c r="AD487" s="55"/>
      <c r="AE487" s="55"/>
      <c r="AF487" s="55"/>
      <c r="AG487" s="55"/>
      <c r="AH487" s="55"/>
      <c r="AI487" s="54"/>
      <c r="AJ487" s="54"/>
      <c r="AK487" s="54"/>
      <c r="AL487" s="23"/>
      <c r="AM487" s="127"/>
      <c r="AN487" s="127"/>
      <c r="AO487" s="129"/>
      <c r="AP487" s="129"/>
      <c r="AQ487" s="129"/>
      <c r="AR487" s="129"/>
      <c r="AS487" s="129"/>
      <c r="AT487" s="129"/>
      <c r="AU487" s="129"/>
      <c r="AV487" s="129"/>
      <c r="AW487" s="129"/>
      <c r="AX487" s="197"/>
      <c r="AY487" s="197"/>
      <c r="AZ487" s="197"/>
      <c r="BA487" s="197"/>
      <c r="BB487" s="129"/>
      <c r="BC487" s="129"/>
      <c r="BD487" s="129"/>
      <c r="BE487" s="129"/>
      <c r="BF487" s="129"/>
      <c r="BG487" s="129"/>
      <c r="BH487" s="129"/>
      <c r="BI487" s="129"/>
      <c r="BJ487" s="129"/>
      <c r="BK487" s="129"/>
      <c r="BL487" s="129"/>
      <c r="BM487" s="197"/>
    </row>
    <row r="488" spans="1:65" x14ac:dyDescent="0.25">
      <c r="A488" s="139"/>
      <c r="B488" s="139"/>
      <c r="C488" s="172"/>
      <c r="D488" s="46"/>
      <c r="E488" s="46"/>
      <c r="F488" s="54"/>
      <c r="G488" s="54"/>
      <c r="H488" s="54"/>
      <c r="I488" s="54"/>
      <c r="J488" s="54"/>
      <c r="K488" s="54"/>
      <c r="L488" s="54"/>
      <c r="M488" s="54"/>
      <c r="N488" s="54"/>
      <c r="O488" s="54"/>
      <c r="P488" s="54"/>
      <c r="Q488" s="54"/>
      <c r="R488" s="54"/>
      <c r="S488" s="54"/>
      <c r="T488" s="54"/>
      <c r="U488" s="54"/>
      <c r="V488" s="54"/>
      <c r="W488" s="55"/>
      <c r="X488" s="55"/>
      <c r="Y488" s="55"/>
      <c r="Z488" s="55"/>
      <c r="AA488" s="55"/>
      <c r="AB488" s="55"/>
      <c r="AC488" s="55"/>
      <c r="AD488" s="55"/>
      <c r="AE488" s="55"/>
      <c r="AF488" s="55"/>
      <c r="AG488" s="55"/>
      <c r="AH488" s="55"/>
      <c r="AI488" s="54"/>
      <c r="AJ488" s="54"/>
      <c r="AK488" s="54"/>
      <c r="AL488" s="23"/>
      <c r="AM488" s="127"/>
      <c r="AN488" s="127"/>
      <c r="AO488" s="129"/>
      <c r="AP488" s="129"/>
      <c r="AQ488" s="129"/>
      <c r="AR488" s="129"/>
      <c r="AS488" s="129"/>
      <c r="AT488" s="129"/>
      <c r="AU488" s="129"/>
      <c r="AV488" s="129"/>
      <c r="AW488" s="129"/>
      <c r="AX488" s="197"/>
      <c r="AY488" s="197"/>
      <c r="AZ488" s="197"/>
      <c r="BA488" s="197"/>
      <c r="BB488" s="129"/>
      <c r="BC488" s="129"/>
      <c r="BD488" s="129"/>
      <c r="BE488" s="129"/>
      <c r="BF488" s="129"/>
      <c r="BG488" s="129"/>
      <c r="BH488" s="129"/>
      <c r="BI488" s="129"/>
      <c r="BJ488" s="129"/>
      <c r="BK488" s="129"/>
      <c r="BL488" s="129"/>
      <c r="BM488" s="197"/>
    </row>
    <row r="489" spans="1:65" x14ac:dyDescent="0.25">
      <c r="A489" s="139" t="s">
        <v>44</v>
      </c>
      <c r="B489" s="139" t="s">
        <v>22</v>
      </c>
      <c r="C489" s="172" t="s">
        <v>372</v>
      </c>
      <c r="D489" s="161">
        <v>23</v>
      </c>
      <c r="E489" s="29" t="str">
        <f t="shared" ref="E489:E494" si="60">INDEX(ra_ScName,MATCH(D489,ra_ScNumber,0))</f>
        <v>Further revenue effects</v>
      </c>
      <c r="F489" s="122">
        <v>7644</v>
      </c>
      <c r="G489" s="122">
        <v>7786</v>
      </c>
      <c r="H489" s="122">
        <v>2023</v>
      </c>
      <c r="I489" s="122">
        <v>4225</v>
      </c>
      <c r="J489" s="122">
        <v>5894</v>
      </c>
      <c r="K489" s="122">
        <v>2382</v>
      </c>
      <c r="L489" s="122">
        <v>3449</v>
      </c>
      <c r="M489" s="122">
        <v>1084.6002031156527</v>
      </c>
      <c r="N489" s="122">
        <v>6387.6247468541751</v>
      </c>
      <c r="O489" s="122">
        <v>6303</v>
      </c>
      <c r="P489" s="122">
        <v>52422</v>
      </c>
      <c r="Q489" s="122">
        <v>5635.3221811466228</v>
      </c>
      <c r="R489" s="122">
        <v>5234</v>
      </c>
      <c r="S489" s="122">
        <v>16649.2682399277</v>
      </c>
      <c r="T489" s="122">
        <v>76573.310789910291</v>
      </c>
      <c r="U489" s="122">
        <v>25343.756747688079</v>
      </c>
      <c r="V489" s="122">
        <v>10172</v>
      </c>
      <c r="W489" s="122"/>
      <c r="X489" s="122"/>
      <c r="Y489" s="122"/>
      <c r="Z489" s="122"/>
      <c r="AA489" s="122"/>
      <c r="AB489" s="122"/>
      <c r="AC489" s="122"/>
      <c r="AD489" s="122"/>
      <c r="AE489" s="122"/>
      <c r="AF489" s="122"/>
      <c r="AG489" s="122"/>
      <c r="AH489" s="122"/>
      <c r="AI489" s="117">
        <f t="shared" ref="AI489:AI494" si="61">SUM(F489:AH489)</f>
        <v>239207.8829086425</v>
      </c>
      <c r="AJ489" s="117">
        <f t="shared" ref="AJ489:AJ494" si="62">SUM(F489:U489)</f>
        <v>229035.8829086425</v>
      </c>
      <c r="AK489" s="117">
        <f t="shared" ref="AK489:AK494" si="63">SUM(W489:AH489)</f>
        <v>0</v>
      </c>
      <c r="AL489" s="23"/>
      <c r="AM489" s="127" t="b">
        <f t="shared" ref="AM489:AM494" si="64">IF(INDEX($AO489:$BM489,0,$F$14)=1,TRUE,FALSE)</f>
        <v>0</v>
      </c>
      <c r="AN489" s="127" t="str">
        <f t="shared" ref="AN489:AN494" si="65">IF(AM489,A489&amp;", "&amp;B489,"")</f>
        <v/>
      </c>
      <c r="AO489" s="129"/>
      <c r="AP489" s="129"/>
      <c r="AQ489" s="129"/>
      <c r="AR489" s="129"/>
      <c r="AS489" s="129"/>
      <c r="AT489" s="129"/>
      <c r="AU489" s="129"/>
      <c r="AV489" s="129"/>
      <c r="AW489" s="129"/>
      <c r="AX489" s="197"/>
      <c r="AY489" s="197"/>
      <c r="AZ489" s="197"/>
      <c r="BA489" s="197"/>
      <c r="BB489" s="129"/>
      <c r="BC489" s="129"/>
      <c r="BD489" s="129"/>
      <c r="BE489" s="129"/>
      <c r="BF489" s="129"/>
      <c r="BG489" s="129"/>
      <c r="BH489" s="129"/>
      <c r="BI489" s="129"/>
      <c r="BJ489" s="129"/>
      <c r="BK489" s="129"/>
      <c r="BL489" s="129"/>
      <c r="BM489" s="197"/>
    </row>
    <row r="490" spans="1:65" x14ac:dyDescent="0.25">
      <c r="A490" s="139" t="s">
        <v>44</v>
      </c>
      <c r="B490" s="139" t="s">
        <v>23</v>
      </c>
      <c r="C490" s="172" t="s">
        <v>372</v>
      </c>
      <c r="D490" s="161">
        <v>23</v>
      </c>
      <c r="E490" s="29" t="str">
        <f t="shared" si="60"/>
        <v>Further revenue effects</v>
      </c>
      <c r="F490" s="122">
        <v>7862.4242197473304</v>
      </c>
      <c r="G490" s="122">
        <v>8056.6066268311979</v>
      </c>
      <c r="H490" s="122">
        <v>2079.6496222222222</v>
      </c>
      <c r="I490" s="122">
        <v>4327.8284763987604</v>
      </c>
      <c r="J490" s="122">
        <v>6211.7111111111108</v>
      </c>
      <c r="K490" s="122">
        <v>2447.3343223721358</v>
      </c>
      <c r="L490" s="122">
        <v>3504.3406306402412</v>
      </c>
      <c r="M490" s="122">
        <v>1112.1255364489859</v>
      </c>
      <c r="N490" s="122">
        <v>6505.1283460949162</v>
      </c>
      <c r="O490" s="122">
        <v>6421.0888888888885</v>
      </c>
      <c r="P490" s="122">
        <v>53362.84135982061</v>
      </c>
      <c r="Q490" s="122">
        <v>5778.1709098218116</v>
      </c>
      <c r="R490" s="122">
        <v>5376.2441444145579</v>
      </c>
      <c r="S490" s="122">
        <v>17396.704549075126</v>
      </c>
      <c r="T490" s="122">
        <v>79185.102214642204</v>
      </c>
      <c r="U490" s="122">
        <v>26120.317006203521</v>
      </c>
      <c r="V490" s="122">
        <v>10279.904193024637</v>
      </c>
      <c r="W490" s="122"/>
      <c r="X490" s="122"/>
      <c r="Y490" s="122"/>
      <c r="Z490" s="122"/>
      <c r="AA490" s="122"/>
      <c r="AB490" s="122"/>
      <c r="AC490" s="122"/>
      <c r="AD490" s="122"/>
      <c r="AE490" s="122"/>
      <c r="AF490" s="122"/>
      <c r="AG490" s="122"/>
      <c r="AH490" s="122"/>
      <c r="AI490" s="117">
        <f t="shared" si="61"/>
        <v>246027.52215775827</v>
      </c>
      <c r="AJ490" s="117">
        <f t="shared" si="62"/>
        <v>235747.61796473362</v>
      </c>
      <c r="AK490" s="117">
        <f t="shared" si="63"/>
        <v>0</v>
      </c>
      <c r="AL490" s="23"/>
      <c r="AM490" s="127" t="b">
        <f t="shared" si="64"/>
        <v>0</v>
      </c>
      <c r="AN490" s="127" t="str">
        <f t="shared" si="65"/>
        <v/>
      </c>
      <c r="AO490" s="129"/>
      <c r="AP490" s="129"/>
      <c r="AQ490" s="129"/>
      <c r="AR490" s="129"/>
      <c r="AS490" s="129"/>
      <c r="AT490" s="129"/>
      <c r="AU490" s="129"/>
      <c r="AV490" s="129"/>
      <c r="AW490" s="129"/>
      <c r="AX490" s="197"/>
      <c r="AY490" s="197"/>
      <c r="AZ490" s="197"/>
      <c r="BA490" s="197"/>
      <c r="BB490" s="129"/>
      <c r="BC490" s="129"/>
      <c r="BD490" s="129"/>
      <c r="BE490" s="129"/>
      <c r="BF490" s="129"/>
      <c r="BG490" s="129"/>
      <c r="BH490" s="129"/>
      <c r="BI490" s="129"/>
      <c r="BJ490" s="129"/>
      <c r="BK490" s="129"/>
      <c r="BL490" s="129"/>
      <c r="BM490" s="197"/>
    </row>
    <row r="491" spans="1:65" x14ac:dyDescent="0.25">
      <c r="A491" s="139" t="s">
        <v>44</v>
      </c>
      <c r="B491" s="139" t="s">
        <v>24</v>
      </c>
      <c r="C491" s="172" t="s">
        <v>372</v>
      </c>
      <c r="D491" s="161">
        <v>23</v>
      </c>
      <c r="E491" s="29" t="str">
        <f t="shared" si="60"/>
        <v>Further revenue effects</v>
      </c>
      <c r="F491" s="122">
        <v>8394.1798027641817</v>
      </c>
      <c r="G491" s="122">
        <v>8488.0039649345908</v>
      </c>
      <c r="H491" s="122">
        <v>2210.097812463935</v>
      </c>
      <c r="I491" s="122">
        <v>4439.2621998089708</v>
      </c>
      <c r="J491" s="122">
        <v>6494.3314387027367</v>
      </c>
      <c r="K491" s="122">
        <v>2537.1216507415998</v>
      </c>
      <c r="L491" s="122">
        <v>3634.1991068649982</v>
      </c>
      <c r="M491" s="122">
        <v>1248.9970096816514</v>
      </c>
      <c r="N491" s="122">
        <v>6698.2249192027957</v>
      </c>
      <c r="O491" s="122">
        <v>6634.8182106720014</v>
      </c>
      <c r="P491" s="122">
        <v>54496.466856680447</v>
      </c>
      <c r="Q491" s="122">
        <v>5959.9759252073563</v>
      </c>
      <c r="R491" s="122">
        <v>5702.3758449601337</v>
      </c>
      <c r="S491" s="122">
        <v>18187.056443253088</v>
      </c>
      <c r="T491" s="122">
        <v>81514.34662186417</v>
      </c>
      <c r="U491" s="122">
        <v>26747.827851245438</v>
      </c>
      <c r="V491" s="122">
        <v>10451.739710987546</v>
      </c>
      <c r="W491" s="122"/>
      <c r="X491" s="122"/>
      <c r="Y491" s="122"/>
      <c r="Z491" s="122"/>
      <c r="AA491" s="122"/>
      <c r="AB491" s="122"/>
      <c r="AC491" s="122"/>
      <c r="AD491" s="122"/>
      <c r="AE491" s="122"/>
      <c r="AF491" s="122"/>
      <c r="AG491" s="122"/>
      <c r="AH491" s="122"/>
      <c r="AI491" s="117">
        <f t="shared" si="61"/>
        <v>253839.02537003564</v>
      </c>
      <c r="AJ491" s="117">
        <f t="shared" si="62"/>
        <v>243387.2856590481</v>
      </c>
      <c r="AK491" s="117">
        <f t="shared" si="63"/>
        <v>0</v>
      </c>
      <c r="AL491" s="23"/>
      <c r="AM491" s="127" t="b">
        <f t="shared" si="64"/>
        <v>0</v>
      </c>
      <c r="AN491" s="127" t="str">
        <f t="shared" si="65"/>
        <v/>
      </c>
      <c r="AO491" s="129"/>
      <c r="AP491" s="129"/>
      <c r="AQ491" s="129"/>
      <c r="AR491" s="129"/>
      <c r="AS491" s="129"/>
      <c r="AT491" s="129"/>
      <c r="AU491" s="129"/>
      <c r="AV491" s="129"/>
      <c r="AW491" s="129"/>
      <c r="AX491" s="197"/>
      <c r="AY491" s="197"/>
      <c r="AZ491" s="197"/>
      <c r="BA491" s="197"/>
      <c r="BB491" s="129"/>
      <c r="BC491" s="129"/>
      <c r="BD491" s="129"/>
      <c r="BE491" s="129"/>
      <c r="BF491" s="129"/>
      <c r="BG491" s="129"/>
      <c r="BH491" s="129"/>
      <c r="BI491" s="129"/>
      <c r="BJ491" s="129"/>
      <c r="BK491" s="129"/>
      <c r="BL491" s="129"/>
      <c r="BM491" s="197"/>
    </row>
    <row r="492" spans="1:65" x14ac:dyDescent="0.25">
      <c r="A492" s="139" t="s">
        <v>44</v>
      </c>
      <c r="B492" s="139" t="s">
        <v>25</v>
      </c>
      <c r="C492" s="172" t="s">
        <v>372</v>
      </c>
      <c r="D492" s="161">
        <v>23</v>
      </c>
      <c r="E492" s="29" t="str">
        <f t="shared" si="60"/>
        <v>Further revenue effects</v>
      </c>
      <c r="F492" s="122">
        <v>8882.7265213842365</v>
      </c>
      <c r="G492" s="122">
        <v>8930.2848816561855</v>
      </c>
      <c r="H492" s="122">
        <v>2277.0521729064726</v>
      </c>
      <c r="I492" s="122">
        <v>4558.6651301825405</v>
      </c>
      <c r="J492" s="122">
        <v>6856.4565080352204</v>
      </c>
      <c r="K492" s="122">
        <v>2616.3126793429783</v>
      </c>
      <c r="L492" s="122">
        <v>3767.2811856435414</v>
      </c>
      <c r="M492" s="122">
        <v>1389.958112715708</v>
      </c>
      <c r="N492" s="122">
        <v>6867.6782321520695</v>
      </c>
      <c r="O492" s="122">
        <v>6854.2745578888171</v>
      </c>
      <c r="P492" s="122">
        <v>55616.07015667059</v>
      </c>
      <c r="Q492" s="122">
        <v>6131.5387124000808</v>
      </c>
      <c r="R492" s="122">
        <v>6067.9369134026892</v>
      </c>
      <c r="S492" s="122">
        <v>19177.370194907067</v>
      </c>
      <c r="T492" s="122">
        <v>84070.962390788249</v>
      </c>
      <c r="U492" s="122">
        <v>27447.923143557724</v>
      </c>
      <c r="V492" s="122">
        <v>10615.718579417007</v>
      </c>
      <c r="W492" s="122"/>
      <c r="X492" s="122"/>
      <c r="Y492" s="122"/>
      <c r="Z492" s="122"/>
      <c r="AA492" s="122"/>
      <c r="AB492" s="122"/>
      <c r="AC492" s="122"/>
      <c r="AD492" s="122"/>
      <c r="AE492" s="122"/>
      <c r="AF492" s="122"/>
      <c r="AG492" s="122"/>
      <c r="AH492" s="122"/>
      <c r="AI492" s="117">
        <f t="shared" si="61"/>
        <v>262128.21007305119</v>
      </c>
      <c r="AJ492" s="117">
        <f t="shared" si="62"/>
        <v>251512.49149363418</v>
      </c>
      <c r="AK492" s="117">
        <f t="shared" si="63"/>
        <v>0</v>
      </c>
      <c r="AL492" s="23"/>
      <c r="AM492" s="127" t="b">
        <f t="shared" si="64"/>
        <v>0</v>
      </c>
      <c r="AN492" s="127" t="str">
        <f t="shared" si="65"/>
        <v/>
      </c>
      <c r="AO492" s="129"/>
      <c r="AP492" s="129"/>
      <c r="AQ492" s="129"/>
      <c r="AR492" s="129"/>
      <c r="AS492" s="129"/>
      <c r="AT492" s="129"/>
      <c r="AU492" s="129"/>
      <c r="AV492" s="129"/>
      <c r="AW492" s="129"/>
      <c r="AX492" s="197"/>
      <c r="AY492" s="197"/>
      <c r="AZ492" s="197"/>
      <c r="BA492" s="197"/>
      <c r="BB492" s="129"/>
      <c r="BC492" s="129"/>
      <c r="BD492" s="129"/>
      <c r="BE492" s="129"/>
      <c r="BF492" s="129"/>
      <c r="BG492" s="129"/>
      <c r="BH492" s="129"/>
      <c r="BI492" s="129"/>
      <c r="BJ492" s="129"/>
      <c r="BK492" s="129"/>
      <c r="BL492" s="129"/>
      <c r="BM492" s="197"/>
    </row>
    <row r="493" spans="1:65" x14ac:dyDescent="0.25">
      <c r="A493" s="139" t="s">
        <v>44</v>
      </c>
      <c r="B493" s="139" t="s">
        <v>26</v>
      </c>
      <c r="C493" s="172" t="s">
        <v>372</v>
      </c>
      <c r="D493" s="161">
        <v>23</v>
      </c>
      <c r="E493" s="29" t="str">
        <f t="shared" si="60"/>
        <v>Further revenue effects</v>
      </c>
      <c r="F493" s="122">
        <v>9530.2232734395438</v>
      </c>
      <c r="G493" s="122">
        <v>9286.9234123321821</v>
      </c>
      <c r="H493" s="122">
        <v>2361.7578881248328</v>
      </c>
      <c r="I493" s="122">
        <v>4677.6733344705153</v>
      </c>
      <c r="J493" s="122">
        <v>7074.9155360806681</v>
      </c>
      <c r="K493" s="122">
        <v>2693.9672814516757</v>
      </c>
      <c r="L493" s="122">
        <v>3890.7829268865894</v>
      </c>
      <c r="M493" s="122">
        <v>1432.3088641505835</v>
      </c>
      <c r="N493" s="122">
        <v>7009.6956386702168</v>
      </c>
      <c r="O493" s="122">
        <v>7084.6339260476898</v>
      </c>
      <c r="P493" s="122">
        <v>56749.86114748862</v>
      </c>
      <c r="Q493" s="122">
        <v>6312.7707893322658</v>
      </c>
      <c r="R493" s="122">
        <v>6412.3089410729872</v>
      </c>
      <c r="S493" s="122">
        <v>20101.987367379355</v>
      </c>
      <c r="T493" s="122">
        <v>86869.59038597632</v>
      </c>
      <c r="U493" s="122">
        <v>28215.901625263115</v>
      </c>
      <c r="V493" s="122">
        <v>10804.391720717695</v>
      </c>
      <c r="W493" s="122"/>
      <c r="X493" s="122"/>
      <c r="Y493" s="122"/>
      <c r="Z493" s="122"/>
      <c r="AA493" s="122"/>
      <c r="AB493" s="122"/>
      <c r="AC493" s="122"/>
      <c r="AD493" s="122"/>
      <c r="AE493" s="122"/>
      <c r="AF493" s="122"/>
      <c r="AG493" s="122"/>
      <c r="AH493" s="122"/>
      <c r="AI493" s="117">
        <f t="shared" si="61"/>
        <v>270509.69405888487</v>
      </c>
      <c r="AJ493" s="117">
        <f t="shared" si="62"/>
        <v>259705.30233816718</v>
      </c>
      <c r="AK493" s="117">
        <f t="shared" si="63"/>
        <v>0</v>
      </c>
      <c r="AL493" s="23"/>
      <c r="AM493" s="127" t="b">
        <f t="shared" si="64"/>
        <v>0</v>
      </c>
      <c r="AN493" s="127" t="str">
        <f t="shared" si="65"/>
        <v/>
      </c>
      <c r="AO493" s="129"/>
      <c r="AP493" s="129"/>
      <c r="AQ493" s="129"/>
      <c r="AR493" s="129"/>
      <c r="AS493" s="129"/>
      <c r="AT493" s="129"/>
      <c r="AU493" s="129"/>
      <c r="AV493" s="129"/>
      <c r="AW493" s="129"/>
      <c r="AX493" s="197"/>
      <c r="AY493" s="197"/>
      <c r="AZ493" s="197"/>
      <c r="BA493" s="197"/>
      <c r="BB493" s="129"/>
      <c r="BC493" s="129"/>
      <c r="BD493" s="129"/>
      <c r="BE493" s="129"/>
      <c r="BF493" s="129"/>
      <c r="BG493" s="129"/>
      <c r="BH493" s="129"/>
      <c r="BI493" s="129"/>
      <c r="BJ493" s="129"/>
      <c r="BK493" s="129"/>
      <c r="BL493" s="129"/>
      <c r="BM493" s="197"/>
    </row>
    <row r="494" spans="1:65" x14ac:dyDescent="0.25">
      <c r="A494" s="139" t="s">
        <v>44</v>
      </c>
      <c r="B494" s="139" t="s">
        <v>27</v>
      </c>
      <c r="C494" s="172" t="s">
        <v>372</v>
      </c>
      <c r="D494" s="161">
        <v>23</v>
      </c>
      <c r="E494" s="29" t="str">
        <f t="shared" si="60"/>
        <v>Further revenue effects</v>
      </c>
      <c r="F494" s="122">
        <v>9973.674149043025</v>
      </c>
      <c r="G494" s="122">
        <v>9729.408248809912</v>
      </c>
      <c r="H494" s="122">
        <v>2433.0216933029615</v>
      </c>
      <c r="I494" s="122">
        <v>4797.3041282631038</v>
      </c>
      <c r="J494" s="122">
        <v>7327.3104186092423</v>
      </c>
      <c r="K494" s="122">
        <v>2763.6410854061105</v>
      </c>
      <c r="L494" s="122">
        <v>3986.0568909066128</v>
      </c>
      <c r="M494" s="122">
        <v>1466.941049424265</v>
      </c>
      <c r="N494" s="122">
        <v>7134.8271425651164</v>
      </c>
      <c r="O494" s="122">
        <v>7313.7563714231874</v>
      </c>
      <c r="P494" s="122">
        <v>57976.395598369389</v>
      </c>
      <c r="Q494" s="122">
        <v>6506.6133779145239</v>
      </c>
      <c r="R494" s="122">
        <v>6745.0151246236719</v>
      </c>
      <c r="S494" s="122">
        <v>21081.73198019866</v>
      </c>
      <c r="T494" s="122">
        <v>89863.802993584686</v>
      </c>
      <c r="U494" s="122">
        <v>28997.627811837228</v>
      </c>
      <c r="V494" s="122">
        <v>10922.456052530033</v>
      </c>
      <c r="W494" s="122"/>
      <c r="X494" s="122"/>
      <c r="Y494" s="122"/>
      <c r="Z494" s="122"/>
      <c r="AA494" s="122"/>
      <c r="AB494" s="122"/>
      <c r="AC494" s="122"/>
      <c r="AD494" s="122"/>
      <c r="AE494" s="122"/>
      <c r="AF494" s="122"/>
      <c r="AG494" s="122"/>
      <c r="AH494" s="122"/>
      <c r="AI494" s="117">
        <f t="shared" si="61"/>
        <v>279019.58411681175</v>
      </c>
      <c r="AJ494" s="117">
        <f t="shared" si="62"/>
        <v>268097.12806428171</v>
      </c>
      <c r="AK494" s="117">
        <f t="shared" si="63"/>
        <v>0</v>
      </c>
      <c r="AL494" s="23"/>
      <c r="AM494" s="127" t="b">
        <f t="shared" si="64"/>
        <v>0</v>
      </c>
      <c r="AN494" s="127" t="str">
        <f t="shared" si="65"/>
        <v/>
      </c>
      <c r="AO494" s="129"/>
      <c r="AP494" s="129"/>
      <c r="AQ494" s="129"/>
      <c r="AR494" s="129"/>
      <c r="AS494" s="129"/>
      <c r="AT494" s="129"/>
      <c r="AU494" s="129"/>
      <c r="AV494" s="129"/>
      <c r="AW494" s="129"/>
      <c r="AX494" s="197"/>
      <c r="AY494" s="197"/>
      <c r="AZ494" s="197"/>
      <c r="BA494" s="197"/>
      <c r="BB494" s="129"/>
      <c r="BC494" s="129"/>
      <c r="BD494" s="129"/>
      <c r="BE494" s="129"/>
      <c r="BF494" s="129"/>
      <c r="BG494" s="129"/>
      <c r="BH494" s="129"/>
      <c r="BI494" s="129"/>
      <c r="BJ494" s="129"/>
      <c r="BK494" s="129"/>
      <c r="BL494" s="129"/>
      <c r="BM494" s="197"/>
    </row>
    <row r="495" spans="1:65" x14ac:dyDescent="0.25">
      <c r="A495" s="151"/>
      <c r="B495" s="151"/>
      <c r="C495" s="172"/>
      <c r="D495" s="49"/>
      <c r="E495" s="49"/>
      <c r="F495" s="54"/>
      <c r="G495" s="54"/>
      <c r="H495" s="54"/>
      <c r="I495" s="54"/>
      <c r="J495" s="54"/>
      <c r="K495" s="54"/>
      <c r="L495" s="54"/>
      <c r="M495" s="54"/>
      <c r="N495" s="54"/>
      <c r="O495" s="54"/>
      <c r="P495" s="54"/>
      <c r="Q495" s="54"/>
      <c r="R495" s="54"/>
      <c r="S495" s="54"/>
      <c r="T495" s="54"/>
      <c r="U495" s="54"/>
      <c r="V495" s="54"/>
      <c r="W495" s="55"/>
      <c r="X495" s="55"/>
      <c r="Y495" s="55"/>
      <c r="Z495" s="55"/>
      <c r="AA495" s="55"/>
      <c r="AB495" s="55"/>
      <c r="AC495" s="55"/>
      <c r="AD495" s="55"/>
      <c r="AE495" s="55"/>
      <c r="AF495" s="55"/>
      <c r="AG495" s="55"/>
      <c r="AH495" s="55"/>
      <c r="AI495" s="54"/>
      <c r="AJ495" s="54"/>
      <c r="AK495" s="54"/>
      <c r="AL495" s="23"/>
      <c r="AM495" s="127"/>
      <c r="AN495" s="127"/>
      <c r="AO495" s="129"/>
      <c r="AP495" s="129"/>
      <c r="AQ495" s="129"/>
      <c r="AR495" s="129"/>
      <c r="AS495" s="129"/>
      <c r="AT495" s="129"/>
      <c r="AU495" s="129"/>
      <c r="AV495" s="129"/>
      <c r="AW495" s="129"/>
      <c r="AX495" s="197"/>
      <c r="AY495" s="197"/>
      <c r="AZ495" s="197"/>
      <c r="BA495" s="197"/>
      <c r="BB495" s="129"/>
      <c r="BC495" s="129"/>
      <c r="BD495" s="129"/>
      <c r="BE495" s="129"/>
      <c r="BF495" s="129"/>
      <c r="BG495" s="129"/>
      <c r="BH495" s="129"/>
      <c r="BI495" s="129"/>
      <c r="BJ495" s="129"/>
      <c r="BK495" s="129"/>
      <c r="BL495" s="129"/>
      <c r="BM495" s="197"/>
    </row>
    <row r="496" spans="1:65" x14ac:dyDescent="0.25">
      <c r="A496" s="151"/>
      <c r="B496" s="151"/>
      <c r="C496" s="172"/>
      <c r="D496" s="46"/>
      <c r="E496" s="46"/>
      <c r="F496" s="54"/>
      <c r="G496" s="54"/>
      <c r="H496" s="54"/>
      <c r="I496" s="54"/>
      <c r="J496" s="54"/>
      <c r="K496" s="54"/>
      <c r="L496" s="54"/>
      <c r="M496" s="54"/>
      <c r="N496" s="54"/>
      <c r="O496" s="54"/>
      <c r="P496" s="54"/>
      <c r="Q496" s="54"/>
      <c r="R496" s="54"/>
      <c r="S496" s="54"/>
      <c r="T496" s="54"/>
      <c r="U496" s="54"/>
      <c r="V496" s="54"/>
      <c r="W496" s="55"/>
      <c r="X496" s="55"/>
      <c r="Y496" s="55"/>
      <c r="Z496" s="55"/>
      <c r="AA496" s="55"/>
      <c r="AB496" s="55"/>
      <c r="AC496" s="55"/>
      <c r="AD496" s="55"/>
      <c r="AE496" s="55"/>
      <c r="AF496" s="55"/>
      <c r="AG496" s="55"/>
      <c r="AH496" s="55"/>
      <c r="AI496" s="54"/>
      <c r="AJ496" s="54"/>
      <c r="AK496" s="54"/>
      <c r="AL496" s="23"/>
      <c r="AM496" s="127"/>
      <c r="AN496" s="127"/>
      <c r="AO496" s="129"/>
      <c r="AP496" s="129"/>
      <c r="AQ496" s="129"/>
      <c r="AR496" s="129"/>
      <c r="AS496" s="129"/>
      <c r="AT496" s="129"/>
      <c r="AU496" s="129"/>
      <c r="AV496" s="129"/>
      <c r="AW496" s="129"/>
      <c r="AX496" s="197"/>
      <c r="AY496" s="197"/>
      <c r="AZ496" s="197"/>
      <c r="BA496" s="197"/>
      <c r="BB496" s="129"/>
      <c r="BC496" s="129"/>
      <c r="BD496" s="129"/>
      <c r="BE496" s="129"/>
      <c r="BF496" s="129"/>
      <c r="BG496" s="129"/>
      <c r="BH496" s="129"/>
      <c r="BI496" s="129"/>
      <c r="BJ496" s="129"/>
      <c r="BK496" s="129"/>
      <c r="BL496" s="129"/>
      <c r="BM496" s="197"/>
    </row>
    <row r="497" spans="1:65" x14ac:dyDescent="0.25">
      <c r="A497" s="151" t="s">
        <v>44</v>
      </c>
      <c r="B497" s="151" t="s">
        <v>22</v>
      </c>
      <c r="C497" s="172" t="s">
        <v>373</v>
      </c>
      <c r="D497" s="161">
        <v>25</v>
      </c>
      <c r="E497" s="29" t="str">
        <f t="shared" ref="E497:E502" si="66">INDEX(ra_ScName,MATCH(D497,ra_ScNumber,0))</f>
        <v>Unused</v>
      </c>
      <c r="F497" s="122">
        <v>7644</v>
      </c>
      <c r="G497" s="122">
        <v>7786</v>
      </c>
      <c r="H497" s="122">
        <v>2023</v>
      </c>
      <c r="I497" s="122">
        <v>4225</v>
      </c>
      <c r="J497" s="122">
        <v>5894</v>
      </c>
      <c r="K497" s="122">
        <v>2382</v>
      </c>
      <c r="L497" s="122">
        <v>3449</v>
      </c>
      <c r="M497" s="122">
        <v>1084.6002031156527</v>
      </c>
      <c r="N497" s="122">
        <v>6387.6247468541751</v>
      </c>
      <c r="O497" s="122">
        <v>6303</v>
      </c>
      <c r="P497" s="122">
        <v>52422</v>
      </c>
      <c r="Q497" s="122">
        <v>5635.3221811466228</v>
      </c>
      <c r="R497" s="122">
        <v>5234</v>
      </c>
      <c r="S497" s="122">
        <v>16649.2682399277</v>
      </c>
      <c r="T497" s="122">
        <v>76573.310789910291</v>
      </c>
      <c r="U497" s="122">
        <v>25343.756747688079</v>
      </c>
      <c r="V497" s="122">
        <v>10172</v>
      </c>
      <c r="W497" s="122"/>
      <c r="X497" s="122"/>
      <c r="Y497" s="122"/>
      <c r="Z497" s="122"/>
      <c r="AA497" s="122"/>
      <c r="AB497" s="122"/>
      <c r="AC497" s="122"/>
      <c r="AD497" s="122"/>
      <c r="AE497" s="122"/>
      <c r="AF497" s="122"/>
      <c r="AG497" s="122"/>
      <c r="AH497" s="122"/>
      <c r="AI497" s="117">
        <f t="shared" ref="AI497:AI502" si="67">SUM(F497:AH497)</f>
        <v>239207.8829086425</v>
      </c>
      <c r="AJ497" s="117">
        <f t="shared" ref="AJ497:AJ502" si="68">SUM(F497:U497)</f>
        <v>229035.8829086425</v>
      </c>
      <c r="AK497" s="117">
        <f t="shared" ref="AK497:AK502" si="69">SUM(W497:AH497)</f>
        <v>0</v>
      </c>
      <c r="AL497" s="23"/>
      <c r="AM497" s="127" t="b">
        <f t="shared" ref="AM497:AM502" si="70">IF(INDEX($AO497:$BM497,0,$F$14)=1,TRUE,FALSE)</f>
        <v>0</v>
      </c>
      <c r="AN497" s="127" t="str">
        <f t="shared" ref="AN497:AN502" si="71">IF(AM497,A497&amp;", "&amp;B497,"")</f>
        <v/>
      </c>
      <c r="AO497" s="129"/>
      <c r="AP497" s="129"/>
      <c r="AQ497" s="129"/>
      <c r="AR497" s="129"/>
      <c r="AS497" s="129"/>
      <c r="AT497" s="129"/>
      <c r="AU497" s="129"/>
      <c r="AV497" s="129"/>
      <c r="AW497" s="129"/>
      <c r="AX497" s="197"/>
      <c r="AY497" s="197"/>
      <c r="AZ497" s="197"/>
      <c r="BA497" s="197"/>
      <c r="BB497" s="129"/>
      <c r="BC497" s="129"/>
      <c r="BD497" s="129"/>
      <c r="BE497" s="129"/>
      <c r="BF497" s="129"/>
      <c r="BG497" s="129"/>
      <c r="BH497" s="129"/>
      <c r="BI497" s="129"/>
      <c r="BJ497" s="129"/>
      <c r="BK497" s="129"/>
      <c r="BL497" s="129"/>
      <c r="BM497" s="197"/>
    </row>
    <row r="498" spans="1:65" x14ac:dyDescent="0.25">
      <c r="A498" s="151" t="s">
        <v>44</v>
      </c>
      <c r="B498" s="151" t="s">
        <v>23</v>
      </c>
      <c r="C498" s="172" t="s">
        <v>373</v>
      </c>
      <c r="D498" s="161">
        <v>25</v>
      </c>
      <c r="E498" s="29" t="str">
        <f t="shared" si="66"/>
        <v>Unused</v>
      </c>
      <c r="F498" s="122">
        <v>7924.0409285951982</v>
      </c>
      <c r="G498" s="122">
        <v>8206.4020070551851</v>
      </c>
      <c r="H498" s="122">
        <v>2117.66339625503</v>
      </c>
      <c r="I498" s="122">
        <v>4409.7444184405476</v>
      </c>
      <c r="J498" s="122">
        <v>6317.1067594643209</v>
      </c>
      <c r="K498" s="122">
        <v>2490.0184471858252</v>
      </c>
      <c r="L498" s="122">
        <v>3556.7701362401067</v>
      </c>
      <c r="M498" s="122">
        <v>1131.5642114464315</v>
      </c>
      <c r="N498" s="122">
        <v>6598.3382095796214</v>
      </c>
      <c r="O498" s="122">
        <v>6532.3348764938482</v>
      </c>
      <c r="P498" s="122">
        <v>54269.971208461036</v>
      </c>
      <c r="Q498" s="122">
        <v>5890.6477346752426</v>
      </c>
      <c r="R498" s="122">
        <v>5469.9116899314222</v>
      </c>
      <c r="S498" s="122">
        <v>17694.61866161842</v>
      </c>
      <c r="T498" s="122">
        <v>80543.998619896069</v>
      </c>
      <c r="U498" s="122">
        <v>26569.625033460288</v>
      </c>
      <c r="V498" s="122">
        <v>11062.803240226698</v>
      </c>
      <c r="W498" s="122"/>
      <c r="X498" s="122"/>
      <c r="Y498" s="122"/>
      <c r="Z498" s="122"/>
      <c r="AA498" s="122"/>
      <c r="AB498" s="122"/>
      <c r="AC498" s="122"/>
      <c r="AD498" s="122"/>
      <c r="AE498" s="122"/>
      <c r="AF498" s="122"/>
      <c r="AG498" s="122"/>
      <c r="AH498" s="122"/>
      <c r="AI498" s="117">
        <f t="shared" si="67"/>
        <v>250785.55957902528</v>
      </c>
      <c r="AJ498" s="117">
        <f t="shared" si="68"/>
        <v>239722.75633879859</v>
      </c>
      <c r="AK498" s="117">
        <f t="shared" si="69"/>
        <v>0</v>
      </c>
      <c r="AL498" s="23"/>
      <c r="AM498" s="127" t="b">
        <f t="shared" si="70"/>
        <v>0</v>
      </c>
      <c r="AN498" s="127" t="str">
        <f t="shared" si="71"/>
        <v/>
      </c>
      <c r="AO498" s="129"/>
      <c r="AP498" s="129"/>
      <c r="AQ498" s="129"/>
      <c r="AR498" s="129"/>
      <c r="AS498" s="129"/>
      <c r="AT498" s="129"/>
      <c r="AU498" s="129"/>
      <c r="AV498" s="129"/>
      <c r="AW498" s="129"/>
      <c r="AX498" s="197"/>
      <c r="AY498" s="197"/>
      <c r="AZ498" s="197"/>
      <c r="BA498" s="197"/>
      <c r="BB498" s="129"/>
      <c r="BC498" s="129"/>
      <c r="BD498" s="129"/>
      <c r="BE498" s="129"/>
      <c r="BF498" s="129"/>
      <c r="BG498" s="129"/>
      <c r="BH498" s="129"/>
      <c r="BI498" s="129"/>
      <c r="BJ498" s="129"/>
      <c r="BK498" s="129"/>
      <c r="BL498" s="129"/>
      <c r="BM498" s="197"/>
    </row>
    <row r="499" spans="1:65" x14ac:dyDescent="0.25">
      <c r="A499" s="151" t="s">
        <v>44</v>
      </c>
      <c r="B499" s="151" t="s">
        <v>24</v>
      </c>
      <c r="C499" s="172" t="s">
        <v>373</v>
      </c>
      <c r="D499" s="161">
        <v>25</v>
      </c>
      <c r="E499" s="29" t="str">
        <f t="shared" si="66"/>
        <v>Unused</v>
      </c>
      <c r="F499" s="122">
        <v>8300.8764922189039</v>
      </c>
      <c r="G499" s="122">
        <v>8731.1344105358239</v>
      </c>
      <c r="H499" s="122">
        <v>2324.5822271880565</v>
      </c>
      <c r="I499" s="122">
        <v>4603.0828086356714</v>
      </c>
      <c r="J499" s="122">
        <v>6807.686778084284</v>
      </c>
      <c r="K499" s="122">
        <v>2594.4721988339093</v>
      </c>
      <c r="L499" s="122">
        <v>3709.6203011912226</v>
      </c>
      <c r="M499" s="122">
        <v>1201.4368760447653</v>
      </c>
      <c r="N499" s="122">
        <v>6839.8855632342193</v>
      </c>
      <c r="O499" s="122">
        <v>6828.9042236347159</v>
      </c>
      <c r="P499" s="122">
        <v>56661.000475237393</v>
      </c>
      <c r="Q499" s="122">
        <v>6158.8923716232757</v>
      </c>
      <c r="R499" s="122">
        <v>5817.5755007519047</v>
      </c>
      <c r="S499" s="122">
        <v>18746.252750627857</v>
      </c>
      <c r="T499" s="122">
        <v>84624.432865778872</v>
      </c>
      <c r="U499" s="122">
        <v>27593.723874190913</v>
      </c>
      <c r="V499" s="122">
        <v>12033.725902671633</v>
      </c>
      <c r="W499" s="122"/>
      <c r="X499" s="122"/>
      <c r="Y499" s="122"/>
      <c r="Z499" s="122"/>
      <c r="AA499" s="122"/>
      <c r="AB499" s="122"/>
      <c r="AC499" s="122"/>
      <c r="AD499" s="122"/>
      <c r="AE499" s="122"/>
      <c r="AF499" s="122"/>
      <c r="AG499" s="122"/>
      <c r="AH499" s="122"/>
      <c r="AI499" s="117">
        <f t="shared" si="67"/>
        <v>263577.2856204834</v>
      </c>
      <c r="AJ499" s="117">
        <f t="shared" si="68"/>
        <v>251543.55971781179</v>
      </c>
      <c r="AK499" s="117">
        <f t="shared" si="69"/>
        <v>0</v>
      </c>
      <c r="AL499" s="23"/>
      <c r="AM499" s="127" t="b">
        <f t="shared" si="70"/>
        <v>0</v>
      </c>
      <c r="AN499" s="127" t="str">
        <f t="shared" si="71"/>
        <v/>
      </c>
      <c r="AO499" s="129"/>
      <c r="AP499" s="129"/>
      <c r="AQ499" s="129"/>
      <c r="AR499" s="129"/>
      <c r="AS499" s="129"/>
      <c r="AT499" s="129"/>
      <c r="AU499" s="129"/>
      <c r="AV499" s="129"/>
      <c r="AW499" s="129"/>
      <c r="AX499" s="197"/>
      <c r="AY499" s="197"/>
      <c r="AZ499" s="197"/>
      <c r="BA499" s="197"/>
      <c r="BB499" s="129"/>
      <c r="BC499" s="129"/>
      <c r="BD499" s="129"/>
      <c r="BE499" s="129"/>
      <c r="BF499" s="129"/>
      <c r="BG499" s="129"/>
      <c r="BH499" s="129"/>
      <c r="BI499" s="129"/>
      <c r="BJ499" s="129"/>
      <c r="BK499" s="129"/>
      <c r="BL499" s="129"/>
      <c r="BM499" s="197"/>
    </row>
    <row r="500" spans="1:65" x14ac:dyDescent="0.25">
      <c r="A500" s="151" t="s">
        <v>44</v>
      </c>
      <c r="B500" s="151" t="s">
        <v>25</v>
      </c>
      <c r="C500" s="172" t="s">
        <v>373</v>
      </c>
      <c r="D500" s="161">
        <v>25</v>
      </c>
      <c r="E500" s="29" t="str">
        <f t="shared" si="66"/>
        <v>Unused</v>
      </c>
      <c r="F500" s="122">
        <v>8370.2787945424061</v>
      </c>
      <c r="G500" s="122">
        <v>9257.264483493127</v>
      </c>
      <c r="H500" s="122">
        <v>2503.2719137418508</v>
      </c>
      <c r="I500" s="122">
        <v>4797.3047888246992</v>
      </c>
      <c r="J500" s="122">
        <v>7128.2171145731845</v>
      </c>
      <c r="K500" s="122">
        <v>2706.8155686649125</v>
      </c>
      <c r="L500" s="122">
        <v>3776.8527880909755</v>
      </c>
      <c r="M500" s="122">
        <v>1254.2526915163025</v>
      </c>
      <c r="N500" s="122">
        <v>7163.9669945079713</v>
      </c>
      <c r="O500" s="122">
        <v>7233.9688305134077</v>
      </c>
      <c r="P500" s="122">
        <v>59056.393773010408</v>
      </c>
      <c r="Q500" s="122">
        <v>6110.9485387488403</v>
      </c>
      <c r="R500" s="122">
        <v>6247.8753844435896</v>
      </c>
      <c r="S500" s="122">
        <v>19683.265183430191</v>
      </c>
      <c r="T500" s="122">
        <v>88028.030511689023</v>
      </c>
      <c r="U500" s="122">
        <v>28732.306818391269</v>
      </c>
      <c r="V500" s="122">
        <v>79073.109211650983</v>
      </c>
      <c r="W500" s="122"/>
      <c r="X500" s="122"/>
      <c r="Y500" s="122"/>
      <c r="Z500" s="122"/>
      <c r="AA500" s="122"/>
      <c r="AB500" s="122"/>
      <c r="AC500" s="122"/>
      <c r="AD500" s="122"/>
      <c r="AE500" s="122"/>
      <c r="AF500" s="122"/>
      <c r="AG500" s="122"/>
      <c r="AH500" s="122"/>
      <c r="AI500" s="117">
        <f t="shared" si="67"/>
        <v>341124.12338983314</v>
      </c>
      <c r="AJ500" s="117">
        <f t="shared" si="68"/>
        <v>262051.01417818217</v>
      </c>
      <c r="AK500" s="117">
        <f t="shared" si="69"/>
        <v>0</v>
      </c>
      <c r="AL500" s="23"/>
      <c r="AM500" s="127" t="b">
        <f t="shared" si="70"/>
        <v>0</v>
      </c>
      <c r="AN500" s="127" t="str">
        <f t="shared" si="71"/>
        <v/>
      </c>
      <c r="AO500" s="129"/>
      <c r="AP500" s="129"/>
      <c r="AQ500" s="129"/>
      <c r="AR500" s="129"/>
      <c r="AS500" s="129"/>
      <c r="AT500" s="129"/>
      <c r="AU500" s="129"/>
      <c r="AV500" s="129"/>
      <c r="AW500" s="129"/>
      <c r="AX500" s="197"/>
      <c r="AY500" s="197"/>
      <c r="AZ500" s="197"/>
      <c r="BA500" s="197"/>
      <c r="BB500" s="129"/>
      <c r="BC500" s="129"/>
      <c r="BD500" s="129"/>
      <c r="BE500" s="129"/>
      <c r="BF500" s="129"/>
      <c r="BG500" s="129"/>
      <c r="BH500" s="129"/>
      <c r="BI500" s="129"/>
      <c r="BJ500" s="129"/>
      <c r="BK500" s="129"/>
      <c r="BL500" s="129"/>
      <c r="BM500" s="197"/>
    </row>
    <row r="501" spans="1:65" x14ac:dyDescent="0.25">
      <c r="A501" s="151" t="s">
        <v>44</v>
      </c>
      <c r="B501" s="151" t="s">
        <v>26</v>
      </c>
      <c r="C501" s="172" t="s">
        <v>373</v>
      </c>
      <c r="D501" s="161">
        <v>25</v>
      </c>
      <c r="E501" s="29" t="str">
        <f t="shared" si="66"/>
        <v>Unused</v>
      </c>
      <c r="F501" s="122">
        <v>9173.7905030232705</v>
      </c>
      <c r="G501" s="122">
        <v>9761.8507205466849</v>
      </c>
      <c r="H501" s="122">
        <v>2641.908063797488</v>
      </c>
      <c r="I501" s="122">
        <v>5007.2900062296721</v>
      </c>
      <c r="J501" s="122">
        <v>7758.6977262057408</v>
      </c>
      <c r="K501" s="122">
        <v>2847.3623130465835</v>
      </c>
      <c r="L501" s="122">
        <v>3998.5776193919969</v>
      </c>
      <c r="M501" s="122">
        <v>1319.7754019208055</v>
      </c>
      <c r="N501" s="122">
        <v>7385.4510568120113</v>
      </c>
      <c r="O501" s="122">
        <v>7632.8090084235919</v>
      </c>
      <c r="P501" s="122">
        <v>61788.121569981391</v>
      </c>
      <c r="Q501" s="122">
        <v>6432.6873873316263</v>
      </c>
      <c r="R501" s="122">
        <v>7047.8874113765705</v>
      </c>
      <c r="S501" s="122">
        <v>20574.912554462877</v>
      </c>
      <c r="T501" s="122">
        <v>92514.790334024918</v>
      </c>
      <c r="U501" s="122">
        <v>29918.155015503478</v>
      </c>
      <c r="V501" s="122">
        <v>82116.444284942409</v>
      </c>
      <c r="W501" s="122"/>
      <c r="X501" s="122"/>
      <c r="Y501" s="122"/>
      <c r="Z501" s="122"/>
      <c r="AA501" s="122"/>
      <c r="AB501" s="122"/>
      <c r="AC501" s="122"/>
      <c r="AD501" s="122"/>
      <c r="AE501" s="122"/>
      <c r="AF501" s="122"/>
      <c r="AG501" s="122"/>
      <c r="AH501" s="122"/>
      <c r="AI501" s="117">
        <f t="shared" si="67"/>
        <v>357920.51097702107</v>
      </c>
      <c r="AJ501" s="117">
        <f t="shared" si="68"/>
        <v>275804.06669207866</v>
      </c>
      <c r="AK501" s="117">
        <f t="shared" si="69"/>
        <v>0</v>
      </c>
      <c r="AL501" s="23"/>
      <c r="AM501" s="127" t="b">
        <f t="shared" si="70"/>
        <v>0</v>
      </c>
      <c r="AN501" s="127" t="str">
        <f t="shared" si="71"/>
        <v/>
      </c>
      <c r="AO501" s="129"/>
      <c r="AP501" s="129"/>
      <c r="AQ501" s="129"/>
      <c r="AR501" s="129"/>
      <c r="AS501" s="129"/>
      <c r="AT501" s="129"/>
      <c r="AU501" s="129"/>
      <c r="AV501" s="129"/>
      <c r="AW501" s="129"/>
      <c r="AX501" s="197"/>
      <c r="AY501" s="197"/>
      <c r="AZ501" s="197"/>
      <c r="BA501" s="197"/>
      <c r="BB501" s="129"/>
      <c r="BC501" s="129"/>
      <c r="BD501" s="129"/>
      <c r="BE501" s="129"/>
      <c r="BF501" s="129"/>
      <c r="BG501" s="129"/>
      <c r="BH501" s="129"/>
      <c r="BI501" s="129"/>
      <c r="BJ501" s="129"/>
      <c r="BK501" s="129"/>
      <c r="BL501" s="129"/>
      <c r="BM501" s="197"/>
    </row>
    <row r="502" spans="1:65" x14ac:dyDescent="0.25">
      <c r="A502" s="151" t="s">
        <v>44</v>
      </c>
      <c r="B502" s="151" t="s">
        <v>27</v>
      </c>
      <c r="C502" s="172" t="s">
        <v>373</v>
      </c>
      <c r="D502" s="161">
        <v>25</v>
      </c>
      <c r="E502" s="29" t="str">
        <f t="shared" si="66"/>
        <v>Unused</v>
      </c>
      <c r="F502" s="122">
        <v>9618.6434536049874</v>
      </c>
      <c r="G502" s="122">
        <v>10270.501894353152</v>
      </c>
      <c r="H502" s="122">
        <v>2753.1364009011745</v>
      </c>
      <c r="I502" s="122">
        <v>5240.5384963107808</v>
      </c>
      <c r="J502" s="122">
        <v>8281.7309882276531</v>
      </c>
      <c r="K502" s="122">
        <v>2931.9936378706752</v>
      </c>
      <c r="L502" s="122">
        <v>4289.6019634424902</v>
      </c>
      <c r="M502" s="122">
        <v>1628.536373712152</v>
      </c>
      <c r="N502" s="122">
        <v>7743.0436789370897</v>
      </c>
      <c r="O502" s="122">
        <v>7966.8149346377495</v>
      </c>
      <c r="P502" s="122">
        <v>64994.467383396317</v>
      </c>
      <c r="Q502" s="122">
        <v>6773.1658290798168</v>
      </c>
      <c r="R502" s="122">
        <v>7648.7022193459561</v>
      </c>
      <c r="S502" s="122">
        <v>21847.243235937192</v>
      </c>
      <c r="T502" s="122">
        <v>97403.29408704066</v>
      </c>
      <c r="U502" s="122">
        <v>31284.46485768284</v>
      </c>
      <c r="V502" s="122">
        <v>82245.891398385007</v>
      </c>
      <c r="W502" s="122"/>
      <c r="X502" s="122"/>
      <c r="Y502" s="122"/>
      <c r="Z502" s="122"/>
      <c r="AA502" s="122"/>
      <c r="AB502" s="122"/>
      <c r="AC502" s="122"/>
      <c r="AD502" s="122"/>
      <c r="AE502" s="122"/>
      <c r="AF502" s="122"/>
      <c r="AG502" s="122"/>
      <c r="AH502" s="122"/>
      <c r="AI502" s="117">
        <f t="shared" si="67"/>
        <v>372921.77083286567</v>
      </c>
      <c r="AJ502" s="117">
        <f t="shared" si="68"/>
        <v>290675.87943448068</v>
      </c>
      <c r="AK502" s="117">
        <f t="shared" si="69"/>
        <v>0</v>
      </c>
      <c r="AL502" s="23"/>
      <c r="AM502" s="127" t="b">
        <f t="shared" si="70"/>
        <v>0</v>
      </c>
      <c r="AN502" s="127" t="str">
        <f t="shared" si="71"/>
        <v/>
      </c>
      <c r="AO502" s="129"/>
      <c r="AP502" s="129"/>
      <c r="AQ502" s="129"/>
      <c r="AR502" s="129"/>
      <c r="AS502" s="129"/>
      <c r="AT502" s="129"/>
      <c r="AU502" s="129"/>
      <c r="AV502" s="129"/>
      <c r="AW502" s="129"/>
      <c r="AX502" s="197"/>
      <c r="AY502" s="197"/>
      <c r="AZ502" s="197"/>
      <c r="BA502" s="197"/>
      <c r="BB502" s="129"/>
      <c r="BC502" s="129"/>
      <c r="BD502" s="129"/>
      <c r="BE502" s="129"/>
      <c r="BF502" s="129"/>
      <c r="BG502" s="129"/>
      <c r="BH502" s="129"/>
      <c r="BI502" s="129"/>
      <c r="BJ502" s="129"/>
      <c r="BK502" s="129"/>
      <c r="BL502" s="129"/>
      <c r="BM502" s="197"/>
    </row>
    <row r="503" spans="1:65" x14ac:dyDescent="0.25">
      <c r="A503" s="49"/>
      <c r="B503" s="121"/>
      <c r="C503" s="172"/>
      <c r="D503" s="49"/>
      <c r="E503" s="49"/>
      <c r="F503" s="54"/>
      <c r="G503" s="54"/>
      <c r="H503" s="54"/>
      <c r="I503" s="54"/>
      <c r="J503" s="54"/>
      <c r="K503" s="54"/>
      <c r="L503" s="54"/>
      <c r="M503" s="54"/>
      <c r="N503" s="54"/>
      <c r="O503" s="54"/>
      <c r="P503" s="54"/>
      <c r="Q503" s="54"/>
      <c r="R503" s="54"/>
      <c r="S503" s="54"/>
      <c r="T503" s="54"/>
      <c r="U503" s="54"/>
      <c r="V503" s="54"/>
      <c r="W503" s="55"/>
      <c r="X503" s="55"/>
      <c r="Y503" s="55"/>
      <c r="Z503" s="55"/>
      <c r="AA503" s="55"/>
      <c r="AB503" s="55"/>
      <c r="AC503" s="55"/>
      <c r="AD503" s="55"/>
      <c r="AE503" s="55"/>
      <c r="AF503" s="55"/>
      <c r="AG503" s="55"/>
      <c r="AH503" s="55"/>
      <c r="AI503" s="54"/>
      <c r="AJ503" s="54"/>
      <c r="AK503" s="54"/>
      <c r="AL503" s="23"/>
      <c r="AM503" s="127"/>
      <c r="AN503" s="127"/>
      <c r="AO503" s="129"/>
      <c r="AP503" s="129"/>
      <c r="AQ503" s="129"/>
      <c r="AR503" s="129"/>
      <c r="AS503" s="129"/>
      <c r="AT503" s="129"/>
      <c r="AU503" s="129"/>
      <c r="AV503" s="129"/>
      <c r="AW503" s="129"/>
      <c r="AX503" s="197"/>
      <c r="AY503" s="197"/>
      <c r="AZ503" s="197"/>
      <c r="BA503" s="197"/>
      <c r="BB503" s="129"/>
      <c r="BC503" s="129"/>
      <c r="BD503" s="129"/>
      <c r="BE503" s="129"/>
      <c r="BF503" s="129"/>
      <c r="BG503" s="129"/>
      <c r="BH503" s="129"/>
      <c r="BI503" s="129"/>
      <c r="BJ503" s="129"/>
      <c r="BK503" s="129"/>
      <c r="BL503" s="129"/>
      <c r="BM503" s="197"/>
    </row>
    <row r="504" spans="1:65" x14ac:dyDescent="0.25">
      <c r="A504" s="121"/>
      <c r="B504" s="121"/>
      <c r="C504" s="172"/>
      <c r="D504" s="46"/>
      <c r="E504" s="46"/>
      <c r="F504" s="54"/>
      <c r="G504" s="54"/>
      <c r="H504" s="54"/>
      <c r="I504" s="54"/>
      <c r="J504" s="54"/>
      <c r="K504" s="54"/>
      <c r="L504" s="54"/>
      <c r="M504" s="54"/>
      <c r="N504" s="54"/>
      <c r="O504" s="54"/>
      <c r="P504" s="54"/>
      <c r="Q504" s="54"/>
      <c r="R504" s="54"/>
      <c r="S504" s="54"/>
      <c r="T504" s="54"/>
      <c r="U504" s="54"/>
      <c r="V504" s="54"/>
      <c r="W504" s="55"/>
      <c r="X504" s="55"/>
      <c r="Y504" s="55"/>
      <c r="Z504" s="55"/>
      <c r="AA504" s="55"/>
      <c r="AB504" s="55"/>
      <c r="AC504" s="55"/>
      <c r="AD504" s="55"/>
      <c r="AE504" s="55"/>
      <c r="AF504" s="55"/>
      <c r="AG504" s="55"/>
      <c r="AH504" s="55"/>
      <c r="AI504" s="54"/>
      <c r="AJ504" s="54"/>
      <c r="AK504" s="54"/>
      <c r="AL504" s="23"/>
      <c r="AM504" s="127"/>
      <c r="AN504" s="127"/>
      <c r="AO504" s="129"/>
      <c r="AP504" s="129"/>
      <c r="AQ504" s="129"/>
      <c r="AR504" s="129"/>
      <c r="AS504" s="129"/>
      <c r="AT504" s="129"/>
      <c r="AU504" s="129"/>
      <c r="AV504" s="129"/>
      <c r="AW504" s="129"/>
      <c r="AX504" s="197"/>
      <c r="AY504" s="197"/>
      <c r="AZ504" s="197"/>
      <c r="BA504" s="197"/>
      <c r="BB504" s="129"/>
      <c r="BC504" s="129"/>
      <c r="BD504" s="129"/>
      <c r="BE504" s="129"/>
      <c r="BF504" s="129"/>
      <c r="BG504" s="129"/>
      <c r="BH504" s="129"/>
      <c r="BI504" s="129"/>
      <c r="BJ504" s="129"/>
      <c r="BK504" s="129"/>
      <c r="BL504" s="129"/>
      <c r="BM504" s="197"/>
    </row>
    <row r="505" spans="1:65" x14ac:dyDescent="0.25">
      <c r="A505" s="121" t="s">
        <v>77</v>
      </c>
      <c r="B505" s="121" t="s">
        <v>22</v>
      </c>
      <c r="C505" s="172" t="s">
        <v>397</v>
      </c>
      <c r="D505" s="161">
        <v>1</v>
      </c>
      <c r="E505" s="29" t="str">
        <f t="shared" ref="E505:E510" si="72">INDEX(ra_ScName,MATCH(D505,ra_ScNumber,0))</f>
        <v>Expected nominal return (incl forecast asset revaluations)</v>
      </c>
      <c r="F505" s="122">
        <v>2196.9193950536342</v>
      </c>
      <c r="G505" s="122">
        <v>4781.4400931625914</v>
      </c>
      <c r="H505" s="122">
        <v>737.85251929153787</v>
      </c>
      <c r="I505" s="122">
        <v>1957.6280949078568</v>
      </c>
      <c r="J505" s="122">
        <v>2727.6801500085458</v>
      </c>
      <c r="K505" s="122">
        <v>1023.1314184184723</v>
      </c>
      <c r="L505" s="122">
        <v>1708.0935058673035</v>
      </c>
      <c r="M505" s="122">
        <v>465.84921993376776</v>
      </c>
      <c r="N505" s="122">
        <v>2569.1495482950218</v>
      </c>
      <c r="O505" s="122">
        <v>2255.3422853245183</v>
      </c>
      <c r="P505" s="122">
        <v>21773.221181796478</v>
      </c>
      <c r="Q505" s="122">
        <v>2898.5839570286976</v>
      </c>
      <c r="R505" s="122">
        <v>2365.4592625801938</v>
      </c>
      <c r="S505" s="122">
        <v>7333.2768149864678</v>
      </c>
      <c r="T505" s="122">
        <v>38993.915159917953</v>
      </c>
      <c r="U505" s="122">
        <v>9097.9910861036969</v>
      </c>
      <c r="V505" s="122">
        <v>2190.7500731242276</v>
      </c>
      <c r="W505" s="54"/>
      <c r="X505" s="54"/>
      <c r="Y505" s="54"/>
      <c r="Z505" s="54"/>
      <c r="AA505" s="54"/>
      <c r="AB505" s="54"/>
      <c r="AC505" s="54"/>
      <c r="AD505" s="54"/>
      <c r="AE505" s="54"/>
      <c r="AF505" s="54"/>
      <c r="AG505" s="54"/>
      <c r="AH505" s="54"/>
      <c r="AI505" s="117">
        <f t="shared" ref="AI505:AI510" si="73">SUM(F505:AH505)</f>
        <v>105076.28376580098</v>
      </c>
      <c r="AJ505" s="117">
        <f t="shared" ref="AJ505:AJ510" si="74">SUM(F505:U505)</f>
        <v>102885.53369267675</v>
      </c>
      <c r="AK505" s="117">
        <f t="shared" ref="AK505:AK510" si="75">SUM(W505:AH505)</f>
        <v>0</v>
      </c>
      <c r="AL505" s="23"/>
      <c r="AM505" s="127" t="b">
        <f t="shared" ref="AM505:AM510" si="76">IF(INDEX($AO505:$BM505,0,$F$14)=1,TRUE,FALSE)</f>
        <v>0</v>
      </c>
      <c r="AN505" s="127" t="str">
        <f t="shared" ref="AN505:AN510" si="77">IF(AM505,A505&amp;", "&amp;B505,"")</f>
        <v/>
      </c>
      <c r="AO505" s="129">
        <v>1</v>
      </c>
      <c r="AP505" s="129"/>
      <c r="AQ505" s="129"/>
      <c r="AR505" s="129"/>
      <c r="AS505" s="129"/>
      <c r="AT505" s="129"/>
      <c r="AU505" s="129"/>
      <c r="AV505" s="129"/>
      <c r="AW505" s="129"/>
      <c r="AX505" s="197"/>
      <c r="AY505" s="197"/>
      <c r="AZ505" s="197"/>
      <c r="BA505" s="197"/>
      <c r="BB505" s="129"/>
      <c r="BC505" s="129"/>
      <c r="BD505" s="129"/>
      <c r="BE505" s="129"/>
      <c r="BF505" s="129"/>
      <c r="BG505" s="129"/>
      <c r="BH505" s="129"/>
      <c r="BI505" s="129"/>
      <c r="BJ505" s="129"/>
      <c r="BK505" s="129"/>
      <c r="BL505" s="129"/>
      <c r="BM505" s="197"/>
    </row>
    <row r="506" spans="1:65" x14ac:dyDescent="0.25">
      <c r="A506" s="121" t="s">
        <v>77</v>
      </c>
      <c r="B506" s="121" t="s">
        <v>23</v>
      </c>
      <c r="C506" s="172" t="s">
        <v>397</v>
      </c>
      <c r="D506" s="161">
        <v>1</v>
      </c>
      <c r="E506" s="29" t="str">
        <f t="shared" si="72"/>
        <v>Expected nominal return (incl forecast asset revaluations)</v>
      </c>
      <c r="F506" s="122">
        <v>2614.4406665456991</v>
      </c>
      <c r="G506" s="122">
        <v>5680.8418564978574</v>
      </c>
      <c r="H506" s="122">
        <v>873.31256060369901</v>
      </c>
      <c r="I506" s="122">
        <v>2300.8438130656491</v>
      </c>
      <c r="J506" s="122">
        <v>3356.3549832605459</v>
      </c>
      <c r="K506" s="122">
        <v>1207.9691691858368</v>
      </c>
      <c r="L506" s="122">
        <v>1979.3360333319654</v>
      </c>
      <c r="M506" s="122">
        <v>547.83863820971908</v>
      </c>
      <c r="N506" s="122">
        <v>2982.7039781617641</v>
      </c>
      <c r="O506" s="122">
        <v>2617.9336954948803</v>
      </c>
      <c r="P506" s="122">
        <v>25456.681894709352</v>
      </c>
      <c r="Q506" s="122">
        <v>3407.084814492453</v>
      </c>
      <c r="R506" s="122">
        <v>2789.8225283581714</v>
      </c>
      <c r="S506" s="122">
        <v>8926.5289154269049</v>
      </c>
      <c r="T506" s="122">
        <v>46505.639751045259</v>
      </c>
      <c r="U506" s="122">
        <v>10830.354393982696</v>
      </c>
      <c r="V506" s="122">
        <v>2479.9695731763823</v>
      </c>
      <c r="W506" s="54"/>
      <c r="X506" s="54"/>
      <c r="Y506" s="54"/>
      <c r="Z506" s="54"/>
      <c r="AA506" s="54"/>
      <c r="AB506" s="54"/>
      <c r="AC506" s="54"/>
      <c r="AD506" s="54"/>
      <c r="AE506" s="54"/>
      <c r="AF506" s="54"/>
      <c r="AG506" s="54"/>
      <c r="AH506" s="54"/>
      <c r="AI506" s="117">
        <f t="shared" si="73"/>
        <v>124557.65726554883</v>
      </c>
      <c r="AJ506" s="117">
        <f t="shared" si="74"/>
        <v>122077.68769237245</v>
      </c>
      <c r="AK506" s="117">
        <f t="shared" si="75"/>
        <v>0</v>
      </c>
      <c r="AL506" s="23"/>
      <c r="AM506" s="127" t="b">
        <f t="shared" si="76"/>
        <v>0</v>
      </c>
      <c r="AN506" s="127" t="str">
        <f t="shared" si="77"/>
        <v/>
      </c>
      <c r="AO506" s="129">
        <v>1</v>
      </c>
      <c r="AP506" s="129"/>
      <c r="AQ506" s="129"/>
      <c r="AR506" s="129"/>
      <c r="AS506" s="129"/>
      <c r="AT506" s="129"/>
      <c r="AU506" s="129"/>
      <c r="AV506" s="129"/>
      <c r="AW506" s="129"/>
      <c r="AX506" s="197"/>
      <c r="AY506" s="197"/>
      <c r="AZ506" s="197"/>
      <c r="BA506" s="197"/>
      <c r="BB506" s="129"/>
      <c r="BC506" s="129"/>
      <c r="BD506" s="129"/>
      <c r="BE506" s="129"/>
      <c r="BF506" s="129"/>
      <c r="BG506" s="129"/>
      <c r="BH506" s="129"/>
      <c r="BI506" s="129"/>
      <c r="BJ506" s="129"/>
      <c r="BK506" s="129"/>
      <c r="BL506" s="129"/>
      <c r="BM506" s="197"/>
    </row>
    <row r="507" spans="1:65" x14ac:dyDescent="0.25">
      <c r="A507" s="121" t="s">
        <v>77</v>
      </c>
      <c r="B507" s="121" t="s">
        <v>24</v>
      </c>
      <c r="C507" s="172" t="s">
        <v>397</v>
      </c>
      <c r="D507" s="161">
        <v>1</v>
      </c>
      <c r="E507" s="29" t="str">
        <f t="shared" si="72"/>
        <v>Expected nominal return (incl forecast asset revaluations)</v>
      </c>
      <c r="F507" s="122">
        <v>3666.0945780186557</v>
      </c>
      <c r="G507" s="122">
        <v>7394.1436222189659</v>
      </c>
      <c r="H507" s="122">
        <v>1185.547567501352</v>
      </c>
      <c r="I507" s="122">
        <v>2902.7707167782692</v>
      </c>
      <c r="J507" s="122">
        <v>4360.9399691255221</v>
      </c>
      <c r="K507" s="122">
        <v>1551.7956872736606</v>
      </c>
      <c r="L507" s="122">
        <v>2536.533630910415</v>
      </c>
      <c r="M507" s="122">
        <v>808.75640682441076</v>
      </c>
      <c r="N507" s="122">
        <v>3787.3933733006575</v>
      </c>
      <c r="O507" s="122">
        <v>3355.056828753392</v>
      </c>
      <c r="P507" s="122">
        <v>32095.786156805891</v>
      </c>
      <c r="Q507" s="122">
        <v>4327.296666956493</v>
      </c>
      <c r="R507" s="122">
        <v>3720.0408946119915</v>
      </c>
      <c r="S507" s="122">
        <v>11639.567955472961</v>
      </c>
      <c r="T507" s="122">
        <v>58996.037558808966</v>
      </c>
      <c r="U507" s="122">
        <v>13610.381029801245</v>
      </c>
      <c r="V507" s="122">
        <v>3074.625669435567</v>
      </c>
      <c r="W507" s="54"/>
      <c r="X507" s="54"/>
      <c r="Y507" s="54"/>
      <c r="Z507" s="54"/>
      <c r="AA507" s="54"/>
      <c r="AB507" s="54"/>
      <c r="AC507" s="54"/>
      <c r="AD507" s="54"/>
      <c r="AE507" s="54"/>
      <c r="AF507" s="54"/>
      <c r="AG507" s="54"/>
      <c r="AH507" s="54"/>
      <c r="AI507" s="117">
        <f t="shared" si="73"/>
        <v>159012.7683125984</v>
      </c>
      <c r="AJ507" s="117">
        <f t="shared" si="74"/>
        <v>155938.14264316284</v>
      </c>
      <c r="AK507" s="117">
        <f t="shared" si="75"/>
        <v>0</v>
      </c>
      <c r="AL507" s="23"/>
      <c r="AM507" s="127" t="b">
        <f t="shared" si="76"/>
        <v>0</v>
      </c>
      <c r="AN507" s="127" t="str">
        <f t="shared" si="77"/>
        <v/>
      </c>
      <c r="AO507" s="129">
        <v>1</v>
      </c>
      <c r="AP507" s="129"/>
      <c r="AQ507" s="129"/>
      <c r="AR507" s="129"/>
      <c r="AS507" s="129"/>
      <c r="AT507" s="129"/>
      <c r="AU507" s="129"/>
      <c r="AV507" s="129"/>
      <c r="AW507" s="129"/>
      <c r="AX507" s="197"/>
      <c r="AY507" s="197"/>
      <c r="AZ507" s="197"/>
      <c r="BA507" s="197"/>
      <c r="BB507" s="129"/>
      <c r="BC507" s="129"/>
      <c r="BD507" s="129"/>
      <c r="BE507" s="129"/>
      <c r="BF507" s="129"/>
      <c r="BG507" s="129"/>
      <c r="BH507" s="129"/>
      <c r="BI507" s="129"/>
      <c r="BJ507" s="129"/>
      <c r="BK507" s="129"/>
      <c r="BL507" s="129"/>
      <c r="BM507" s="197"/>
    </row>
    <row r="508" spans="1:65" x14ac:dyDescent="0.25">
      <c r="A508" s="121" t="s">
        <v>77</v>
      </c>
      <c r="B508" s="121" t="s">
        <v>25</v>
      </c>
      <c r="C508" s="172" t="s">
        <v>397</v>
      </c>
      <c r="D508" s="161">
        <v>1</v>
      </c>
      <c r="E508" s="29" t="str">
        <f t="shared" si="72"/>
        <v>Expected nominal return (incl forecast asset revaluations)</v>
      </c>
      <c r="F508" s="122">
        <v>3839.2277570016845</v>
      </c>
      <c r="G508" s="122">
        <v>7382.266778958081</v>
      </c>
      <c r="H508" s="122">
        <v>1158.7867709990674</v>
      </c>
      <c r="I508" s="122">
        <v>2819.7347334432511</v>
      </c>
      <c r="J508" s="122">
        <v>4420.6371597415373</v>
      </c>
      <c r="K508" s="122">
        <v>1517.0885596208861</v>
      </c>
      <c r="L508" s="122">
        <v>2495.9536251901891</v>
      </c>
      <c r="M508" s="122">
        <v>894.85875055857196</v>
      </c>
      <c r="N508" s="122">
        <v>3664.5275897393394</v>
      </c>
      <c r="O508" s="122">
        <v>3301.0040883508264</v>
      </c>
      <c r="P508" s="122">
        <v>31075.801247442938</v>
      </c>
      <c r="Q508" s="122">
        <v>4207.1413114705156</v>
      </c>
      <c r="R508" s="122">
        <v>3826.1345734271381</v>
      </c>
      <c r="S508" s="122">
        <v>11824.60658892253</v>
      </c>
      <c r="T508" s="122">
        <v>57685.266627956924</v>
      </c>
      <c r="U508" s="122">
        <v>13199.717000550518</v>
      </c>
      <c r="V508" s="122">
        <v>2919.4882316094404</v>
      </c>
      <c r="W508" s="54"/>
      <c r="X508" s="54"/>
      <c r="Y508" s="54"/>
      <c r="Z508" s="54"/>
      <c r="AA508" s="54"/>
      <c r="AB508" s="54"/>
      <c r="AC508" s="54"/>
      <c r="AD508" s="54"/>
      <c r="AE508" s="54"/>
      <c r="AF508" s="54"/>
      <c r="AG508" s="54"/>
      <c r="AH508" s="54"/>
      <c r="AI508" s="117">
        <f t="shared" si="73"/>
        <v>156232.24139498346</v>
      </c>
      <c r="AJ508" s="117">
        <f t="shared" si="74"/>
        <v>153312.75316337403</v>
      </c>
      <c r="AK508" s="117">
        <f t="shared" si="75"/>
        <v>0</v>
      </c>
      <c r="AL508" s="23"/>
      <c r="AM508" s="127" t="b">
        <f t="shared" si="76"/>
        <v>0</v>
      </c>
      <c r="AN508" s="127" t="str">
        <f t="shared" si="77"/>
        <v/>
      </c>
      <c r="AO508" s="129">
        <v>1</v>
      </c>
      <c r="AP508" s="129"/>
      <c r="AQ508" s="129"/>
      <c r="AR508" s="129"/>
      <c r="AS508" s="129"/>
      <c r="AT508" s="129"/>
      <c r="AU508" s="129"/>
      <c r="AV508" s="129"/>
      <c r="AW508" s="129"/>
      <c r="AX508" s="197"/>
      <c r="AY508" s="197"/>
      <c r="AZ508" s="197"/>
      <c r="BA508" s="197"/>
      <c r="BB508" s="129"/>
      <c r="BC508" s="129"/>
      <c r="BD508" s="129"/>
      <c r="BE508" s="129"/>
      <c r="BF508" s="129"/>
      <c r="BG508" s="129"/>
      <c r="BH508" s="129"/>
      <c r="BI508" s="129"/>
      <c r="BJ508" s="129"/>
      <c r="BK508" s="129"/>
      <c r="BL508" s="129"/>
      <c r="BM508" s="197"/>
    </row>
    <row r="509" spans="1:65" x14ac:dyDescent="0.25">
      <c r="A509" s="121" t="s">
        <v>77</v>
      </c>
      <c r="B509" s="121" t="s">
        <v>26</v>
      </c>
      <c r="C509" s="172" t="s">
        <v>397</v>
      </c>
      <c r="D509" s="161">
        <v>1</v>
      </c>
      <c r="E509" s="29" t="str">
        <f t="shared" si="72"/>
        <v>Expected nominal return (incl forecast asset revaluations)</v>
      </c>
      <c r="F509" s="122">
        <v>4105.1107288434596</v>
      </c>
      <c r="G509" s="122">
        <v>7219.7795125072262</v>
      </c>
      <c r="H509" s="122">
        <v>1140.3706467239074</v>
      </c>
      <c r="I509" s="122">
        <v>2718.7632205131304</v>
      </c>
      <c r="J509" s="122">
        <v>4291.2539185955766</v>
      </c>
      <c r="K509" s="122">
        <v>1469.8249641375357</v>
      </c>
      <c r="L509" s="122">
        <v>2426.5837670631172</v>
      </c>
      <c r="M509" s="122">
        <v>866.95858735322508</v>
      </c>
      <c r="N509" s="122">
        <v>3492.2048732029739</v>
      </c>
      <c r="O509" s="122">
        <v>3229.4607030765483</v>
      </c>
      <c r="P509" s="122">
        <v>29912.574985869516</v>
      </c>
      <c r="Q509" s="122">
        <v>4069.7128144372241</v>
      </c>
      <c r="R509" s="122">
        <v>3861.7327244405315</v>
      </c>
      <c r="S509" s="122">
        <v>11810.267006247936</v>
      </c>
      <c r="T509" s="122">
        <v>56218.393091850128</v>
      </c>
      <c r="U509" s="122">
        <v>12765.256011936821</v>
      </c>
      <c r="V509" s="122">
        <v>2777.5160902315261</v>
      </c>
      <c r="W509" s="54"/>
      <c r="X509" s="54"/>
      <c r="Y509" s="54"/>
      <c r="Z509" s="54"/>
      <c r="AA509" s="54"/>
      <c r="AB509" s="54"/>
      <c r="AC509" s="54"/>
      <c r="AD509" s="54"/>
      <c r="AE509" s="54"/>
      <c r="AF509" s="54"/>
      <c r="AG509" s="54"/>
      <c r="AH509" s="54"/>
      <c r="AI509" s="117">
        <f t="shared" si="73"/>
        <v>152375.7636470304</v>
      </c>
      <c r="AJ509" s="117">
        <f t="shared" si="74"/>
        <v>149598.24755679886</v>
      </c>
      <c r="AK509" s="117">
        <f t="shared" si="75"/>
        <v>0</v>
      </c>
      <c r="AL509" s="23"/>
      <c r="AM509" s="127" t="b">
        <f t="shared" si="76"/>
        <v>0</v>
      </c>
      <c r="AN509" s="127" t="str">
        <f t="shared" si="77"/>
        <v/>
      </c>
      <c r="AO509" s="129">
        <v>1</v>
      </c>
      <c r="AP509" s="129"/>
      <c r="AQ509" s="129"/>
      <c r="AR509" s="129"/>
      <c r="AS509" s="129"/>
      <c r="AT509" s="129"/>
      <c r="AU509" s="129"/>
      <c r="AV509" s="129"/>
      <c r="AW509" s="129"/>
      <c r="AX509" s="197"/>
      <c r="AY509" s="197"/>
      <c r="AZ509" s="197"/>
      <c r="BA509" s="197"/>
      <c r="BB509" s="129"/>
      <c r="BC509" s="129"/>
      <c r="BD509" s="129"/>
      <c r="BE509" s="129"/>
      <c r="BF509" s="129"/>
      <c r="BG509" s="129"/>
      <c r="BH509" s="129"/>
      <c r="BI509" s="129"/>
      <c r="BJ509" s="129"/>
      <c r="BK509" s="129"/>
      <c r="BL509" s="129"/>
      <c r="BM509" s="197"/>
    </row>
    <row r="510" spans="1:65" x14ac:dyDescent="0.25">
      <c r="A510" s="121" t="s">
        <v>77</v>
      </c>
      <c r="B510" s="121" t="s">
        <v>27</v>
      </c>
      <c r="C510" s="172" t="s">
        <v>397</v>
      </c>
      <c r="D510" s="161">
        <v>1</v>
      </c>
      <c r="E510" s="29" t="str">
        <f t="shared" si="72"/>
        <v>Expected nominal return (incl forecast asset revaluations)</v>
      </c>
      <c r="F510" s="122">
        <v>4106.9176546990693</v>
      </c>
      <c r="G510" s="122">
        <v>7079.1967908496481</v>
      </c>
      <c r="H510" s="122">
        <v>1099.2377594048637</v>
      </c>
      <c r="I510" s="122">
        <v>2601.8107630140616</v>
      </c>
      <c r="J510" s="122">
        <v>4161.7765599619797</v>
      </c>
      <c r="K510" s="122">
        <v>1405.0662895012752</v>
      </c>
      <c r="L510" s="122">
        <v>2314.2722880870087</v>
      </c>
      <c r="M510" s="122">
        <v>826.1447486699808</v>
      </c>
      <c r="N510" s="122">
        <v>3286.9113982299277</v>
      </c>
      <c r="O510" s="122">
        <v>3128.766377192077</v>
      </c>
      <c r="P510" s="122">
        <v>28682.469873012607</v>
      </c>
      <c r="Q510" s="122">
        <v>3917.143275753634</v>
      </c>
      <c r="R510" s="122">
        <v>3840.2515478002138</v>
      </c>
      <c r="S510" s="122">
        <v>11720.525064758976</v>
      </c>
      <c r="T510" s="122">
        <v>54521.734446642658</v>
      </c>
      <c r="U510" s="122">
        <v>12251.212702923702</v>
      </c>
      <c r="V510" s="122">
        <v>2560.8418135997035</v>
      </c>
      <c r="W510" s="54"/>
      <c r="X510" s="54"/>
      <c r="Y510" s="54"/>
      <c r="Z510" s="54"/>
      <c r="AA510" s="54"/>
      <c r="AB510" s="54"/>
      <c r="AC510" s="54"/>
      <c r="AD510" s="54"/>
      <c r="AE510" s="54"/>
      <c r="AF510" s="54"/>
      <c r="AG510" s="54"/>
      <c r="AH510" s="54"/>
      <c r="AI510" s="117">
        <f t="shared" si="73"/>
        <v>147504.27935410134</v>
      </c>
      <c r="AJ510" s="117">
        <f t="shared" si="74"/>
        <v>144943.43754050165</v>
      </c>
      <c r="AK510" s="117">
        <f t="shared" si="75"/>
        <v>0</v>
      </c>
      <c r="AL510" s="23"/>
      <c r="AM510" s="127" t="b">
        <f t="shared" si="76"/>
        <v>0</v>
      </c>
      <c r="AN510" s="127" t="str">
        <f t="shared" si="77"/>
        <v/>
      </c>
      <c r="AO510" s="129">
        <v>1</v>
      </c>
      <c r="AP510" s="129"/>
      <c r="AQ510" s="129"/>
      <c r="AR510" s="129"/>
      <c r="AS510" s="129"/>
      <c r="AT510" s="129"/>
      <c r="AU510" s="129"/>
      <c r="AV510" s="129"/>
      <c r="AW510" s="129"/>
      <c r="AX510" s="197"/>
      <c r="AY510" s="197"/>
      <c r="AZ510" s="197"/>
      <c r="BA510" s="197"/>
      <c r="BB510" s="129"/>
      <c r="BC510" s="129"/>
      <c r="BD510" s="129"/>
      <c r="BE510" s="129"/>
      <c r="BF510" s="129"/>
      <c r="BG510" s="129"/>
      <c r="BH510" s="129"/>
      <c r="BI510" s="129"/>
      <c r="BJ510" s="129"/>
      <c r="BK510" s="129"/>
      <c r="BL510" s="129"/>
      <c r="BM510" s="197"/>
    </row>
    <row r="511" spans="1:65" x14ac:dyDescent="0.25">
      <c r="A511" s="171"/>
      <c r="B511" s="171"/>
      <c r="C511" s="172"/>
      <c r="D511" s="49"/>
      <c r="E511" s="49"/>
      <c r="F511" s="54"/>
      <c r="G511" s="54"/>
      <c r="H511" s="54"/>
      <c r="I511" s="54"/>
      <c r="J511" s="54"/>
      <c r="K511" s="54"/>
      <c r="L511" s="54"/>
      <c r="M511" s="54"/>
      <c r="N511" s="54"/>
      <c r="O511" s="54"/>
      <c r="P511" s="54"/>
      <c r="Q511" s="54"/>
      <c r="R511" s="54"/>
      <c r="S511" s="54"/>
      <c r="T511" s="54"/>
      <c r="U511" s="54"/>
      <c r="V511" s="54"/>
      <c r="W511" s="55"/>
      <c r="X511" s="55"/>
      <c r="Y511" s="55"/>
      <c r="Z511" s="55"/>
      <c r="AA511" s="55"/>
      <c r="AB511" s="55"/>
      <c r="AC511" s="55"/>
      <c r="AD511" s="55"/>
      <c r="AE511" s="55"/>
      <c r="AF511" s="55"/>
      <c r="AG511" s="55"/>
      <c r="AH511" s="55"/>
      <c r="AI511" s="54"/>
      <c r="AJ511" s="54"/>
      <c r="AK511" s="54"/>
      <c r="AL511" s="23"/>
      <c r="AM511" s="127"/>
      <c r="AN511" s="127"/>
      <c r="AO511" s="129"/>
      <c r="AP511" s="129"/>
      <c r="AQ511" s="129"/>
      <c r="AR511" s="129"/>
      <c r="AS511" s="129"/>
      <c r="AT511" s="129"/>
      <c r="AU511" s="129"/>
      <c r="AV511" s="129"/>
      <c r="AW511" s="129"/>
      <c r="AX511" s="197"/>
      <c r="AY511" s="197"/>
      <c r="AZ511" s="197"/>
      <c r="BA511" s="197"/>
      <c r="BB511" s="129"/>
      <c r="BC511" s="129"/>
      <c r="BD511" s="129"/>
      <c r="BE511" s="129"/>
      <c r="BF511" s="129"/>
      <c r="BG511" s="129"/>
      <c r="BH511" s="129"/>
      <c r="BI511" s="129"/>
      <c r="BJ511" s="129"/>
      <c r="BK511" s="129"/>
      <c r="BL511" s="129"/>
      <c r="BM511" s="197"/>
    </row>
    <row r="512" spans="1:65" x14ac:dyDescent="0.25">
      <c r="A512" s="171"/>
      <c r="B512" s="171"/>
      <c r="C512" s="172"/>
      <c r="D512" s="46"/>
      <c r="E512" s="46"/>
      <c r="F512" s="54"/>
      <c r="G512" s="54"/>
      <c r="H512" s="54"/>
      <c r="I512" s="54"/>
      <c r="J512" s="54"/>
      <c r="K512" s="54"/>
      <c r="L512" s="54"/>
      <c r="M512" s="54"/>
      <c r="N512" s="54"/>
      <c r="O512" s="54"/>
      <c r="P512" s="54"/>
      <c r="Q512" s="54"/>
      <c r="R512" s="54"/>
      <c r="S512" s="54"/>
      <c r="T512" s="54"/>
      <c r="U512" s="54"/>
      <c r="V512" s="54"/>
      <c r="W512" s="55"/>
      <c r="X512" s="55"/>
      <c r="Y512" s="55"/>
      <c r="Z512" s="55"/>
      <c r="AA512" s="55"/>
      <c r="AB512" s="55"/>
      <c r="AC512" s="55"/>
      <c r="AD512" s="55"/>
      <c r="AE512" s="55"/>
      <c r="AF512" s="55"/>
      <c r="AG512" s="55"/>
      <c r="AH512" s="55"/>
      <c r="AI512" s="54"/>
      <c r="AJ512" s="54"/>
      <c r="AK512" s="54"/>
      <c r="AL512" s="23"/>
      <c r="AM512" s="127"/>
      <c r="AN512" s="127"/>
      <c r="AO512" s="129"/>
      <c r="AP512" s="129"/>
      <c r="AQ512" s="129"/>
      <c r="AR512" s="129"/>
      <c r="AS512" s="129"/>
      <c r="AT512" s="129"/>
      <c r="AU512" s="129"/>
      <c r="AV512" s="129"/>
      <c r="AW512" s="129"/>
      <c r="AX512" s="197"/>
      <c r="AY512" s="197"/>
      <c r="AZ512" s="197"/>
      <c r="BA512" s="197"/>
      <c r="BB512" s="129"/>
      <c r="BC512" s="129"/>
      <c r="BD512" s="129"/>
      <c r="BE512" s="129"/>
      <c r="BF512" s="129"/>
      <c r="BG512" s="129"/>
      <c r="BH512" s="129"/>
      <c r="BI512" s="129"/>
      <c r="BJ512" s="129"/>
      <c r="BK512" s="129"/>
      <c r="BL512" s="129"/>
      <c r="BM512" s="197"/>
    </row>
    <row r="513" spans="1:65" x14ac:dyDescent="0.25">
      <c r="A513" s="171" t="s">
        <v>77</v>
      </c>
      <c r="B513" s="171" t="s">
        <v>22</v>
      </c>
      <c r="C513" s="186" t="s">
        <v>222</v>
      </c>
      <c r="D513" s="161">
        <v>2</v>
      </c>
      <c r="E513" s="29" t="str">
        <f t="shared" ref="E513:E518" si="78">INDEX(ra_ScName,MATCH(D513,ra_ScNumber,0))</f>
        <v>Expected real return (excl forecast asset revaluations)</v>
      </c>
      <c r="F513" s="122">
        <v>0</v>
      </c>
      <c r="G513" s="122">
        <v>0</v>
      </c>
      <c r="H513" s="122">
        <v>0</v>
      </c>
      <c r="I513" s="122">
        <v>0</v>
      </c>
      <c r="J513" s="122">
        <v>0</v>
      </c>
      <c r="K513" s="122">
        <v>0</v>
      </c>
      <c r="L513" s="122">
        <v>0</v>
      </c>
      <c r="M513" s="122">
        <v>0</v>
      </c>
      <c r="N513" s="122">
        <v>0</v>
      </c>
      <c r="O513" s="122">
        <v>0</v>
      </c>
      <c r="P513" s="122">
        <v>0</v>
      </c>
      <c r="Q513" s="122">
        <v>0</v>
      </c>
      <c r="R513" s="122">
        <v>0</v>
      </c>
      <c r="S513" s="122">
        <v>0</v>
      </c>
      <c r="T513" s="122">
        <v>0</v>
      </c>
      <c r="U513" s="122">
        <v>0</v>
      </c>
      <c r="V513" s="122"/>
      <c r="W513" s="54"/>
      <c r="X513" s="54"/>
      <c r="Y513" s="54"/>
      <c r="Z513" s="54"/>
      <c r="AA513" s="54"/>
      <c r="AB513" s="54"/>
      <c r="AC513" s="54"/>
      <c r="AD513" s="54"/>
      <c r="AE513" s="54"/>
      <c r="AF513" s="54"/>
      <c r="AG513" s="54"/>
      <c r="AH513" s="54"/>
      <c r="AI513" s="117">
        <f t="shared" ref="AI513:AI518" si="79">SUM(F513:AH513)</f>
        <v>0</v>
      </c>
      <c r="AJ513" s="117">
        <f t="shared" ref="AJ513:AJ518" si="80">SUM(F513:U513)</f>
        <v>0</v>
      </c>
      <c r="AK513" s="117">
        <f t="shared" ref="AK513:AK518" si="81">SUM(W513:AH513)</f>
        <v>0</v>
      </c>
      <c r="AL513" s="23"/>
      <c r="AM513" s="127" t="b">
        <f t="shared" ref="AM513:AM518" si="82">IF(INDEX($AO513:$BM513,0,$F$14)=1,TRUE,FALSE)</f>
        <v>0</v>
      </c>
      <c r="AN513" s="127" t="str">
        <f t="shared" ref="AN513:AN518" si="83">IF(AM513,A513&amp;", "&amp;B513,"")</f>
        <v/>
      </c>
      <c r="AO513" s="129"/>
      <c r="AP513" s="129">
        <v>1</v>
      </c>
      <c r="AQ513" s="129">
        <v>1</v>
      </c>
      <c r="AR513" s="129">
        <v>1</v>
      </c>
      <c r="AS513" s="129">
        <v>1</v>
      </c>
      <c r="AT513" s="129">
        <v>1</v>
      </c>
      <c r="AU513" s="129">
        <v>1</v>
      </c>
      <c r="AV513" s="129">
        <v>1</v>
      </c>
      <c r="AW513" s="129"/>
      <c r="AX513" s="197"/>
      <c r="AY513" s="197"/>
      <c r="AZ513" s="197"/>
      <c r="BA513" s="197">
        <v>1</v>
      </c>
      <c r="BB513" s="129">
        <v>1</v>
      </c>
      <c r="BC513" s="129">
        <v>1</v>
      </c>
      <c r="BD513" s="129">
        <v>1</v>
      </c>
      <c r="BE513" s="129">
        <v>1</v>
      </c>
      <c r="BF513" s="129">
        <v>1</v>
      </c>
      <c r="BG513" s="129">
        <v>1</v>
      </c>
      <c r="BH513" s="129">
        <v>1</v>
      </c>
      <c r="BI513" s="129">
        <v>1</v>
      </c>
      <c r="BJ513" s="129">
        <v>1</v>
      </c>
      <c r="BK513" s="129">
        <v>1</v>
      </c>
      <c r="BL513" s="129">
        <v>1</v>
      </c>
      <c r="BM513" s="197"/>
    </row>
    <row r="514" spans="1:65" x14ac:dyDescent="0.25">
      <c r="A514" s="171" t="s">
        <v>77</v>
      </c>
      <c r="B514" s="171" t="s">
        <v>23</v>
      </c>
      <c r="C514" s="186" t="s">
        <v>222</v>
      </c>
      <c r="D514" s="161">
        <v>2</v>
      </c>
      <c r="E514" s="29" t="str">
        <f t="shared" si="78"/>
        <v>Expected real return (excl forecast asset revaluations)</v>
      </c>
      <c r="F514" s="122">
        <v>0</v>
      </c>
      <c r="G514" s="122">
        <v>0</v>
      </c>
      <c r="H514" s="122">
        <v>0</v>
      </c>
      <c r="I514" s="122">
        <v>0</v>
      </c>
      <c r="J514" s="122">
        <v>0</v>
      </c>
      <c r="K514" s="122">
        <v>0</v>
      </c>
      <c r="L514" s="122">
        <v>0</v>
      </c>
      <c r="M514" s="122">
        <v>0</v>
      </c>
      <c r="N514" s="122">
        <v>0</v>
      </c>
      <c r="O514" s="122">
        <v>0</v>
      </c>
      <c r="P514" s="122">
        <v>0</v>
      </c>
      <c r="Q514" s="122">
        <v>0</v>
      </c>
      <c r="R514" s="122">
        <v>0</v>
      </c>
      <c r="S514" s="122">
        <v>0</v>
      </c>
      <c r="T514" s="122">
        <v>0</v>
      </c>
      <c r="U514" s="122">
        <v>0</v>
      </c>
      <c r="V514" s="122"/>
      <c r="W514" s="54"/>
      <c r="X514" s="54"/>
      <c r="Y514" s="54"/>
      <c r="Z514" s="54"/>
      <c r="AA514" s="54"/>
      <c r="AB514" s="54"/>
      <c r="AC514" s="54"/>
      <c r="AD514" s="54"/>
      <c r="AE514" s="54"/>
      <c r="AF514" s="54"/>
      <c r="AG514" s="54"/>
      <c r="AH514" s="54"/>
      <c r="AI514" s="117">
        <f t="shared" si="79"/>
        <v>0</v>
      </c>
      <c r="AJ514" s="117">
        <f t="shared" si="80"/>
        <v>0</v>
      </c>
      <c r="AK514" s="117">
        <f t="shared" si="81"/>
        <v>0</v>
      </c>
      <c r="AL514" s="23"/>
      <c r="AM514" s="127" t="b">
        <f t="shared" si="82"/>
        <v>0</v>
      </c>
      <c r="AN514" s="127" t="str">
        <f t="shared" si="83"/>
        <v/>
      </c>
      <c r="AO514" s="129"/>
      <c r="AP514" s="129">
        <v>1</v>
      </c>
      <c r="AQ514" s="129">
        <v>1</v>
      </c>
      <c r="AR514" s="129">
        <v>1</v>
      </c>
      <c r="AS514" s="129">
        <v>1</v>
      </c>
      <c r="AT514" s="129">
        <v>1</v>
      </c>
      <c r="AU514" s="129">
        <v>1</v>
      </c>
      <c r="AV514" s="129">
        <v>1</v>
      </c>
      <c r="AW514" s="129"/>
      <c r="AX514" s="197"/>
      <c r="AY514" s="197"/>
      <c r="AZ514" s="197"/>
      <c r="BA514" s="197">
        <v>1</v>
      </c>
      <c r="BB514" s="129">
        <v>1</v>
      </c>
      <c r="BC514" s="129">
        <v>1</v>
      </c>
      <c r="BD514" s="129">
        <v>1</v>
      </c>
      <c r="BE514" s="129">
        <v>1</v>
      </c>
      <c r="BF514" s="129">
        <v>1</v>
      </c>
      <c r="BG514" s="129">
        <v>1</v>
      </c>
      <c r="BH514" s="129">
        <v>1</v>
      </c>
      <c r="BI514" s="129">
        <v>1</v>
      </c>
      <c r="BJ514" s="129">
        <v>1</v>
      </c>
      <c r="BK514" s="129">
        <v>1</v>
      </c>
      <c r="BL514" s="129">
        <v>1</v>
      </c>
      <c r="BM514" s="197"/>
    </row>
    <row r="515" spans="1:65" x14ac:dyDescent="0.25">
      <c r="A515" s="171" t="s">
        <v>77</v>
      </c>
      <c r="B515" s="171" t="s">
        <v>24</v>
      </c>
      <c r="C515" s="186" t="s">
        <v>222</v>
      </c>
      <c r="D515" s="161">
        <v>2</v>
      </c>
      <c r="E515" s="29" t="str">
        <f t="shared" si="78"/>
        <v>Expected real return (excl forecast asset revaluations)</v>
      </c>
      <c r="F515" s="122">
        <v>0</v>
      </c>
      <c r="G515" s="122">
        <v>0</v>
      </c>
      <c r="H515" s="122">
        <v>0</v>
      </c>
      <c r="I515" s="122">
        <v>0</v>
      </c>
      <c r="J515" s="122">
        <v>0</v>
      </c>
      <c r="K515" s="122">
        <v>0</v>
      </c>
      <c r="L515" s="122">
        <v>0</v>
      </c>
      <c r="M515" s="122">
        <v>0</v>
      </c>
      <c r="N515" s="122">
        <v>0</v>
      </c>
      <c r="O515" s="122">
        <v>0</v>
      </c>
      <c r="P515" s="122">
        <v>0</v>
      </c>
      <c r="Q515" s="122">
        <v>0</v>
      </c>
      <c r="R515" s="122">
        <v>0</v>
      </c>
      <c r="S515" s="122">
        <v>0</v>
      </c>
      <c r="T515" s="122">
        <v>0</v>
      </c>
      <c r="U515" s="122">
        <v>0</v>
      </c>
      <c r="V515" s="122"/>
      <c r="W515" s="54"/>
      <c r="X515" s="54"/>
      <c r="Y515" s="54"/>
      <c r="Z515" s="54"/>
      <c r="AA515" s="54"/>
      <c r="AB515" s="54"/>
      <c r="AC515" s="54"/>
      <c r="AD515" s="54"/>
      <c r="AE515" s="54"/>
      <c r="AF515" s="54"/>
      <c r="AG515" s="54"/>
      <c r="AH515" s="54"/>
      <c r="AI515" s="117">
        <f t="shared" si="79"/>
        <v>0</v>
      </c>
      <c r="AJ515" s="117">
        <f t="shared" si="80"/>
        <v>0</v>
      </c>
      <c r="AK515" s="117">
        <f t="shared" si="81"/>
        <v>0</v>
      </c>
      <c r="AL515" s="23"/>
      <c r="AM515" s="127" t="b">
        <f t="shared" si="82"/>
        <v>0</v>
      </c>
      <c r="AN515" s="127" t="str">
        <f t="shared" si="83"/>
        <v/>
      </c>
      <c r="AO515" s="129"/>
      <c r="AP515" s="129">
        <v>1</v>
      </c>
      <c r="AQ515" s="129">
        <v>1</v>
      </c>
      <c r="AR515" s="129">
        <v>1</v>
      </c>
      <c r="AS515" s="129">
        <v>1</v>
      </c>
      <c r="AT515" s="129">
        <v>1</v>
      </c>
      <c r="AU515" s="129">
        <v>1</v>
      </c>
      <c r="AV515" s="129">
        <v>1</v>
      </c>
      <c r="AW515" s="129"/>
      <c r="AX515" s="197"/>
      <c r="AY515" s="197"/>
      <c r="AZ515" s="197"/>
      <c r="BA515" s="197">
        <v>1</v>
      </c>
      <c r="BB515" s="129">
        <v>1</v>
      </c>
      <c r="BC515" s="129">
        <v>1</v>
      </c>
      <c r="BD515" s="129">
        <v>1</v>
      </c>
      <c r="BE515" s="129">
        <v>1</v>
      </c>
      <c r="BF515" s="129">
        <v>1</v>
      </c>
      <c r="BG515" s="129">
        <v>1</v>
      </c>
      <c r="BH515" s="129">
        <v>1</v>
      </c>
      <c r="BI515" s="129">
        <v>1</v>
      </c>
      <c r="BJ515" s="129">
        <v>1</v>
      </c>
      <c r="BK515" s="129">
        <v>1</v>
      </c>
      <c r="BL515" s="129">
        <v>1</v>
      </c>
      <c r="BM515" s="197"/>
    </row>
    <row r="516" spans="1:65" x14ac:dyDescent="0.25">
      <c r="A516" s="171" t="s">
        <v>77</v>
      </c>
      <c r="B516" s="171" t="s">
        <v>25</v>
      </c>
      <c r="C516" s="186" t="s">
        <v>222</v>
      </c>
      <c r="D516" s="161">
        <v>2</v>
      </c>
      <c r="E516" s="29" t="str">
        <f t="shared" si="78"/>
        <v>Expected real return (excl forecast asset revaluations)</v>
      </c>
      <c r="F516" s="122">
        <v>0</v>
      </c>
      <c r="G516" s="122">
        <v>0</v>
      </c>
      <c r="H516" s="122">
        <v>0</v>
      </c>
      <c r="I516" s="122">
        <v>0</v>
      </c>
      <c r="J516" s="122">
        <v>0</v>
      </c>
      <c r="K516" s="122">
        <v>0</v>
      </c>
      <c r="L516" s="122">
        <v>0</v>
      </c>
      <c r="M516" s="122">
        <v>0</v>
      </c>
      <c r="N516" s="122">
        <v>0</v>
      </c>
      <c r="O516" s="122">
        <v>0</v>
      </c>
      <c r="P516" s="122">
        <v>0</v>
      </c>
      <c r="Q516" s="122">
        <v>0</v>
      </c>
      <c r="R516" s="122">
        <v>0</v>
      </c>
      <c r="S516" s="122">
        <v>0</v>
      </c>
      <c r="T516" s="122">
        <v>0</v>
      </c>
      <c r="U516" s="122">
        <v>0</v>
      </c>
      <c r="V516" s="122"/>
      <c r="W516" s="54"/>
      <c r="X516" s="54"/>
      <c r="Y516" s="54"/>
      <c r="Z516" s="54"/>
      <c r="AA516" s="54"/>
      <c r="AB516" s="54"/>
      <c r="AC516" s="54"/>
      <c r="AD516" s="54"/>
      <c r="AE516" s="54"/>
      <c r="AF516" s="54"/>
      <c r="AG516" s="54"/>
      <c r="AH516" s="54"/>
      <c r="AI516" s="117">
        <f t="shared" si="79"/>
        <v>0</v>
      </c>
      <c r="AJ516" s="117">
        <f t="shared" si="80"/>
        <v>0</v>
      </c>
      <c r="AK516" s="117">
        <f t="shared" si="81"/>
        <v>0</v>
      </c>
      <c r="AL516" s="23"/>
      <c r="AM516" s="127" t="b">
        <f t="shared" si="82"/>
        <v>0</v>
      </c>
      <c r="AN516" s="127" t="str">
        <f t="shared" si="83"/>
        <v/>
      </c>
      <c r="AO516" s="129"/>
      <c r="AP516" s="129">
        <v>1</v>
      </c>
      <c r="AQ516" s="129">
        <v>1</v>
      </c>
      <c r="AR516" s="129">
        <v>1</v>
      </c>
      <c r="AS516" s="129">
        <v>1</v>
      </c>
      <c r="AT516" s="129">
        <v>1</v>
      </c>
      <c r="AU516" s="129">
        <v>1</v>
      </c>
      <c r="AV516" s="129">
        <v>1</v>
      </c>
      <c r="AW516" s="129"/>
      <c r="AX516" s="197"/>
      <c r="AY516" s="197"/>
      <c r="AZ516" s="197"/>
      <c r="BA516" s="197">
        <v>1</v>
      </c>
      <c r="BB516" s="129">
        <v>1</v>
      </c>
      <c r="BC516" s="129">
        <v>1</v>
      </c>
      <c r="BD516" s="129">
        <v>1</v>
      </c>
      <c r="BE516" s="129">
        <v>1</v>
      </c>
      <c r="BF516" s="129">
        <v>1</v>
      </c>
      <c r="BG516" s="129">
        <v>1</v>
      </c>
      <c r="BH516" s="129">
        <v>1</v>
      </c>
      <c r="BI516" s="129">
        <v>1</v>
      </c>
      <c r="BJ516" s="129">
        <v>1</v>
      </c>
      <c r="BK516" s="129">
        <v>1</v>
      </c>
      <c r="BL516" s="129">
        <v>1</v>
      </c>
      <c r="BM516" s="197"/>
    </row>
    <row r="517" spans="1:65" x14ac:dyDescent="0.25">
      <c r="A517" s="171" t="s">
        <v>77</v>
      </c>
      <c r="B517" s="171" t="s">
        <v>26</v>
      </c>
      <c r="C517" s="186" t="s">
        <v>222</v>
      </c>
      <c r="D517" s="161">
        <v>2</v>
      </c>
      <c r="E517" s="29" t="str">
        <f t="shared" si="78"/>
        <v>Expected real return (excl forecast asset revaluations)</v>
      </c>
      <c r="F517" s="122">
        <v>0</v>
      </c>
      <c r="G517" s="122">
        <v>0</v>
      </c>
      <c r="H517" s="122">
        <v>0</v>
      </c>
      <c r="I517" s="122">
        <v>0</v>
      </c>
      <c r="J517" s="122">
        <v>0</v>
      </c>
      <c r="K517" s="122">
        <v>0</v>
      </c>
      <c r="L517" s="122">
        <v>0</v>
      </c>
      <c r="M517" s="122">
        <v>0</v>
      </c>
      <c r="N517" s="122">
        <v>0</v>
      </c>
      <c r="O517" s="122">
        <v>0</v>
      </c>
      <c r="P517" s="122">
        <v>0</v>
      </c>
      <c r="Q517" s="122">
        <v>0</v>
      </c>
      <c r="R517" s="122">
        <v>0</v>
      </c>
      <c r="S517" s="122">
        <v>0</v>
      </c>
      <c r="T517" s="122">
        <v>0</v>
      </c>
      <c r="U517" s="122">
        <v>0</v>
      </c>
      <c r="V517" s="122"/>
      <c r="W517" s="54"/>
      <c r="X517" s="54"/>
      <c r="Y517" s="54"/>
      <c r="Z517" s="54"/>
      <c r="AA517" s="54"/>
      <c r="AB517" s="54"/>
      <c r="AC517" s="54"/>
      <c r="AD517" s="54"/>
      <c r="AE517" s="54"/>
      <c r="AF517" s="54"/>
      <c r="AG517" s="54"/>
      <c r="AH517" s="54"/>
      <c r="AI517" s="117">
        <f t="shared" si="79"/>
        <v>0</v>
      </c>
      <c r="AJ517" s="117">
        <f t="shared" si="80"/>
        <v>0</v>
      </c>
      <c r="AK517" s="117">
        <f t="shared" si="81"/>
        <v>0</v>
      </c>
      <c r="AL517" s="23"/>
      <c r="AM517" s="127" t="b">
        <f t="shared" si="82"/>
        <v>0</v>
      </c>
      <c r="AN517" s="127" t="str">
        <f t="shared" si="83"/>
        <v/>
      </c>
      <c r="AO517" s="129"/>
      <c r="AP517" s="129">
        <v>1</v>
      </c>
      <c r="AQ517" s="129">
        <v>1</v>
      </c>
      <c r="AR517" s="129">
        <v>1</v>
      </c>
      <c r="AS517" s="129">
        <v>1</v>
      </c>
      <c r="AT517" s="129">
        <v>1</v>
      </c>
      <c r="AU517" s="129">
        <v>1</v>
      </c>
      <c r="AV517" s="129">
        <v>1</v>
      </c>
      <c r="AW517" s="129"/>
      <c r="AX517" s="197"/>
      <c r="AY517" s="197"/>
      <c r="AZ517" s="197"/>
      <c r="BA517" s="197">
        <v>1</v>
      </c>
      <c r="BB517" s="129">
        <v>1</v>
      </c>
      <c r="BC517" s="129">
        <v>1</v>
      </c>
      <c r="BD517" s="129">
        <v>1</v>
      </c>
      <c r="BE517" s="129">
        <v>1</v>
      </c>
      <c r="BF517" s="129">
        <v>1</v>
      </c>
      <c r="BG517" s="129">
        <v>1</v>
      </c>
      <c r="BH517" s="129">
        <v>1</v>
      </c>
      <c r="BI517" s="129">
        <v>1</v>
      </c>
      <c r="BJ517" s="129">
        <v>1</v>
      </c>
      <c r="BK517" s="129">
        <v>1</v>
      </c>
      <c r="BL517" s="129">
        <v>1</v>
      </c>
      <c r="BM517" s="197"/>
    </row>
    <row r="518" spans="1:65" x14ac:dyDescent="0.25">
      <c r="A518" s="171" t="s">
        <v>77</v>
      </c>
      <c r="B518" s="171" t="s">
        <v>27</v>
      </c>
      <c r="C518" s="186" t="s">
        <v>222</v>
      </c>
      <c r="D518" s="161">
        <v>2</v>
      </c>
      <c r="E518" s="29" t="str">
        <f t="shared" si="78"/>
        <v>Expected real return (excl forecast asset revaluations)</v>
      </c>
      <c r="F518" s="122">
        <v>0</v>
      </c>
      <c r="G518" s="122">
        <v>0</v>
      </c>
      <c r="H518" s="122">
        <v>0</v>
      </c>
      <c r="I518" s="122">
        <v>0</v>
      </c>
      <c r="J518" s="122">
        <v>0</v>
      </c>
      <c r="K518" s="122">
        <v>0</v>
      </c>
      <c r="L518" s="122">
        <v>0</v>
      </c>
      <c r="M518" s="122">
        <v>0</v>
      </c>
      <c r="N518" s="122">
        <v>0</v>
      </c>
      <c r="O518" s="122">
        <v>0</v>
      </c>
      <c r="P518" s="122">
        <v>0</v>
      </c>
      <c r="Q518" s="122">
        <v>0</v>
      </c>
      <c r="R518" s="122">
        <v>0</v>
      </c>
      <c r="S518" s="122">
        <v>0</v>
      </c>
      <c r="T518" s="122">
        <v>0</v>
      </c>
      <c r="U518" s="122">
        <v>0</v>
      </c>
      <c r="V518" s="122"/>
      <c r="W518" s="54"/>
      <c r="X518" s="54"/>
      <c r="Y518" s="54"/>
      <c r="Z518" s="54"/>
      <c r="AA518" s="54"/>
      <c r="AB518" s="54"/>
      <c r="AC518" s="54"/>
      <c r="AD518" s="54"/>
      <c r="AE518" s="54"/>
      <c r="AF518" s="54"/>
      <c r="AG518" s="54"/>
      <c r="AH518" s="54"/>
      <c r="AI518" s="117">
        <f t="shared" si="79"/>
        <v>0</v>
      </c>
      <c r="AJ518" s="117">
        <f t="shared" si="80"/>
        <v>0</v>
      </c>
      <c r="AK518" s="117">
        <f t="shared" si="81"/>
        <v>0</v>
      </c>
      <c r="AL518" s="23"/>
      <c r="AM518" s="127" t="b">
        <f t="shared" si="82"/>
        <v>0</v>
      </c>
      <c r="AN518" s="127" t="str">
        <f t="shared" si="83"/>
        <v/>
      </c>
      <c r="AO518" s="129"/>
      <c r="AP518" s="129">
        <v>1</v>
      </c>
      <c r="AQ518" s="129">
        <v>1</v>
      </c>
      <c r="AR518" s="129">
        <v>1</v>
      </c>
      <c r="AS518" s="129">
        <v>1</v>
      </c>
      <c r="AT518" s="129">
        <v>1</v>
      </c>
      <c r="AU518" s="129">
        <v>1</v>
      </c>
      <c r="AV518" s="129">
        <v>1</v>
      </c>
      <c r="AW518" s="129"/>
      <c r="AX518" s="197"/>
      <c r="AY518" s="197"/>
      <c r="AZ518" s="197"/>
      <c r="BA518" s="197">
        <v>1</v>
      </c>
      <c r="BB518" s="129">
        <v>1</v>
      </c>
      <c r="BC518" s="129">
        <v>1</v>
      </c>
      <c r="BD518" s="129">
        <v>1</v>
      </c>
      <c r="BE518" s="129">
        <v>1</v>
      </c>
      <c r="BF518" s="129">
        <v>1</v>
      </c>
      <c r="BG518" s="129">
        <v>1</v>
      </c>
      <c r="BH518" s="129">
        <v>1</v>
      </c>
      <c r="BI518" s="129">
        <v>1</v>
      </c>
      <c r="BJ518" s="129">
        <v>1</v>
      </c>
      <c r="BK518" s="129">
        <v>1</v>
      </c>
      <c r="BL518" s="129">
        <v>1</v>
      </c>
      <c r="BM518" s="197"/>
    </row>
    <row r="519" spans="1:65" x14ac:dyDescent="0.25">
      <c r="A519" s="121"/>
      <c r="B519" s="121"/>
      <c r="C519" s="172"/>
      <c r="D519" s="49"/>
      <c r="E519" s="49"/>
      <c r="F519" s="54"/>
      <c r="G519" s="54"/>
      <c r="H519" s="54"/>
      <c r="I519" s="54"/>
      <c r="J519" s="54"/>
      <c r="K519" s="54"/>
      <c r="L519" s="54"/>
      <c r="M519" s="54"/>
      <c r="N519" s="54"/>
      <c r="O519" s="54"/>
      <c r="P519" s="54"/>
      <c r="Q519" s="54"/>
      <c r="R519" s="54"/>
      <c r="S519" s="54"/>
      <c r="T519" s="54"/>
      <c r="U519" s="54"/>
      <c r="V519" s="54"/>
      <c r="W519" s="54"/>
      <c r="X519" s="54"/>
      <c r="Y519" s="54"/>
      <c r="Z519" s="54"/>
      <c r="AA519" s="54"/>
      <c r="AB519" s="54"/>
      <c r="AC519" s="54"/>
      <c r="AD519" s="54"/>
      <c r="AE519" s="54"/>
      <c r="AF519" s="54"/>
      <c r="AG519" s="54"/>
      <c r="AH519" s="54"/>
      <c r="AI519" s="54"/>
      <c r="AJ519" s="54"/>
      <c r="AK519" s="54"/>
      <c r="AL519" s="23"/>
      <c r="AM519" s="127"/>
      <c r="AN519" s="127"/>
      <c r="AO519" s="129"/>
      <c r="AP519" s="129"/>
      <c r="AQ519" s="129"/>
      <c r="AR519" s="129"/>
      <c r="AS519" s="129"/>
      <c r="AT519" s="129"/>
      <c r="AU519" s="129"/>
      <c r="AV519" s="129"/>
      <c r="AW519" s="129"/>
      <c r="AX519" s="197"/>
      <c r="AY519" s="197"/>
      <c r="AZ519" s="197"/>
      <c r="BA519" s="197"/>
      <c r="BB519" s="129"/>
      <c r="BC519" s="129"/>
      <c r="BD519" s="129"/>
      <c r="BE519" s="129"/>
      <c r="BF519" s="129"/>
      <c r="BG519" s="129"/>
      <c r="BH519" s="129"/>
      <c r="BI519" s="129"/>
      <c r="BJ519" s="129"/>
      <c r="BK519" s="129"/>
      <c r="BL519" s="129"/>
      <c r="BM519" s="197"/>
    </row>
    <row r="520" spans="1:65" x14ac:dyDescent="0.25">
      <c r="A520" s="121"/>
      <c r="B520" s="121"/>
      <c r="C520" s="172"/>
      <c r="D520" s="46"/>
      <c r="E520" s="46"/>
      <c r="F520" s="54"/>
      <c r="G520" s="54"/>
      <c r="H520" s="54"/>
      <c r="I520" s="54"/>
      <c r="J520" s="54"/>
      <c r="K520" s="54"/>
      <c r="L520" s="54"/>
      <c r="M520" s="54"/>
      <c r="N520" s="54"/>
      <c r="O520" s="54"/>
      <c r="P520" s="54"/>
      <c r="Q520" s="54"/>
      <c r="R520" s="54"/>
      <c r="S520" s="54"/>
      <c r="T520" s="54"/>
      <c r="U520" s="54"/>
      <c r="V520" s="54"/>
      <c r="W520" s="55"/>
      <c r="X520" s="55"/>
      <c r="Y520" s="55"/>
      <c r="Z520" s="55"/>
      <c r="AA520" s="55"/>
      <c r="AB520" s="55"/>
      <c r="AC520" s="55"/>
      <c r="AD520" s="55"/>
      <c r="AE520" s="55"/>
      <c r="AF520" s="55"/>
      <c r="AG520" s="55"/>
      <c r="AH520" s="55"/>
      <c r="AI520" s="54"/>
      <c r="AJ520" s="54"/>
      <c r="AK520" s="54"/>
      <c r="AL520" s="23"/>
      <c r="AM520" s="127"/>
      <c r="AN520" s="127"/>
      <c r="AO520" s="129"/>
      <c r="AP520" s="129"/>
      <c r="AQ520" s="129"/>
      <c r="AR520" s="129"/>
      <c r="AS520" s="129"/>
      <c r="AT520" s="129"/>
      <c r="AU520" s="129"/>
      <c r="AV520" s="129"/>
      <c r="AW520" s="129"/>
      <c r="AX520" s="197"/>
      <c r="AY520" s="197"/>
      <c r="AZ520" s="197"/>
      <c r="BA520" s="197"/>
      <c r="BB520" s="129"/>
      <c r="BC520" s="129"/>
      <c r="BD520" s="129"/>
      <c r="BE520" s="129"/>
      <c r="BF520" s="129"/>
      <c r="BG520" s="129"/>
      <c r="BH520" s="129"/>
      <c r="BI520" s="129"/>
      <c r="BJ520" s="129"/>
      <c r="BK520" s="129"/>
      <c r="BL520" s="129"/>
      <c r="BM520" s="197"/>
    </row>
    <row r="521" spans="1:65" x14ac:dyDescent="0.25">
      <c r="A521" s="121" t="s">
        <v>77</v>
      </c>
      <c r="B521" s="121" t="s">
        <v>22</v>
      </c>
      <c r="C521" s="186" t="s">
        <v>222</v>
      </c>
      <c r="D521" s="161">
        <v>9</v>
      </c>
      <c r="E521" s="29" t="str">
        <f t="shared" ref="E521:E526" si="84">INDEX(ra_ScName,MATCH(D521,ra_ScNumber,0))</f>
        <v>Disclosed real return (excl actual asset revaluations)</v>
      </c>
      <c r="F521" s="122">
        <v>0</v>
      </c>
      <c r="G521" s="122">
        <v>0</v>
      </c>
      <c r="H521" s="122">
        <v>0</v>
      </c>
      <c r="I521" s="122">
        <v>0</v>
      </c>
      <c r="J521" s="122">
        <v>0</v>
      </c>
      <c r="K521" s="122">
        <v>0</v>
      </c>
      <c r="L521" s="122">
        <v>0</v>
      </c>
      <c r="M521" s="122">
        <v>0</v>
      </c>
      <c r="N521" s="122">
        <v>0</v>
      </c>
      <c r="O521" s="122">
        <v>0</v>
      </c>
      <c r="P521" s="122">
        <v>0</v>
      </c>
      <c r="Q521" s="122">
        <v>0</v>
      </c>
      <c r="R521" s="122">
        <v>0</v>
      </c>
      <c r="S521" s="122">
        <v>0</v>
      </c>
      <c r="T521" s="122">
        <v>0</v>
      </c>
      <c r="U521" s="122">
        <v>0</v>
      </c>
      <c r="V521" s="122">
        <v>0</v>
      </c>
      <c r="W521" s="122">
        <v>0</v>
      </c>
      <c r="X521" s="122">
        <v>0</v>
      </c>
      <c r="Y521" s="122">
        <v>0</v>
      </c>
      <c r="Z521" s="122">
        <v>0</v>
      </c>
      <c r="AA521" s="122">
        <v>0</v>
      </c>
      <c r="AB521" s="122">
        <v>0</v>
      </c>
      <c r="AC521" s="122">
        <v>0</v>
      </c>
      <c r="AD521" s="122">
        <v>0</v>
      </c>
      <c r="AE521" s="122">
        <v>0</v>
      </c>
      <c r="AF521" s="122">
        <v>0</v>
      </c>
      <c r="AG521" s="122">
        <v>0</v>
      </c>
      <c r="AH521" s="122">
        <v>0</v>
      </c>
      <c r="AI521" s="117">
        <f t="shared" ref="AI521:AI526" si="85">SUM(F521:AH521)</f>
        <v>0</v>
      </c>
      <c r="AJ521" s="117">
        <f t="shared" ref="AJ521:AJ526" si="86">SUM(F521:U521)</f>
        <v>0</v>
      </c>
      <c r="AK521" s="117">
        <f t="shared" ref="AK521:AK526" si="87">SUM(W521:AH521)</f>
        <v>0</v>
      </c>
      <c r="AL521" s="23"/>
      <c r="AM521" s="127" t="b">
        <f t="shared" ref="AM521:AM526" si="88">IF(INDEX($AO521:$BM521,0,$F$14)=1,TRUE,FALSE)</f>
        <v>0</v>
      </c>
      <c r="AN521" s="127" t="str">
        <f t="shared" ref="AN521:AN526" si="89">IF(AM521,A521&amp;", "&amp;B521,"")</f>
        <v/>
      </c>
      <c r="AO521" s="129"/>
      <c r="AP521" s="129"/>
      <c r="AQ521" s="129"/>
      <c r="AR521" s="129"/>
      <c r="AS521" s="129"/>
      <c r="AT521" s="129"/>
      <c r="AU521" s="129"/>
      <c r="AV521" s="129"/>
      <c r="AW521" s="129">
        <v>1</v>
      </c>
      <c r="AX521" s="197"/>
      <c r="AY521" s="197"/>
      <c r="AZ521" s="197"/>
      <c r="BA521" s="197"/>
      <c r="BB521" s="129"/>
      <c r="BC521" s="129"/>
      <c r="BD521" s="129"/>
      <c r="BE521" s="129"/>
      <c r="BF521" s="129"/>
      <c r="BG521" s="129"/>
      <c r="BH521" s="129"/>
      <c r="BI521" s="129"/>
      <c r="BJ521" s="129"/>
      <c r="BK521" s="129"/>
      <c r="BL521" s="129"/>
      <c r="BM521" s="197"/>
    </row>
    <row r="522" spans="1:65" x14ac:dyDescent="0.25">
      <c r="A522" s="121" t="s">
        <v>77</v>
      </c>
      <c r="B522" s="121" t="s">
        <v>23</v>
      </c>
      <c r="C522" s="186" t="s">
        <v>222</v>
      </c>
      <c r="D522" s="161">
        <v>9</v>
      </c>
      <c r="E522" s="29" t="str">
        <f t="shared" si="84"/>
        <v>Disclosed real return (excl actual asset revaluations)</v>
      </c>
      <c r="F522" s="122">
        <v>0</v>
      </c>
      <c r="G522" s="122">
        <v>0</v>
      </c>
      <c r="H522" s="122">
        <v>0</v>
      </c>
      <c r="I522" s="122">
        <v>0</v>
      </c>
      <c r="J522" s="122">
        <v>0</v>
      </c>
      <c r="K522" s="122">
        <v>0</v>
      </c>
      <c r="L522" s="122">
        <v>0</v>
      </c>
      <c r="M522" s="122">
        <v>0</v>
      </c>
      <c r="N522" s="122">
        <v>0</v>
      </c>
      <c r="O522" s="122">
        <v>0</v>
      </c>
      <c r="P522" s="122">
        <v>0</v>
      </c>
      <c r="Q522" s="122">
        <v>0</v>
      </c>
      <c r="R522" s="122">
        <v>0</v>
      </c>
      <c r="S522" s="122">
        <v>0</v>
      </c>
      <c r="T522" s="122">
        <v>0</v>
      </c>
      <c r="U522" s="122">
        <v>0</v>
      </c>
      <c r="V522" s="122">
        <v>0</v>
      </c>
      <c r="W522" s="122">
        <v>0</v>
      </c>
      <c r="X522" s="122">
        <v>0</v>
      </c>
      <c r="Y522" s="122">
        <v>0</v>
      </c>
      <c r="Z522" s="122">
        <v>0</v>
      </c>
      <c r="AA522" s="122">
        <v>0</v>
      </c>
      <c r="AB522" s="122">
        <v>0</v>
      </c>
      <c r="AC522" s="122">
        <v>0</v>
      </c>
      <c r="AD522" s="122">
        <v>0</v>
      </c>
      <c r="AE522" s="122">
        <v>0</v>
      </c>
      <c r="AF522" s="122">
        <v>0</v>
      </c>
      <c r="AG522" s="122">
        <v>0</v>
      </c>
      <c r="AH522" s="122">
        <v>0</v>
      </c>
      <c r="AI522" s="117">
        <f t="shared" si="85"/>
        <v>0</v>
      </c>
      <c r="AJ522" s="117">
        <f t="shared" si="86"/>
        <v>0</v>
      </c>
      <c r="AK522" s="117">
        <f t="shared" si="87"/>
        <v>0</v>
      </c>
      <c r="AL522" s="23"/>
      <c r="AM522" s="127" t="b">
        <f t="shared" si="88"/>
        <v>0</v>
      </c>
      <c r="AN522" s="127" t="str">
        <f t="shared" si="89"/>
        <v/>
      </c>
      <c r="AO522" s="129"/>
      <c r="AP522" s="129"/>
      <c r="AQ522" s="129"/>
      <c r="AR522" s="129"/>
      <c r="AS522" s="129"/>
      <c r="AT522" s="129"/>
      <c r="AU522" s="129"/>
      <c r="AV522" s="129"/>
      <c r="AW522" s="129">
        <v>1</v>
      </c>
      <c r="AX522" s="197"/>
      <c r="AY522" s="197"/>
      <c r="AZ522" s="197"/>
      <c r="BA522" s="197"/>
      <c r="BB522" s="129"/>
      <c r="BC522" s="129"/>
      <c r="BD522" s="129"/>
      <c r="BE522" s="129"/>
      <c r="BF522" s="129"/>
      <c r="BG522" s="129"/>
      <c r="BH522" s="129"/>
      <c r="BI522" s="129"/>
      <c r="BJ522" s="129"/>
      <c r="BK522" s="129"/>
      <c r="BL522" s="129"/>
      <c r="BM522" s="197"/>
    </row>
    <row r="523" spans="1:65" x14ac:dyDescent="0.25">
      <c r="A523" s="121" t="s">
        <v>77</v>
      </c>
      <c r="B523" s="121" t="s">
        <v>24</v>
      </c>
      <c r="C523" s="186" t="s">
        <v>222</v>
      </c>
      <c r="D523" s="161">
        <v>9</v>
      </c>
      <c r="E523" s="29" t="str">
        <f t="shared" si="84"/>
        <v>Disclosed real return (excl actual asset revaluations)</v>
      </c>
      <c r="F523" s="122">
        <v>0</v>
      </c>
      <c r="G523" s="122">
        <v>0</v>
      </c>
      <c r="H523" s="122">
        <v>0</v>
      </c>
      <c r="I523" s="122">
        <v>0</v>
      </c>
      <c r="J523" s="122">
        <v>0</v>
      </c>
      <c r="K523" s="122">
        <v>0</v>
      </c>
      <c r="L523" s="122">
        <v>0</v>
      </c>
      <c r="M523" s="122">
        <v>0</v>
      </c>
      <c r="N523" s="122">
        <v>0</v>
      </c>
      <c r="O523" s="122">
        <v>0</v>
      </c>
      <c r="P523" s="122">
        <v>0</v>
      </c>
      <c r="Q523" s="122">
        <v>0</v>
      </c>
      <c r="R523" s="122">
        <v>0</v>
      </c>
      <c r="S523" s="122">
        <v>0</v>
      </c>
      <c r="T523" s="122">
        <v>0</v>
      </c>
      <c r="U523" s="122">
        <v>0</v>
      </c>
      <c r="V523" s="122">
        <v>0</v>
      </c>
      <c r="W523" s="122">
        <v>0</v>
      </c>
      <c r="X523" s="122">
        <v>0</v>
      </c>
      <c r="Y523" s="122">
        <v>0</v>
      </c>
      <c r="Z523" s="122">
        <v>0</v>
      </c>
      <c r="AA523" s="122">
        <v>0</v>
      </c>
      <c r="AB523" s="122">
        <v>0</v>
      </c>
      <c r="AC523" s="122">
        <v>0</v>
      </c>
      <c r="AD523" s="122">
        <v>0</v>
      </c>
      <c r="AE523" s="122">
        <v>0</v>
      </c>
      <c r="AF523" s="122">
        <v>0</v>
      </c>
      <c r="AG523" s="122">
        <v>0</v>
      </c>
      <c r="AH523" s="122">
        <v>0</v>
      </c>
      <c r="AI523" s="117">
        <f t="shared" si="85"/>
        <v>0</v>
      </c>
      <c r="AJ523" s="117">
        <f t="shared" si="86"/>
        <v>0</v>
      </c>
      <c r="AK523" s="117">
        <f t="shared" si="87"/>
        <v>0</v>
      </c>
      <c r="AL523" s="23"/>
      <c r="AM523" s="127" t="b">
        <f t="shared" si="88"/>
        <v>0</v>
      </c>
      <c r="AN523" s="127" t="str">
        <f t="shared" si="89"/>
        <v/>
      </c>
      <c r="AO523" s="129"/>
      <c r="AP523" s="129"/>
      <c r="AQ523" s="129"/>
      <c r="AR523" s="129"/>
      <c r="AS523" s="129"/>
      <c r="AT523" s="129"/>
      <c r="AU523" s="129"/>
      <c r="AV523" s="129"/>
      <c r="AW523" s="129">
        <v>1</v>
      </c>
      <c r="AX523" s="197"/>
      <c r="AY523" s="197"/>
      <c r="AZ523" s="197"/>
      <c r="BA523" s="197"/>
      <c r="BB523" s="129"/>
      <c r="BC523" s="129"/>
      <c r="BD523" s="129"/>
      <c r="BE523" s="129"/>
      <c r="BF523" s="129"/>
      <c r="BG523" s="129"/>
      <c r="BH523" s="129"/>
      <c r="BI523" s="129"/>
      <c r="BJ523" s="129"/>
      <c r="BK523" s="129"/>
      <c r="BL523" s="129"/>
      <c r="BM523" s="197"/>
    </row>
    <row r="524" spans="1:65" x14ac:dyDescent="0.25">
      <c r="A524" s="121" t="s">
        <v>77</v>
      </c>
      <c r="B524" s="121" t="s">
        <v>25</v>
      </c>
      <c r="C524" s="186" t="s">
        <v>222</v>
      </c>
      <c r="D524" s="161">
        <v>9</v>
      </c>
      <c r="E524" s="29" t="str">
        <f t="shared" si="84"/>
        <v>Disclosed real return (excl actual asset revaluations)</v>
      </c>
      <c r="F524" s="122">
        <v>0</v>
      </c>
      <c r="G524" s="122">
        <v>0</v>
      </c>
      <c r="H524" s="122">
        <v>0</v>
      </c>
      <c r="I524" s="122">
        <v>0</v>
      </c>
      <c r="J524" s="122">
        <v>0</v>
      </c>
      <c r="K524" s="122">
        <v>0</v>
      </c>
      <c r="L524" s="122">
        <v>0</v>
      </c>
      <c r="M524" s="122">
        <v>0</v>
      </c>
      <c r="N524" s="122">
        <v>0</v>
      </c>
      <c r="O524" s="122">
        <v>0</v>
      </c>
      <c r="P524" s="122">
        <v>0</v>
      </c>
      <c r="Q524" s="122">
        <v>0</v>
      </c>
      <c r="R524" s="122">
        <v>0</v>
      </c>
      <c r="S524" s="122">
        <v>0</v>
      </c>
      <c r="T524" s="122">
        <v>0</v>
      </c>
      <c r="U524" s="122">
        <v>0</v>
      </c>
      <c r="V524" s="122">
        <v>0</v>
      </c>
      <c r="W524" s="122">
        <v>0</v>
      </c>
      <c r="X524" s="122">
        <v>0</v>
      </c>
      <c r="Y524" s="122">
        <v>0</v>
      </c>
      <c r="Z524" s="122">
        <v>0</v>
      </c>
      <c r="AA524" s="122">
        <v>0</v>
      </c>
      <c r="AB524" s="122">
        <v>0</v>
      </c>
      <c r="AC524" s="122">
        <v>0</v>
      </c>
      <c r="AD524" s="122">
        <v>0</v>
      </c>
      <c r="AE524" s="122">
        <v>0</v>
      </c>
      <c r="AF524" s="122">
        <v>0</v>
      </c>
      <c r="AG524" s="122">
        <v>0</v>
      </c>
      <c r="AH524" s="122">
        <v>0</v>
      </c>
      <c r="AI524" s="117">
        <f t="shared" si="85"/>
        <v>0</v>
      </c>
      <c r="AJ524" s="117">
        <f t="shared" si="86"/>
        <v>0</v>
      </c>
      <c r="AK524" s="117">
        <f t="shared" si="87"/>
        <v>0</v>
      </c>
      <c r="AL524" s="23"/>
      <c r="AM524" s="127" t="b">
        <f t="shared" si="88"/>
        <v>0</v>
      </c>
      <c r="AN524" s="127" t="str">
        <f t="shared" si="89"/>
        <v/>
      </c>
      <c r="AO524" s="129"/>
      <c r="AP524" s="129"/>
      <c r="AQ524" s="129"/>
      <c r="AR524" s="129"/>
      <c r="AS524" s="129"/>
      <c r="AT524" s="129"/>
      <c r="AU524" s="129"/>
      <c r="AV524" s="129"/>
      <c r="AW524" s="129">
        <v>1</v>
      </c>
      <c r="AX524" s="197"/>
      <c r="AY524" s="197"/>
      <c r="AZ524" s="197"/>
      <c r="BA524" s="197"/>
      <c r="BB524" s="129"/>
      <c r="BC524" s="129"/>
      <c r="BD524" s="129"/>
      <c r="BE524" s="129"/>
      <c r="BF524" s="129"/>
      <c r="BG524" s="129"/>
      <c r="BH524" s="129"/>
      <c r="BI524" s="129"/>
      <c r="BJ524" s="129"/>
      <c r="BK524" s="129"/>
      <c r="BL524" s="129"/>
      <c r="BM524" s="197"/>
    </row>
    <row r="525" spans="1:65" x14ac:dyDescent="0.25">
      <c r="A525" s="121" t="s">
        <v>77</v>
      </c>
      <c r="B525" s="121" t="s">
        <v>26</v>
      </c>
      <c r="C525" s="186" t="s">
        <v>222</v>
      </c>
      <c r="D525" s="161">
        <v>9</v>
      </c>
      <c r="E525" s="29" t="str">
        <f t="shared" si="84"/>
        <v>Disclosed real return (excl actual asset revaluations)</v>
      </c>
      <c r="F525" s="122">
        <v>0</v>
      </c>
      <c r="G525" s="122">
        <v>0</v>
      </c>
      <c r="H525" s="122">
        <v>0</v>
      </c>
      <c r="I525" s="122">
        <v>0</v>
      </c>
      <c r="J525" s="122">
        <v>0</v>
      </c>
      <c r="K525" s="122">
        <v>0</v>
      </c>
      <c r="L525" s="122">
        <v>0</v>
      </c>
      <c r="M525" s="122">
        <v>0</v>
      </c>
      <c r="N525" s="122">
        <v>0</v>
      </c>
      <c r="O525" s="122">
        <v>0</v>
      </c>
      <c r="P525" s="122">
        <v>0</v>
      </c>
      <c r="Q525" s="122">
        <v>0</v>
      </c>
      <c r="R525" s="122">
        <v>0</v>
      </c>
      <c r="S525" s="122">
        <v>0</v>
      </c>
      <c r="T525" s="122">
        <v>0</v>
      </c>
      <c r="U525" s="122">
        <v>0</v>
      </c>
      <c r="V525" s="122">
        <v>0</v>
      </c>
      <c r="W525" s="122">
        <v>0</v>
      </c>
      <c r="X525" s="122">
        <v>0</v>
      </c>
      <c r="Y525" s="122">
        <v>0</v>
      </c>
      <c r="Z525" s="122">
        <v>0</v>
      </c>
      <c r="AA525" s="122">
        <v>0</v>
      </c>
      <c r="AB525" s="122">
        <v>0</v>
      </c>
      <c r="AC525" s="122">
        <v>0</v>
      </c>
      <c r="AD525" s="122">
        <v>0</v>
      </c>
      <c r="AE525" s="122">
        <v>0</v>
      </c>
      <c r="AF525" s="122">
        <v>0</v>
      </c>
      <c r="AG525" s="122">
        <v>0</v>
      </c>
      <c r="AH525" s="122">
        <v>0</v>
      </c>
      <c r="AI525" s="117">
        <f t="shared" si="85"/>
        <v>0</v>
      </c>
      <c r="AJ525" s="117">
        <f t="shared" si="86"/>
        <v>0</v>
      </c>
      <c r="AK525" s="117">
        <f t="shared" si="87"/>
        <v>0</v>
      </c>
      <c r="AL525" s="23"/>
      <c r="AM525" s="127" t="b">
        <f t="shared" si="88"/>
        <v>0</v>
      </c>
      <c r="AN525" s="127" t="str">
        <f t="shared" si="89"/>
        <v/>
      </c>
      <c r="AO525" s="129"/>
      <c r="AP525" s="129"/>
      <c r="AQ525" s="129"/>
      <c r="AR525" s="129"/>
      <c r="AS525" s="129"/>
      <c r="AT525" s="129"/>
      <c r="AU525" s="129"/>
      <c r="AV525" s="129"/>
      <c r="AW525" s="129">
        <v>1</v>
      </c>
      <c r="AX525" s="197"/>
      <c r="AY525" s="197"/>
      <c r="AZ525" s="197"/>
      <c r="BA525" s="197"/>
      <c r="BB525" s="129"/>
      <c r="BC525" s="129"/>
      <c r="BD525" s="129"/>
      <c r="BE525" s="129"/>
      <c r="BF525" s="129"/>
      <c r="BG525" s="129"/>
      <c r="BH525" s="129"/>
      <c r="BI525" s="129"/>
      <c r="BJ525" s="129"/>
      <c r="BK525" s="129"/>
      <c r="BL525" s="129"/>
      <c r="BM525" s="197"/>
    </row>
    <row r="526" spans="1:65" x14ac:dyDescent="0.25">
      <c r="A526" s="121" t="s">
        <v>77</v>
      </c>
      <c r="B526" s="121" t="s">
        <v>27</v>
      </c>
      <c r="C526" s="186" t="s">
        <v>222</v>
      </c>
      <c r="D526" s="161">
        <v>9</v>
      </c>
      <c r="E526" s="29" t="str">
        <f t="shared" si="84"/>
        <v>Disclosed real return (excl actual asset revaluations)</v>
      </c>
      <c r="F526" s="122">
        <v>0</v>
      </c>
      <c r="G526" s="122">
        <v>0</v>
      </c>
      <c r="H526" s="122">
        <v>0</v>
      </c>
      <c r="I526" s="122">
        <v>0</v>
      </c>
      <c r="J526" s="122">
        <v>0</v>
      </c>
      <c r="K526" s="122">
        <v>0</v>
      </c>
      <c r="L526" s="122">
        <v>0</v>
      </c>
      <c r="M526" s="122">
        <v>0</v>
      </c>
      <c r="N526" s="122">
        <v>0</v>
      </c>
      <c r="O526" s="122">
        <v>0</v>
      </c>
      <c r="P526" s="122">
        <v>0</v>
      </c>
      <c r="Q526" s="122">
        <v>0</v>
      </c>
      <c r="R526" s="122">
        <v>0</v>
      </c>
      <c r="S526" s="122">
        <v>0</v>
      </c>
      <c r="T526" s="122">
        <v>0</v>
      </c>
      <c r="U526" s="122">
        <v>0</v>
      </c>
      <c r="V526" s="122">
        <v>0</v>
      </c>
      <c r="W526" s="122">
        <v>0</v>
      </c>
      <c r="X526" s="122">
        <v>0</v>
      </c>
      <c r="Y526" s="122">
        <v>0</v>
      </c>
      <c r="Z526" s="122">
        <v>0</v>
      </c>
      <c r="AA526" s="122">
        <v>0</v>
      </c>
      <c r="AB526" s="122">
        <v>0</v>
      </c>
      <c r="AC526" s="122">
        <v>0</v>
      </c>
      <c r="AD526" s="122">
        <v>0</v>
      </c>
      <c r="AE526" s="122">
        <v>0</v>
      </c>
      <c r="AF526" s="122">
        <v>0</v>
      </c>
      <c r="AG526" s="122">
        <v>0</v>
      </c>
      <c r="AH526" s="122">
        <v>0</v>
      </c>
      <c r="AI526" s="117">
        <f t="shared" si="85"/>
        <v>0</v>
      </c>
      <c r="AJ526" s="117">
        <f t="shared" si="86"/>
        <v>0</v>
      </c>
      <c r="AK526" s="117">
        <f t="shared" si="87"/>
        <v>0</v>
      </c>
      <c r="AL526" s="23"/>
      <c r="AM526" s="127" t="b">
        <f t="shared" si="88"/>
        <v>0</v>
      </c>
      <c r="AN526" s="127" t="str">
        <f t="shared" si="89"/>
        <v/>
      </c>
      <c r="AO526" s="129"/>
      <c r="AP526" s="129"/>
      <c r="AQ526" s="129"/>
      <c r="AR526" s="129"/>
      <c r="AS526" s="129"/>
      <c r="AT526" s="129"/>
      <c r="AU526" s="129"/>
      <c r="AV526" s="129"/>
      <c r="AW526" s="129">
        <v>1</v>
      </c>
      <c r="AX526" s="197"/>
      <c r="AY526" s="197"/>
      <c r="AZ526" s="197"/>
      <c r="BA526" s="197"/>
      <c r="BB526" s="129"/>
      <c r="BC526" s="129"/>
      <c r="BD526" s="129"/>
      <c r="BE526" s="129"/>
      <c r="BF526" s="129"/>
      <c r="BG526" s="129"/>
      <c r="BH526" s="129"/>
      <c r="BI526" s="129"/>
      <c r="BJ526" s="129"/>
      <c r="BK526" s="129"/>
      <c r="BL526" s="129"/>
      <c r="BM526" s="197"/>
    </row>
    <row r="527" spans="1:65" x14ac:dyDescent="0.25">
      <c r="A527" s="121"/>
      <c r="B527" s="121"/>
      <c r="C527" s="172"/>
      <c r="D527" s="49"/>
      <c r="E527" s="49"/>
      <c r="F527" s="54"/>
      <c r="G527" s="54"/>
      <c r="H527" s="54"/>
      <c r="I527" s="54"/>
      <c r="J527" s="54"/>
      <c r="K527" s="54"/>
      <c r="L527" s="54"/>
      <c r="M527" s="54"/>
      <c r="N527" s="54"/>
      <c r="O527" s="54"/>
      <c r="P527" s="54"/>
      <c r="Q527" s="54"/>
      <c r="R527" s="54"/>
      <c r="S527" s="54"/>
      <c r="T527" s="54"/>
      <c r="U527" s="54"/>
      <c r="V527" s="54"/>
      <c r="W527" s="54"/>
      <c r="X527" s="54"/>
      <c r="Y527" s="54"/>
      <c r="Z527" s="54"/>
      <c r="AA527" s="54"/>
      <c r="AB527" s="54"/>
      <c r="AC527" s="54"/>
      <c r="AD527" s="54"/>
      <c r="AE527" s="54"/>
      <c r="AF527" s="54"/>
      <c r="AG527" s="54"/>
      <c r="AH527" s="54"/>
      <c r="AI527" s="54"/>
      <c r="AJ527" s="54"/>
      <c r="AK527" s="54"/>
      <c r="AL527" s="23"/>
      <c r="AM527" s="127"/>
      <c r="AN527" s="127"/>
      <c r="AO527" s="129"/>
      <c r="AP527" s="129"/>
      <c r="AQ527" s="129"/>
      <c r="AR527" s="129"/>
      <c r="AS527" s="129"/>
      <c r="AT527" s="129"/>
      <c r="AU527" s="129"/>
      <c r="AV527" s="129"/>
      <c r="AW527" s="129"/>
      <c r="AX527" s="197"/>
      <c r="AY527" s="197"/>
      <c r="AZ527" s="197"/>
      <c r="BA527" s="197"/>
      <c r="BB527" s="129"/>
      <c r="BC527" s="129"/>
      <c r="BD527" s="129"/>
      <c r="BE527" s="129"/>
      <c r="BF527" s="129"/>
      <c r="BG527" s="129"/>
      <c r="BH527" s="129"/>
      <c r="BI527" s="129"/>
      <c r="BJ527" s="129"/>
      <c r="BK527" s="129"/>
      <c r="BL527" s="129"/>
      <c r="BM527" s="197"/>
    </row>
    <row r="528" spans="1:65" x14ac:dyDescent="0.25">
      <c r="A528" s="121"/>
      <c r="B528" s="121"/>
      <c r="C528" s="172"/>
      <c r="D528" s="46"/>
      <c r="E528" s="46"/>
      <c r="F528" s="54"/>
      <c r="G528" s="54"/>
      <c r="H528" s="54"/>
      <c r="I528" s="54"/>
      <c r="J528" s="54"/>
      <c r="K528" s="54"/>
      <c r="L528" s="54"/>
      <c r="M528" s="54"/>
      <c r="N528" s="54"/>
      <c r="O528" s="54"/>
      <c r="P528" s="54"/>
      <c r="Q528" s="54"/>
      <c r="R528" s="54"/>
      <c r="S528" s="54"/>
      <c r="T528" s="54"/>
      <c r="U528" s="54"/>
      <c r="V528" s="54"/>
      <c r="W528" s="55"/>
      <c r="X528" s="55"/>
      <c r="Y528" s="55"/>
      <c r="Z528" s="55"/>
      <c r="AA528" s="55"/>
      <c r="AB528" s="55"/>
      <c r="AC528" s="55"/>
      <c r="AD528" s="55"/>
      <c r="AE528" s="55"/>
      <c r="AF528" s="55"/>
      <c r="AG528" s="55"/>
      <c r="AH528" s="55"/>
      <c r="AI528" s="54"/>
      <c r="AJ528" s="54"/>
      <c r="AK528" s="54"/>
      <c r="AL528" s="23"/>
      <c r="AM528" s="127"/>
      <c r="AN528" s="127"/>
      <c r="AO528" s="129"/>
      <c r="AP528" s="129"/>
      <c r="AQ528" s="129"/>
      <c r="AR528" s="129"/>
      <c r="AS528" s="129"/>
      <c r="AT528" s="129"/>
      <c r="AU528" s="129"/>
      <c r="AV528" s="129"/>
      <c r="AW528" s="129"/>
      <c r="AX528" s="197"/>
      <c r="AY528" s="197"/>
      <c r="AZ528" s="197"/>
      <c r="BA528" s="197"/>
      <c r="BB528" s="129"/>
      <c r="BC528" s="129"/>
      <c r="BD528" s="129"/>
      <c r="BE528" s="129"/>
      <c r="BF528" s="129"/>
      <c r="BG528" s="129"/>
      <c r="BH528" s="129"/>
      <c r="BI528" s="129"/>
      <c r="BJ528" s="129"/>
      <c r="BK528" s="129"/>
      <c r="BL528" s="129"/>
      <c r="BM528" s="197"/>
    </row>
    <row r="529" spans="1:65" x14ac:dyDescent="0.25">
      <c r="A529" s="121" t="s">
        <v>77</v>
      </c>
      <c r="B529" s="121" t="s">
        <v>22</v>
      </c>
      <c r="C529" s="172" t="s">
        <v>211</v>
      </c>
      <c r="D529" s="161">
        <v>10</v>
      </c>
      <c r="E529" s="29" t="str">
        <f t="shared" ref="E529:E534" si="90">INDEX(ra_ScName,MATCH(D529,ra_ScNumber,0))</f>
        <v>Disclosed nominal return (incl actual asset revaluations)</v>
      </c>
      <c r="F529" s="122">
        <v>2604.1220845765201</v>
      </c>
      <c r="G529" s="122">
        <v>5845</v>
      </c>
      <c r="H529" s="122">
        <v>899.98713161868704</v>
      </c>
      <c r="I529" s="122">
        <v>2339.017212720712</v>
      </c>
      <c r="J529" s="122">
        <v>3232</v>
      </c>
      <c r="K529" s="122">
        <v>1211.5999999999999</v>
      </c>
      <c r="L529" s="122">
        <v>2029.9833027403049</v>
      </c>
      <c r="M529" s="122">
        <v>542.6398869644479</v>
      </c>
      <c r="N529" s="122">
        <v>3072</v>
      </c>
      <c r="O529" s="122">
        <v>2660</v>
      </c>
      <c r="P529" s="122">
        <v>25872</v>
      </c>
      <c r="Q529" s="122">
        <v>3424</v>
      </c>
      <c r="R529" s="122">
        <v>2813</v>
      </c>
      <c r="S529" s="122">
        <v>8725.82815999999</v>
      </c>
      <c r="T529" s="122">
        <v>46435</v>
      </c>
      <c r="U529" s="122">
        <v>10810.223521153081</v>
      </c>
      <c r="V529" s="122">
        <v>15854</v>
      </c>
      <c r="W529" s="122">
        <v>597</v>
      </c>
      <c r="X529" s="122">
        <v>3408.54015863431</v>
      </c>
      <c r="Y529" s="122">
        <v>2758.145116279085</v>
      </c>
      <c r="Z529" s="122">
        <v>3618</v>
      </c>
      <c r="AA529" s="122">
        <v>3684</v>
      </c>
      <c r="AB529" s="122">
        <v>1329</v>
      </c>
      <c r="AC529" s="122">
        <v>4271.7586089527167</v>
      </c>
      <c r="AD529" s="122">
        <v>554</v>
      </c>
      <c r="AE529" s="122">
        <v>5626</v>
      </c>
      <c r="AF529" s="122">
        <v>1631.6348941566921</v>
      </c>
      <c r="AG529" s="122">
        <v>6934.7678219762238</v>
      </c>
      <c r="AH529" s="122">
        <v>2154</v>
      </c>
      <c r="AI529" s="117">
        <f t="shared" ref="AI529:AI534" si="91">SUM(F529:AH529)</f>
        <v>174937.24789977274</v>
      </c>
      <c r="AJ529" s="117">
        <f t="shared" ref="AJ529:AJ534" si="92">SUM(F529:U529)</f>
        <v>122516.40129977374</v>
      </c>
      <c r="AK529" s="117">
        <f t="shared" ref="AK529:AK534" si="93">SUM(W529:AH529)</f>
        <v>36566.846599999029</v>
      </c>
      <c r="AL529" s="23"/>
      <c r="AM529" s="127" t="b">
        <f t="shared" ref="AM529:AM534" si="94">IF(INDEX($AO529:$BM529,0,$F$14)=1,TRUE,FALSE)</f>
        <v>1</v>
      </c>
      <c r="AN529" s="127" t="str">
        <f t="shared" ref="AN529:AN534" si="95">IF(AM529,A529&amp;", "&amp;B529,"")</f>
        <v>Total revaluations, 2009/10</v>
      </c>
      <c r="AO529" s="129"/>
      <c r="AP529" s="129"/>
      <c r="AQ529" s="129"/>
      <c r="AR529" s="129"/>
      <c r="AS529" s="129"/>
      <c r="AT529" s="129"/>
      <c r="AU529" s="129"/>
      <c r="AV529" s="129"/>
      <c r="AW529" s="129"/>
      <c r="AX529" s="197">
        <v>1</v>
      </c>
      <c r="AY529" s="197">
        <v>1</v>
      </c>
      <c r="AZ529" s="197">
        <v>1</v>
      </c>
      <c r="BA529" s="197"/>
      <c r="BB529" s="129"/>
      <c r="BC529" s="129"/>
      <c r="BD529" s="129"/>
      <c r="BE529" s="129"/>
      <c r="BF529" s="129"/>
      <c r="BG529" s="129"/>
      <c r="BH529" s="129"/>
      <c r="BI529" s="129"/>
      <c r="BJ529" s="129"/>
      <c r="BK529" s="129"/>
      <c r="BL529" s="129"/>
      <c r="BM529" s="197">
        <v>1</v>
      </c>
    </row>
    <row r="530" spans="1:65" x14ac:dyDescent="0.25">
      <c r="A530" s="121" t="s">
        <v>77</v>
      </c>
      <c r="B530" s="121" t="s">
        <v>23</v>
      </c>
      <c r="C530" s="172" t="s">
        <v>211</v>
      </c>
      <c r="D530" s="161">
        <v>10</v>
      </c>
      <c r="E530" s="29" t="str">
        <f t="shared" si="90"/>
        <v>Disclosed nominal return (incl actual asset revaluations)</v>
      </c>
      <c r="F530" s="122">
        <v>3043.9823864536411</v>
      </c>
      <c r="G530" s="122">
        <v>7125</v>
      </c>
      <c r="H530" s="122">
        <v>1098.0974840941999</v>
      </c>
      <c r="I530" s="122">
        <v>2822.5653866479788</v>
      </c>
      <c r="J530" s="122">
        <v>4070</v>
      </c>
      <c r="K530" s="122">
        <v>1473</v>
      </c>
      <c r="L530" s="122">
        <v>2384.3176559408321</v>
      </c>
      <c r="M530" s="122">
        <v>669.8598632243436</v>
      </c>
      <c r="N530" s="122">
        <v>3648</v>
      </c>
      <c r="O530" s="122">
        <v>3195</v>
      </c>
      <c r="P530" s="122">
        <v>31289</v>
      </c>
      <c r="Q530" s="122">
        <v>4080</v>
      </c>
      <c r="R530" s="122">
        <v>3425</v>
      </c>
      <c r="S530" s="122">
        <v>10966.379689999971</v>
      </c>
      <c r="T530" s="122">
        <v>56914</v>
      </c>
      <c r="U530" s="122">
        <v>13311.39119199483</v>
      </c>
      <c r="V530" s="122">
        <v>19213</v>
      </c>
      <c r="W530" s="122">
        <v>691</v>
      </c>
      <c r="X530" s="122">
        <v>4257.755537237982</v>
      </c>
      <c r="Y530" s="122">
        <v>3338</v>
      </c>
      <c r="Z530" s="122">
        <v>4504</v>
      </c>
      <c r="AA530" s="122">
        <v>4513</v>
      </c>
      <c r="AB530" s="122">
        <v>1619</v>
      </c>
      <c r="AC530" s="122">
        <v>5115.5583213875343</v>
      </c>
      <c r="AD530" s="122">
        <v>682</v>
      </c>
      <c r="AE530" s="122">
        <v>7065</v>
      </c>
      <c r="AF530" s="122">
        <v>1965.9893719142999</v>
      </c>
      <c r="AG530" s="122">
        <v>8510.7625125055038</v>
      </c>
      <c r="AH530" s="122">
        <v>2637</v>
      </c>
      <c r="AI530" s="117">
        <f t="shared" si="91"/>
        <v>213627.65940140109</v>
      </c>
      <c r="AJ530" s="117">
        <f t="shared" si="92"/>
        <v>149515.59365835579</v>
      </c>
      <c r="AK530" s="117">
        <f t="shared" si="93"/>
        <v>44899.065743045321</v>
      </c>
      <c r="AL530" s="23"/>
      <c r="AM530" s="127" t="b">
        <f t="shared" si="94"/>
        <v>1</v>
      </c>
      <c r="AN530" s="127" t="str">
        <f t="shared" si="95"/>
        <v>Total revaluations, 2010/11</v>
      </c>
      <c r="AO530" s="129"/>
      <c r="AP530" s="129"/>
      <c r="AQ530" s="129"/>
      <c r="AR530" s="129"/>
      <c r="AS530" s="129"/>
      <c r="AT530" s="129"/>
      <c r="AU530" s="129"/>
      <c r="AV530" s="129"/>
      <c r="AW530" s="129"/>
      <c r="AX530" s="197">
        <v>1</v>
      </c>
      <c r="AY530" s="197">
        <v>1</v>
      </c>
      <c r="AZ530" s="197">
        <v>1</v>
      </c>
      <c r="BA530" s="197"/>
      <c r="BB530" s="129"/>
      <c r="BC530" s="129"/>
      <c r="BD530" s="129"/>
      <c r="BE530" s="129"/>
      <c r="BF530" s="129"/>
      <c r="BG530" s="129"/>
      <c r="BH530" s="129"/>
      <c r="BI530" s="129"/>
      <c r="BJ530" s="129"/>
      <c r="BK530" s="129"/>
      <c r="BL530" s="129"/>
      <c r="BM530" s="197">
        <v>1</v>
      </c>
    </row>
    <row r="531" spans="1:65" x14ac:dyDescent="0.25">
      <c r="A531" s="121" t="s">
        <v>77</v>
      </c>
      <c r="B531" s="121" t="s">
        <v>24</v>
      </c>
      <c r="C531" s="172" t="s">
        <v>211</v>
      </c>
      <c r="D531" s="161">
        <v>10</v>
      </c>
      <c r="E531" s="29" t="str">
        <f t="shared" si="90"/>
        <v>Disclosed nominal return (incl actual asset revaluations)</v>
      </c>
      <c r="F531" s="122">
        <v>2051.9509496390342</v>
      </c>
      <c r="G531" s="122">
        <v>4832</v>
      </c>
      <c r="H531" s="122">
        <v>812</v>
      </c>
      <c r="I531" s="122">
        <v>1886.9076149053069</v>
      </c>
      <c r="J531" s="122">
        <v>2849</v>
      </c>
      <c r="K531" s="122">
        <v>974</v>
      </c>
      <c r="L531" s="122">
        <v>1578.1442047425739</v>
      </c>
      <c r="M531" s="122">
        <v>461.79488089301981</v>
      </c>
      <c r="N531" s="122">
        <v>2414</v>
      </c>
      <c r="O531" s="122">
        <v>2140.5</v>
      </c>
      <c r="P531" s="122">
        <v>20912</v>
      </c>
      <c r="Q531" s="122">
        <v>2679</v>
      </c>
      <c r="R531" s="122">
        <v>2356</v>
      </c>
      <c r="S531" s="122">
        <v>7502.0235699999967</v>
      </c>
      <c r="T531" s="122">
        <v>38147</v>
      </c>
      <c r="U531" s="122">
        <v>8768.884999347878</v>
      </c>
      <c r="V531" s="122">
        <v>12805</v>
      </c>
      <c r="W531" s="122">
        <v>440</v>
      </c>
      <c r="X531" s="122">
        <v>2933.9452729690461</v>
      </c>
      <c r="Y531" s="122">
        <v>2162</v>
      </c>
      <c r="Z531" s="122">
        <v>3022</v>
      </c>
      <c r="AA531" s="122">
        <v>3038</v>
      </c>
      <c r="AB531" s="122">
        <v>1125</v>
      </c>
      <c r="AC531" s="122">
        <v>3510.3310403793512</v>
      </c>
      <c r="AD531" s="122">
        <v>483</v>
      </c>
      <c r="AE531" s="122">
        <v>4656</v>
      </c>
      <c r="AF531" s="122">
        <v>1344.651920585814</v>
      </c>
      <c r="AG531" s="122">
        <v>6278.5840668918854</v>
      </c>
      <c r="AH531" s="122">
        <v>1753</v>
      </c>
      <c r="AI531" s="117">
        <f t="shared" si="91"/>
        <v>143916.71852035393</v>
      </c>
      <c r="AJ531" s="117">
        <f t="shared" si="92"/>
        <v>100365.20621952781</v>
      </c>
      <c r="AK531" s="117">
        <f t="shared" si="93"/>
        <v>30746.512300826096</v>
      </c>
      <c r="AL531" s="23"/>
      <c r="AM531" s="127" t="b">
        <f t="shared" si="94"/>
        <v>1</v>
      </c>
      <c r="AN531" s="127" t="str">
        <f t="shared" si="95"/>
        <v>Total revaluations, 2011/12</v>
      </c>
      <c r="AO531" s="129"/>
      <c r="AP531" s="129"/>
      <c r="AQ531" s="129"/>
      <c r="AR531" s="129"/>
      <c r="AS531" s="129"/>
      <c r="AT531" s="129"/>
      <c r="AU531" s="129"/>
      <c r="AV531" s="129"/>
      <c r="AW531" s="129"/>
      <c r="AX531" s="197">
        <v>1</v>
      </c>
      <c r="AY531" s="197">
        <v>1</v>
      </c>
      <c r="AZ531" s="197">
        <v>1</v>
      </c>
      <c r="BA531" s="197"/>
      <c r="BB531" s="129"/>
      <c r="BC531" s="129"/>
      <c r="BD531" s="129"/>
      <c r="BE531" s="129"/>
      <c r="BF531" s="129"/>
      <c r="BG531" s="129"/>
      <c r="BH531" s="129"/>
      <c r="BI531" s="129"/>
      <c r="BJ531" s="129"/>
      <c r="BK531" s="129"/>
      <c r="BL531" s="129"/>
      <c r="BM531" s="197">
        <v>1</v>
      </c>
    </row>
    <row r="532" spans="1:65" x14ac:dyDescent="0.25">
      <c r="A532" s="121" t="s">
        <v>77</v>
      </c>
      <c r="B532" s="121" t="s">
        <v>25</v>
      </c>
      <c r="C532" s="172" t="s">
        <v>211</v>
      </c>
      <c r="D532" s="161">
        <v>10</v>
      </c>
      <c r="E532" s="29" t="str">
        <f t="shared" si="90"/>
        <v>Disclosed nominal return (incl actual asset revaluations)</v>
      </c>
      <c r="F532" s="122">
        <v>1126.0097742844539</v>
      </c>
      <c r="G532" s="122">
        <v>2696</v>
      </c>
      <c r="H532" s="122">
        <v>454.70559928070679</v>
      </c>
      <c r="I532" s="122">
        <v>1049.1409990969389</v>
      </c>
      <c r="J532" s="122">
        <v>1621</v>
      </c>
      <c r="K532" s="122">
        <v>544.65841125217389</v>
      </c>
      <c r="L532" s="122">
        <v>870.16336082782709</v>
      </c>
      <c r="M532" s="122">
        <v>254.7846875522483</v>
      </c>
      <c r="N532" s="122">
        <v>1313.2646048109921</v>
      </c>
      <c r="O532" s="122">
        <v>1188</v>
      </c>
      <c r="P532" s="122">
        <v>11627.4</v>
      </c>
      <c r="Q532" s="122">
        <v>1484</v>
      </c>
      <c r="R532" s="122">
        <v>1374</v>
      </c>
      <c r="S532" s="122">
        <v>4187.8657237969428</v>
      </c>
      <c r="T532" s="122">
        <v>21339</v>
      </c>
      <c r="U532" s="122">
        <v>4741.6459620699916</v>
      </c>
      <c r="V532" s="122">
        <v>7247</v>
      </c>
      <c r="W532" s="122">
        <v>236</v>
      </c>
      <c r="X532" s="122">
        <v>1679</v>
      </c>
      <c r="Y532" s="122">
        <v>1177</v>
      </c>
      <c r="Z532" s="122">
        <v>1693</v>
      </c>
      <c r="AA532" s="122">
        <v>1709</v>
      </c>
      <c r="AB532" s="122">
        <v>620</v>
      </c>
      <c r="AC532" s="122">
        <v>1963.8671965060171</v>
      </c>
      <c r="AD532" s="122">
        <v>272</v>
      </c>
      <c r="AE532" s="122">
        <v>2564</v>
      </c>
      <c r="AF532" s="122">
        <v>754.77846675055423</v>
      </c>
      <c r="AG532" s="122">
        <v>3610.5979892283708</v>
      </c>
      <c r="AH532" s="122">
        <v>975</v>
      </c>
      <c r="AI532" s="117">
        <f t="shared" si="91"/>
        <v>80372.882775457212</v>
      </c>
      <c r="AJ532" s="117">
        <f t="shared" si="92"/>
        <v>55871.639122972279</v>
      </c>
      <c r="AK532" s="117">
        <f t="shared" si="93"/>
        <v>17254.24365248494</v>
      </c>
      <c r="AL532" s="23"/>
      <c r="AM532" s="127" t="b">
        <f t="shared" si="94"/>
        <v>1</v>
      </c>
      <c r="AN532" s="127" t="str">
        <f t="shared" si="95"/>
        <v>Total revaluations, 2012/13</v>
      </c>
      <c r="AO532" s="129"/>
      <c r="AP532" s="129"/>
      <c r="AQ532" s="129"/>
      <c r="AR532" s="129"/>
      <c r="AS532" s="129"/>
      <c r="AT532" s="129"/>
      <c r="AU532" s="129"/>
      <c r="AV532" s="129"/>
      <c r="AW532" s="129"/>
      <c r="AX532" s="197">
        <v>1</v>
      </c>
      <c r="AY532" s="197">
        <v>1</v>
      </c>
      <c r="AZ532" s="197">
        <v>1</v>
      </c>
      <c r="BA532" s="197"/>
      <c r="BB532" s="129"/>
      <c r="BC532" s="129"/>
      <c r="BD532" s="129"/>
      <c r="BE532" s="129"/>
      <c r="BF532" s="129"/>
      <c r="BG532" s="129"/>
      <c r="BH532" s="129"/>
      <c r="BI532" s="129"/>
      <c r="BJ532" s="129"/>
      <c r="BK532" s="129"/>
      <c r="BL532" s="129"/>
      <c r="BM532" s="197">
        <v>1</v>
      </c>
    </row>
    <row r="533" spans="1:65" x14ac:dyDescent="0.25">
      <c r="A533" s="121" t="s">
        <v>77</v>
      </c>
      <c r="B533" s="121" t="s">
        <v>26</v>
      </c>
      <c r="C533" s="172" t="s">
        <v>211</v>
      </c>
      <c r="D533" s="161">
        <v>10</v>
      </c>
      <c r="E533" s="29" t="str">
        <f t="shared" si="90"/>
        <v>Disclosed nominal return (incl actual asset revaluations)</v>
      </c>
      <c r="F533" s="122">
        <v>2346.8188939219372</v>
      </c>
      <c r="G533" s="122">
        <v>4879</v>
      </c>
      <c r="H533" s="122">
        <v>834.45124129541352</v>
      </c>
      <c r="I533" s="122">
        <v>1881.6653367653189</v>
      </c>
      <c r="J533" s="122">
        <v>3158.5814587303839</v>
      </c>
      <c r="K533" s="122">
        <v>993.16868092208824</v>
      </c>
      <c r="L533" s="122">
        <v>1604.1290485162669</v>
      </c>
      <c r="M533" s="122">
        <v>465.31369653782752</v>
      </c>
      <c r="N533" s="122">
        <v>2306.698466780224</v>
      </c>
      <c r="O533" s="122">
        <v>2194.580676905151</v>
      </c>
      <c r="P533" s="122">
        <v>21062.764088138851</v>
      </c>
      <c r="Q533" s="122">
        <v>2654.9711627122479</v>
      </c>
      <c r="R533" s="122">
        <v>2816.9203305926849</v>
      </c>
      <c r="S533" s="122">
        <v>7424.5510883370316</v>
      </c>
      <c r="T533" s="122">
        <v>38684</v>
      </c>
      <c r="U533" s="122">
        <v>8517.8468143713471</v>
      </c>
      <c r="V533" s="122">
        <v>12839.5042589437</v>
      </c>
      <c r="W533" s="122">
        <v>419.58091993185423</v>
      </c>
      <c r="X533" s="122">
        <v>3069.6788015793331</v>
      </c>
      <c r="Y533" s="122">
        <v>2185.4879893637199</v>
      </c>
      <c r="Z533" s="122">
        <v>3104.0000340715301</v>
      </c>
      <c r="AA533" s="122">
        <v>3187.839863713778</v>
      </c>
      <c r="AB533" s="122">
        <v>1127.683134582616</v>
      </c>
      <c r="AC533" s="122">
        <v>3562.9229704685208</v>
      </c>
      <c r="AD533" s="122">
        <v>497.97444633730521</v>
      </c>
      <c r="AE533" s="122">
        <v>4670.7411618398337</v>
      </c>
      <c r="AF533" s="122">
        <v>1373.662324244224</v>
      </c>
      <c r="AG533" s="122">
        <v>6999.1445945993919</v>
      </c>
      <c r="AH533" s="122">
        <v>1752.5468483815901</v>
      </c>
      <c r="AI533" s="117">
        <f t="shared" si="91"/>
        <v>146616.22833258417</v>
      </c>
      <c r="AJ533" s="117">
        <f t="shared" si="92"/>
        <v>101825.46098452678</v>
      </c>
      <c r="AK533" s="117">
        <f t="shared" si="93"/>
        <v>31951.263089113698</v>
      </c>
      <c r="AL533" s="23"/>
      <c r="AM533" s="127" t="b">
        <f t="shared" si="94"/>
        <v>1</v>
      </c>
      <c r="AN533" s="127" t="str">
        <f t="shared" si="95"/>
        <v>Total revaluations, 2013/14</v>
      </c>
      <c r="AO533" s="129"/>
      <c r="AP533" s="129"/>
      <c r="AQ533" s="129"/>
      <c r="AR533" s="129"/>
      <c r="AS533" s="129"/>
      <c r="AT533" s="129"/>
      <c r="AU533" s="129"/>
      <c r="AV533" s="129"/>
      <c r="AW533" s="129"/>
      <c r="AX533" s="197">
        <v>1</v>
      </c>
      <c r="AY533" s="197">
        <v>1</v>
      </c>
      <c r="AZ533" s="197">
        <v>1</v>
      </c>
      <c r="BA533" s="197"/>
      <c r="BB533" s="129"/>
      <c r="BC533" s="129"/>
      <c r="BD533" s="129"/>
      <c r="BE533" s="129"/>
      <c r="BF533" s="129"/>
      <c r="BG533" s="129"/>
      <c r="BH533" s="129"/>
      <c r="BI533" s="129"/>
      <c r="BJ533" s="129"/>
      <c r="BK533" s="129"/>
      <c r="BL533" s="129"/>
      <c r="BM533" s="197">
        <v>1</v>
      </c>
    </row>
    <row r="534" spans="1:65" x14ac:dyDescent="0.25">
      <c r="A534" s="121" t="s">
        <v>77</v>
      </c>
      <c r="B534" s="121" t="s">
        <v>27</v>
      </c>
      <c r="C534" s="172" t="s">
        <v>211</v>
      </c>
      <c r="D534" s="161">
        <v>10</v>
      </c>
      <c r="E534" s="29" t="str">
        <f t="shared" si="90"/>
        <v>Disclosed nominal return (incl actual asset revaluations)</v>
      </c>
      <c r="F534" s="122">
        <v>131</v>
      </c>
      <c r="G534" s="122">
        <v>272.62332214761904</v>
      </c>
      <c r="H534" s="122">
        <v>46.16946308724291</v>
      </c>
      <c r="I534" s="122">
        <v>105.06425892716301</v>
      </c>
      <c r="J534" s="122">
        <v>184.22227330634027</v>
      </c>
      <c r="K534" s="122">
        <v>53.943975671134616</v>
      </c>
      <c r="L534" s="122">
        <v>92.649049522725633</v>
      </c>
      <c r="M534" s="122">
        <v>35.404809470506954</v>
      </c>
      <c r="N534" s="122">
        <v>130.13087248320622</v>
      </c>
      <c r="O534" s="122">
        <v>122.80423491719655</v>
      </c>
      <c r="P534" s="122">
        <v>1197.8616840411346</v>
      </c>
      <c r="Q534" s="122">
        <v>147.03598336923434</v>
      </c>
      <c r="R534" s="122">
        <v>167.20075503353746</v>
      </c>
      <c r="S534" s="122">
        <v>434.25917175335871</v>
      </c>
      <c r="T534" s="122">
        <v>2188.3741610735688</v>
      </c>
      <c r="U534" s="122">
        <v>476.38530694071181</v>
      </c>
      <c r="V534" s="122">
        <v>743.75</v>
      </c>
      <c r="W534" s="122">
        <v>23.563669739930123</v>
      </c>
      <c r="X534" s="122">
        <v>176</v>
      </c>
      <c r="Y534" s="122">
        <v>120.28879187552516</v>
      </c>
      <c r="Z534" s="122">
        <v>184.63255033554881</v>
      </c>
      <c r="AA534" s="122">
        <v>180.39038327490653</v>
      </c>
      <c r="AB534" s="122">
        <v>62.796979865764449</v>
      </c>
      <c r="AC534" s="122">
        <v>201.87274155632372</v>
      </c>
      <c r="AD534" s="122">
        <v>29.054530201338874</v>
      </c>
      <c r="AE534" s="122">
        <v>263.83509228184823</v>
      </c>
      <c r="AF534" s="122">
        <v>76.449458427294303</v>
      </c>
      <c r="AG534" s="122">
        <v>398.16118193271467</v>
      </c>
      <c r="AH534" s="122">
        <v>96.076342281867937</v>
      </c>
      <c r="AI534" s="117">
        <f t="shared" si="91"/>
        <v>8342.0010435177428</v>
      </c>
      <c r="AJ534" s="117">
        <f t="shared" si="92"/>
        <v>5785.129321744681</v>
      </c>
      <c r="AK534" s="117">
        <f t="shared" si="93"/>
        <v>1813.1217217730627</v>
      </c>
      <c r="AL534" s="23"/>
      <c r="AM534" s="127" t="b">
        <f t="shared" si="94"/>
        <v>1</v>
      </c>
      <c r="AN534" s="127" t="str">
        <f t="shared" si="95"/>
        <v>Total revaluations, 2014/15</v>
      </c>
      <c r="AO534" s="129"/>
      <c r="AP534" s="129"/>
      <c r="AQ534" s="129"/>
      <c r="AR534" s="129"/>
      <c r="AS534" s="129"/>
      <c r="AT534" s="129"/>
      <c r="AU534" s="129"/>
      <c r="AV534" s="129"/>
      <c r="AW534" s="129"/>
      <c r="AX534" s="197">
        <v>1</v>
      </c>
      <c r="AY534" s="197">
        <v>1</v>
      </c>
      <c r="AZ534" s="197">
        <v>1</v>
      </c>
      <c r="BA534" s="197"/>
      <c r="BB534" s="129"/>
      <c r="BC534" s="129"/>
      <c r="BD534" s="129"/>
      <c r="BE534" s="129"/>
      <c r="BF534" s="129"/>
      <c r="BG534" s="129"/>
      <c r="BH534" s="129"/>
      <c r="BI534" s="129"/>
      <c r="BJ534" s="129"/>
      <c r="BK534" s="129"/>
      <c r="BL534" s="129"/>
      <c r="BM534" s="197">
        <v>1</v>
      </c>
    </row>
    <row r="535" spans="1:65" x14ac:dyDescent="0.25">
      <c r="A535" s="137"/>
      <c r="B535" s="137"/>
      <c r="C535" s="172"/>
      <c r="D535" s="49"/>
      <c r="E535" s="49"/>
      <c r="F535" s="54"/>
      <c r="G535" s="54"/>
      <c r="H535" s="54"/>
      <c r="I535" s="54"/>
      <c r="J535" s="54"/>
      <c r="K535" s="54"/>
      <c r="L535" s="54"/>
      <c r="M535" s="54"/>
      <c r="N535" s="54"/>
      <c r="O535" s="54"/>
      <c r="P535" s="54"/>
      <c r="Q535" s="54"/>
      <c r="R535" s="54"/>
      <c r="S535" s="54"/>
      <c r="T535" s="54"/>
      <c r="U535" s="54"/>
      <c r="V535" s="54"/>
      <c r="W535" s="54"/>
      <c r="X535" s="54"/>
      <c r="Y535" s="54"/>
      <c r="Z535" s="54"/>
      <c r="AA535" s="54"/>
      <c r="AB535" s="54"/>
      <c r="AC535" s="54"/>
      <c r="AD535" s="54"/>
      <c r="AE535" s="54"/>
      <c r="AF535" s="54"/>
      <c r="AG535" s="54"/>
      <c r="AH535" s="54"/>
      <c r="AI535" s="54"/>
      <c r="AJ535" s="54"/>
      <c r="AK535" s="54"/>
      <c r="AL535" s="23"/>
      <c r="AM535" s="127"/>
      <c r="AN535" s="127"/>
      <c r="AO535" s="129"/>
      <c r="AP535" s="129"/>
      <c r="AQ535" s="129"/>
      <c r="AR535" s="129"/>
      <c r="AS535" s="129"/>
      <c r="AT535" s="129"/>
      <c r="AU535" s="129"/>
      <c r="AV535" s="129"/>
      <c r="AW535" s="129"/>
      <c r="AX535" s="197"/>
      <c r="AY535" s="197"/>
      <c r="AZ535" s="197"/>
      <c r="BA535" s="197"/>
      <c r="BB535" s="129"/>
      <c r="BC535" s="129"/>
      <c r="BD535" s="129"/>
      <c r="BE535" s="129"/>
      <c r="BF535" s="129"/>
      <c r="BG535" s="129"/>
      <c r="BH535" s="129"/>
      <c r="BI535" s="129"/>
      <c r="BJ535" s="129"/>
      <c r="BK535" s="129"/>
      <c r="BL535" s="129"/>
      <c r="BM535" s="197"/>
    </row>
    <row r="536" spans="1:65" x14ac:dyDescent="0.25">
      <c r="A536" s="137"/>
      <c r="B536" s="137"/>
      <c r="C536" s="172"/>
      <c r="D536" s="46"/>
      <c r="E536" s="46"/>
      <c r="F536" s="54"/>
      <c r="G536" s="54"/>
      <c r="H536" s="54"/>
      <c r="I536" s="54"/>
      <c r="J536" s="54"/>
      <c r="K536" s="54"/>
      <c r="L536" s="54"/>
      <c r="M536" s="54"/>
      <c r="N536" s="54"/>
      <c r="O536" s="54"/>
      <c r="P536" s="54"/>
      <c r="Q536" s="54"/>
      <c r="R536" s="54"/>
      <c r="S536" s="54"/>
      <c r="T536" s="54"/>
      <c r="U536" s="54"/>
      <c r="V536" s="54"/>
      <c r="W536" s="55"/>
      <c r="X536" s="55"/>
      <c r="Y536" s="55"/>
      <c r="Z536" s="55"/>
      <c r="AA536" s="55"/>
      <c r="AB536" s="55"/>
      <c r="AC536" s="55"/>
      <c r="AD536" s="55"/>
      <c r="AE536" s="55"/>
      <c r="AF536" s="55"/>
      <c r="AG536" s="55"/>
      <c r="AH536" s="55"/>
      <c r="AI536" s="54"/>
      <c r="AJ536" s="54"/>
      <c r="AK536" s="54"/>
      <c r="AL536" s="23"/>
      <c r="AM536" s="127"/>
      <c r="AN536" s="127"/>
      <c r="AO536" s="129"/>
      <c r="AP536" s="129"/>
      <c r="AQ536" s="129"/>
      <c r="AR536" s="129"/>
      <c r="AS536" s="129"/>
      <c r="AT536" s="129"/>
      <c r="AU536" s="129"/>
      <c r="AV536" s="129"/>
      <c r="AW536" s="129"/>
      <c r="AX536" s="197"/>
      <c r="AY536" s="197"/>
      <c r="AZ536" s="197"/>
      <c r="BA536" s="197"/>
      <c r="BB536" s="129"/>
      <c r="BC536" s="129"/>
      <c r="BD536" s="129"/>
      <c r="BE536" s="129"/>
      <c r="BF536" s="129"/>
      <c r="BG536" s="129"/>
      <c r="BH536" s="129"/>
      <c r="BI536" s="129"/>
      <c r="BJ536" s="129"/>
      <c r="BK536" s="129"/>
      <c r="BL536" s="129"/>
      <c r="BM536" s="197"/>
    </row>
    <row r="537" spans="1:65" x14ac:dyDescent="0.25">
      <c r="A537" s="137" t="s">
        <v>77</v>
      </c>
      <c r="B537" s="137" t="s">
        <v>22</v>
      </c>
      <c r="C537" s="186" t="s">
        <v>222</v>
      </c>
      <c r="D537" s="161">
        <v>23</v>
      </c>
      <c r="E537" s="29" t="str">
        <f t="shared" ref="E537:E542" si="96">INDEX(ra_ScName,MATCH(D537,ra_ScNumber,0))</f>
        <v>Further revenue effects</v>
      </c>
      <c r="F537" s="122">
        <v>0</v>
      </c>
      <c r="G537" s="122">
        <v>0</v>
      </c>
      <c r="H537" s="122">
        <v>0</v>
      </c>
      <c r="I537" s="122">
        <v>0</v>
      </c>
      <c r="J537" s="122">
        <v>0</v>
      </c>
      <c r="K537" s="122">
        <v>0</v>
      </c>
      <c r="L537" s="122">
        <v>0</v>
      </c>
      <c r="M537" s="122">
        <v>0</v>
      </c>
      <c r="N537" s="122">
        <v>0</v>
      </c>
      <c r="O537" s="122">
        <v>0</v>
      </c>
      <c r="P537" s="122">
        <v>0</v>
      </c>
      <c r="Q537" s="122">
        <v>0</v>
      </c>
      <c r="R537" s="122">
        <v>0</v>
      </c>
      <c r="S537" s="122">
        <v>0</v>
      </c>
      <c r="T537" s="122">
        <v>0</v>
      </c>
      <c r="U537" s="122">
        <v>0</v>
      </c>
      <c r="V537" s="122">
        <v>0</v>
      </c>
      <c r="W537" s="122"/>
      <c r="X537" s="122"/>
      <c r="Y537" s="122"/>
      <c r="Z537" s="122"/>
      <c r="AA537" s="122"/>
      <c r="AB537" s="122"/>
      <c r="AC537" s="122"/>
      <c r="AD537" s="122"/>
      <c r="AE537" s="122"/>
      <c r="AF537" s="122"/>
      <c r="AG537" s="122"/>
      <c r="AH537" s="122"/>
      <c r="AI537" s="117">
        <f t="shared" ref="AI537:AI542" si="97">SUM(F537:AH537)</f>
        <v>0</v>
      </c>
      <c r="AJ537" s="117">
        <f t="shared" ref="AJ537:AJ542" si="98">SUM(F537:U537)</f>
        <v>0</v>
      </c>
      <c r="AK537" s="117">
        <f t="shared" ref="AK537:AK542" si="99">SUM(W537:AH537)</f>
        <v>0</v>
      </c>
      <c r="AL537" s="23"/>
      <c r="AM537" s="127" t="b">
        <f t="shared" ref="AM537:AM542" si="100">IF(INDEX($AO537:$BM537,0,$F$14)=1,TRUE,FALSE)</f>
        <v>0</v>
      </c>
      <c r="AN537" s="127" t="str">
        <f t="shared" ref="AN537:AN542" si="101">IF(AM537,A537&amp;", "&amp;B537,"")</f>
        <v/>
      </c>
      <c r="AO537" s="129"/>
      <c r="AP537" s="129"/>
      <c r="AQ537" s="129"/>
      <c r="AR537" s="129"/>
      <c r="AS537" s="129"/>
      <c r="AT537" s="129"/>
      <c r="AU537" s="129"/>
      <c r="AV537" s="129"/>
      <c r="AW537" s="129"/>
      <c r="AX537" s="197"/>
      <c r="AY537" s="197"/>
      <c r="AZ537" s="197"/>
      <c r="BA537" s="197"/>
      <c r="BB537" s="129"/>
      <c r="BC537" s="129"/>
      <c r="BD537" s="129"/>
      <c r="BE537" s="129"/>
      <c r="BF537" s="129"/>
      <c r="BG537" s="129"/>
      <c r="BH537" s="129"/>
      <c r="BI537" s="129"/>
      <c r="BJ537" s="129"/>
      <c r="BK537" s="129"/>
      <c r="BL537" s="129"/>
      <c r="BM537" s="197"/>
    </row>
    <row r="538" spans="1:65" x14ac:dyDescent="0.25">
      <c r="A538" s="137" t="s">
        <v>77</v>
      </c>
      <c r="B538" s="137" t="s">
        <v>23</v>
      </c>
      <c r="C538" s="186" t="s">
        <v>222</v>
      </c>
      <c r="D538" s="161">
        <v>23</v>
      </c>
      <c r="E538" s="29" t="str">
        <f t="shared" si="96"/>
        <v>Further revenue effects</v>
      </c>
      <c r="F538" s="122">
        <v>0</v>
      </c>
      <c r="G538" s="122">
        <v>0</v>
      </c>
      <c r="H538" s="122">
        <v>0</v>
      </c>
      <c r="I538" s="122">
        <v>0</v>
      </c>
      <c r="J538" s="122">
        <v>0</v>
      </c>
      <c r="K538" s="122">
        <v>0</v>
      </c>
      <c r="L538" s="122">
        <v>0</v>
      </c>
      <c r="M538" s="122">
        <v>0</v>
      </c>
      <c r="N538" s="122">
        <v>0</v>
      </c>
      <c r="O538" s="122">
        <v>0</v>
      </c>
      <c r="P538" s="122">
        <v>0</v>
      </c>
      <c r="Q538" s="122">
        <v>0</v>
      </c>
      <c r="R538" s="122">
        <v>0</v>
      </c>
      <c r="S538" s="122">
        <v>0</v>
      </c>
      <c r="T538" s="122">
        <v>0</v>
      </c>
      <c r="U538" s="122">
        <v>0</v>
      </c>
      <c r="V538" s="122">
        <v>0</v>
      </c>
      <c r="W538" s="122"/>
      <c r="X538" s="122"/>
      <c r="Y538" s="122"/>
      <c r="Z538" s="122"/>
      <c r="AA538" s="122"/>
      <c r="AB538" s="122"/>
      <c r="AC538" s="122"/>
      <c r="AD538" s="122"/>
      <c r="AE538" s="122"/>
      <c r="AF538" s="122"/>
      <c r="AG538" s="122"/>
      <c r="AH538" s="122"/>
      <c r="AI538" s="117">
        <f t="shared" si="97"/>
        <v>0</v>
      </c>
      <c r="AJ538" s="117">
        <f t="shared" si="98"/>
        <v>0</v>
      </c>
      <c r="AK538" s="117">
        <f t="shared" si="99"/>
        <v>0</v>
      </c>
      <c r="AL538" s="23"/>
      <c r="AM538" s="127" t="b">
        <f t="shared" si="100"/>
        <v>0</v>
      </c>
      <c r="AN538" s="127" t="str">
        <f t="shared" si="101"/>
        <v/>
      </c>
      <c r="AO538" s="129"/>
      <c r="AP538" s="129"/>
      <c r="AQ538" s="129"/>
      <c r="AR538" s="129"/>
      <c r="AS538" s="129"/>
      <c r="AT538" s="129"/>
      <c r="AU538" s="129"/>
      <c r="AV538" s="129"/>
      <c r="AW538" s="129"/>
      <c r="AX538" s="197"/>
      <c r="AY538" s="197"/>
      <c r="AZ538" s="197"/>
      <c r="BA538" s="197"/>
      <c r="BB538" s="129"/>
      <c r="BC538" s="129"/>
      <c r="BD538" s="129"/>
      <c r="BE538" s="129"/>
      <c r="BF538" s="129"/>
      <c r="BG538" s="129"/>
      <c r="BH538" s="129"/>
      <c r="BI538" s="129"/>
      <c r="BJ538" s="129"/>
      <c r="BK538" s="129"/>
      <c r="BL538" s="129"/>
      <c r="BM538" s="197"/>
    </row>
    <row r="539" spans="1:65" x14ac:dyDescent="0.25">
      <c r="A539" s="137" t="s">
        <v>77</v>
      </c>
      <c r="B539" s="137" t="s">
        <v>24</v>
      </c>
      <c r="C539" s="186" t="s">
        <v>222</v>
      </c>
      <c r="D539" s="161">
        <v>23</v>
      </c>
      <c r="E539" s="29" t="str">
        <f t="shared" si="96"/>
        <v>Further revenue effects</v>
      </c>
      <c r="F539" s="122">
        <v>0</v>
      </c>
      <c r="G539" s="122">
        <v>0</v>
      </c>
      <c r="H539" s="122">
        <v>0</v>
      </c>
      <c r="I539" s="122">
        <v>0</v>
      </c>
      <c r="J539" s="122">
        <v>0</v>
      </c>
      <c r="K539" s="122">
        <v>0</v>
      </c>
      <c r="L539" s="122">
        <v>0</v>
      </c>
      <c r="M539" s="122">
        <v>0</v>
      </c>
      <c r="N539" s="122">
        <v>0</v>
      </c>
      <c r="O539" s="122">
        <v>0</v>
      </c>
      <c r="P539" s="122">
        <v>0</v>
      </c>
      <c r="Q539" s="122">
        <v>0</v>
      </c>
      <c r="R539" s="122">
        <v>0</v>
      </c>
      <c r="S539" s="122">
        <v>0</v>
      </c>
      <c r="T539" s="122">
        <v>0</v>
      </c>
      <c r="U539" s="122">
        <v>0</v>
      </c>
      <c r="V539" s="122">
        <v>0</v>
      </c>
      <c r="W539" s="122"/>
      <c r="X539" s="122"/>
      <c r="Y539" s="122"/>
      <c r="Z539" s="122"/>
      <c r="AA539" s="122"/>
      <c r="AB539" s="122"/>
      <c r="AC539" s="122"/>
      <c r="AD539" s="122"/>
      <c r="AE539" s="122"/>
      <c r="AF539" s="122"/>
      <c r="AG539" s="122"/>
      <c r="AH539" s="122"/>
      <c r="AI539" s="117">
        <f t="shared" si="97"/>
        <v>0</v>
      </c>
      <c r="AJ539" s="117">
        <f t="shared" si="98"/>
        <v>0</v>
      </c>
      <c r="AK539" s="117">
        <f t="shared" si="99"/>
        <v>0</v>
      </c>
      <c r="AL539" s="23"/>
      <c r="AM539" s="127" t="b">
        <f t="shared" si="100"/>
        <v>0</v>
      </c>
      <c r="AN539" s="127" t="str">
        <f t="shared" si="101"/>
        <v/>
      </c>
      <c r="AO539" s="129"/>
      <c r="AP539" s="129"/>
      <c r="AQ539" s="129"/>
      <c r="AR539" s="129"/>
      <c r="AS539" s="129"/>
      <c r="AT539" s="129"/>
      <c r="AU539" s="129"/>
      <c r="AV539" s="129"/>
      <c r="AW539" s="129"/>
      <c r="AX539" s="197"/>
      <c r="AY539" s="197"/>
      <c r="AZ539" s="197"/>
      <c r="BA539" s="197"/>
      <c r="BB539" s="129"/>
      <c r="BC539" s="129"/>
      <c r="BD539" s="129"/>
      <c r="BE539" s="129"/>
      <c r="BF539" s="129"/>
      <c r="BG539" s="129"/>
      <c r="BH539" s="129"/>
      <c r="BI539" s="129"/>
      <c r="BJ539" s="129"/>
      <c r="BK539" s="129"/>
      <c r="BL539" s="129"/>
      <c r="BM539" s="197"/>
    </row>
    <row r="540" spans="1:65" x14ac:dyDescent="0.25">
      <c r="A540" s="137" t="s">
        <v>77</v>
      </c>
      <c r="B540" s="137" t="s">
        <v>25</v>
      </c>
      <c r="C540" s="186" t="s">
        <v>222</v>
      </c>
      <c r="D540" s="161">
        <v>23</v>
      </c>
      <c r="E540" s="29" t="str">
        <f t="shared" si="96"/>
        <v>Further revenue effects</v>
      </c>
      <c r="F540" s="122">
        <v>0</v>
      </c>
      <c r="G540" s="122">
        <v>0</v>
      </c>
      <c r="H540" s="122">
        <v>0</v>
      </c>
      <c r="I540" s="122">
        <v>0</v>
      </c>
      <c r="J540" s="122">
        <v>0</v>
      </c>
      <c r="K540" s="122">
        <v>0</v>
      </c>
      <c r="L540" s="122">
        <v>0</v>
      </c>
      <c r="M540" s="122">
        <v>0</v>
      </c>
      <c r="N540" s="122">
        <v>0</v>
      </c>
      <c r="O540" s="122">
        <v>0</v>
      </c>
      <c r="P540" s="122">
        <v>0</v>
      </c>
      <c r="Q540" s="122">
        <v>0</v>
      </c>
      <c r="R540" s="122">
        <v>0</v>
      </c>
      <c r="S540" s="122">
        <v>0</v>
      </c>
      <c r="T540" s="122">
        <v>0</v>
      </c>
      <c r="U540" s="122">
        <v>0</v>
      </c>
      <c r="V540" s="122">
        <v>0</v>
      </c>
      <c r="W540" s="122"/>
      <c r="X540" s="122"/>
      <c r="Y540" s="122"/>
      <c r="Z540" s="122"/>
      <c r="AA540" s="122"/>
      <c r="AB540" s="122"/>
      <c r="AC540" s="122"/>
      <c r="AD540" s="122"/>
      <c r="AE540" s="122"/>
      <c r="AF540" s="122"/>
      <c r="AG540" s="122"/>
      <c r="AH540" s="122"/>
      <c r="AI540" s="117">
        <f t="shared" si="97"/>
        <v>0</v>
      </c>
      <c r="AJ540" s="117">
        <f t="shared" si="98"/>
        <v>0</v>
      </c>
      <c r="AK540" s="117">
        <f t="shared" si="99"/>
        <v>0</v>
      </c>
      <c r="AL540" s="23"/>
      <c r="AM540" s="127" t="b">
        <f t="shared" si="100"/>
        <v>0</v>
      </c>
      <c r="AN540" s="127" t="str">
        <f t="shared" si="101"/>
        <v/>
      </c>
      <c r="AO540" s="129"/>
      <c r="AP540" s="129"/>
      <c r="AQ540" s="129"/>
      <c r="AR540" s="129"/>
      <c r="AS540" s="129"/>
      <c r="AT540" s="129"/>
      <c r="AU540" s="129"/>
      <c r="AV540" s="129"/>
      <c r="AW540" s="129"/>
      <c r="AX540" s="197"/>
      <c r="AY540" s="197"/>
      <c r="AZ540" s="197"/>
      <c r="BA540" s="197"/>
      <c r="BB540" s="129"/>
      <c r="BC540" s="129"/>
      <c r="BD540" s="129"/>
      <c r="BE540" s="129"/>
      <c r="BF540" s="129"/>
      <c r="BG540" s="129"/>
      <c r="BH540" s="129"/>
      <c r="BI540" s="129"/>
      <c r="BJ540" s="129"/>
      <c r="BK540" s="129"/>
      <c r="BL540" s="129"/>
      <c r="BM540" s="197"/>
    </row>
    <row r="541" spans="1:65" x14ac:dyDescent="0.25">
      <c r="A541" s="137" t="s">
        <v>77</v>
      </c>
      <c r="B541" s="137" t="s">
        <v>26</v>
      </c>
      <c r="C541" s="186" t="s">
        <v>222</v>
      </c>
      <c r="D541" s="161">
        <v>23</v>
      </c>
      <c r="E541" s="29" t="str">
        <f t="shared" si="96"/>
        <v>Further revenue effects</v>
      </c>
      <c r="F541" s="122">
        <v>0</v>
      </c>
      <c r="G541" s="122">
        <v>0</v>
      </c>
      <c r="H541" s="122">
        <v>0</v>
      </c>
      <c r="I541" s="122">
        <v>0</v>
      </c>
      <c r="J541" s="122">
        <v>0</v>
      </c>
      <c r="K541" s="122">
        <v>0</v>
      </c>
      <c r="L541" s="122">
        <v>0</v>
      </c>
      <c r="M541" s="122">
        <v>0</v>
      </c>
      <c r="N541" s="122">
        <v>0</v>
      </c>
      <c r="O541" s="122">
        <v>0</v>
      </c>
      <c r="P541" s="122">
        <v>0</v>
      </c>
      <c r="Q541" s="122">
        <v>0</v>
      </c>
      <c r="R541" s="122">
        <v>0</v>
      </c>
      <c r="S541" s="122">
        <v>0</v>
      </c>
      <c r="T541" s="122">
        <v>0</v>
      </c>
      <c r="U541" s="122">
        <v>0</v>
      </c>
      <c r="V541" s="122">
        <v>0</v>
      </c>
      <c r="W541" s="122"/>
      <c r="X541" s="122"/>
      <c r="Y541" s="122"/>
      <c r="Z541" s="122"/>
      <c r="AA541" s="122"/>
      <c r="AB541" s="122"/>
      <c r="AC541" s="122"/>
      <c r="AD541" s="122"/>
      <c r="AE541" s="122"/>
      <c r="AF541" s="122"/>
      <c r="AG541" s="122"/>
      <c r="AH541" s="122"/>
      <c r="AI541" s="117">
        <f t="shared" si="97"/>
        <v>0</v>
      </c>
      <c r="AJ541" s="117">
        <f t="shared" si="98"/>
        <v>0</v>
      </c>
      <c r="AK541" s="117">
        <f t="shared" si="99"/>
        <v>0</v>
      </c>
      <c r="AL541" s="23"/>
      <c r="AM541" s="127" t="b">
        <f t="shared" si="100"/>
        <v>0</v>
      </c>
      <c r="AN541" s="127" t="str">
        <f t="shared" si="101"/>
        <v/>
      </c>
      <c r="AO541" s="129"/>
      <c r="AP541" s="129"/>
      <c r="AQ541" s="129"/>
      <c r="AR541" s="129"/>
      <c r="AS541" s="129"/>
      <c r="AT541" s="129"/>
      <c r="AU541" s="129"/>
      <c r="AV541" s="129"/>
      <c r="AW541" s="129"/>
      <c r="AX541" s="197"/>
      <c r="AY541" s="197"/>
      <c r="AZ541" s="197"/>
      <c r="BA541" s="197"/>
      <c r="BB541" s="129"/>
      <c r="BC541" s="129"/>
      <c r="BD541" s="129"/>
      <c r="BE541" s="129"/>
      <c r="BF541" s="129"/>
      <c r="BG541" s="129"/>
      <c r="BH541" s="129"/>
      <c r="BI541" s="129"/>
      <c r="BJ541" s="129"/>
      <c r="BK541" s="129"/>
      <c r="BL541" s="129"/>
      <c r="BM541" s="197"/>
    </row>
    <row r="542" spans="1:65" x14ac:dyDescent="0.25">
      <c r="A542" s="137" t="s">
        <v>77</v>
      </c>
      <c r="B542" s="137" t="s">
        <v>27</v>
      </c>
      <c r="C542" s="186" t="s">
        <v>222</v>
      </c>
      <c r="D542" s="161">
        <v>23</v>
      </c>
      <c r="E542" s="29" t="str">
        <f t="shared" si="96"/>
        <v>Further revenue effects</v>
      </c>
      <c r="F542" s="122">
        <v>0</v>
      </c>
      <c r="G542" s="122">
        <v>0</v>
      </c>
      <c r="H542" s="122">
        <v>0</v>
      </c>
      <c r="I542" s="122">
        <v>0</v>
      </c>
      <c r="J542" s="122">
        <v>0</v>
      </c>
      <c r="K542" s="122">
        <v>0</v>
      </c>
      <c r="L542" s="122">
        <v>0</v>
      </c>
      <c r="M542" s="122">
        <v>0</v>
      </c>
      <c r="N542" s="122">
        <v>0</v>
      </c>
      <c r="O542" s="122">
        <v>0</v>
      </c>
      <c r="P542" s="122">
        <v>0</v>
      </c>
      <c r="Q542" s="122">
        <v>0</v>
      </c>
      <c r="R542" s="122">
        <v>0</v>
      </c>
      <c r="S542" s="122">
        <v>0</v>
      </c>
      <c r="T542" s="122">
        <v>0</v>
      </c>
      <c r="U542" s="122">
        <v>0</v>
      </c>
      <c r="V542" s="122">
        <v>0</v>
      </c>
      <c r="W542" s="122"/>
      <c r="X542" s="122"/>
      <c r="Y542" s="122"/>
      <c r="Z542" s="122"/>
      <c r="AA542" s="122"/>
      <c r="AB542" s="122"/>
      <c r="AC542" s="122"/>
      <c r="AD542" s="122"/>
      <c r="AE542" s="122"/>
      <c r="AF542" s="122"/>
      <c r="AG542" s="122"/>
      <c r="AH542" s="122"/>
      <c r="AI542" s="117">
        <f t="shared" si="97"/>
        <v>0</v>
      </c>
      <c r="AJ542" s="117">
        <f t="shared" si="98"/>
        <v>0</v>
      </c>
      <c r="AK542" s="117">
        <f t="shared" si="99"/>
        <v>0</v>
      </c>
      <c r="AL542" s="23"/>
      <c r="AM542" s="127" t="b">
        <f t="shared" si="100"/>
        <v>0</v>
      </c>
      <c r="AN542" s="127" t="str">
        <f t="shared" si="101"/>
        <v/>
      </c>
      <c r="AO542" s="129"/>
      <c r="AP542" s="129"/>
      <c r="AQ542" s="129"/>
      <c r="AR542" s="129"/>
      <c r="AS542" s="129"/>
      <c r="AT542" s="129"/>
      <c r="AU542" s="129"/>
      <c r="AV542" s="129"/>
      <c r="AW542" s="129"/>
      <c r="AX542" s="197"/>
      <c r="AY542" s="197"/>
      <c r="AZ542" s="197"/>
      <c r="BA542" s="197"/>
      <c r="BB542" s="129"/>
      <c r="BC542" s="129"/>
      <c r="BD542" s="129"/>
      <c r="BE542" s="129"/>
      <c r="BF542" s="129"/>
      <c r="BG542" s="129"/>
      <c r="BH542" s="129"/>
      <c r="BI542" s="129"/>
      <c r="BJ542" s="129"/>
      <c r="BK542" s="129"/>
      <c r="BL542" s="129"/>
      <c r="BM542" s="197"/>
    </row>
    <row r="543" spans="1:65" x14ac:dyDescent="0.25">
      <c r="A543" s="152"/>
      <c r="B543" s="152"/>
      <c r="C543" s="172"/>
      <c r="D543" s="49"/>
      <c r="E543" s="49"/>
      <c r="F543" s="122">
        <v>0</v>
      </c>
      <c r="G543" s="122">
        <v>0</v>
      </c>
      <c r="H543" s="122">
        <v>0</v>
      </c>
      <c r="I543" s="122">
        <v>0</v>
      </c>
      <c r="J543" s="122">
        <v>0</v>
      </c>
      <c r="K543" s="122">
        <v>0</v>
      </c>
      <c r="L543" s="122">
        <v>0</v>
      </c>
      <c r="M543" s="122">
        <v>0</v>
      </c>
      <c r="N543" s="122">
        <v>0</v>
      </c>
      <c r="O543" s="122">
        <v>0</v>
      </c>
      <c r="P543" s="122">
        <v>0</v>
      </c>
      <c r="Q543" s="122">
        <v>0</v>
      </c>
      <c r="R543" s="122">
        <v>0</v>
      </c>
      <c r="S543" s="122">
        <v>0</v>
      </c>
      <c r="T543" s="122">
        <v>0</v>
      </c>
      <c r="U543" s="122">
        <v>0</v>
      </c>
      <c r="V543" s="122">
        <v>0</v>
      </c>
      <c r="W543" s="54"/>
      <c r="X543" s="54"/>
      <c r="Y543" s="54"/>
      <c r="Z543" s="54"/>
      <c r="AA543" s="54"/>
      <c r="AB543" s="54"/>
      <c r="AC543" s="54"/>
      <c r="AD543" s="54"/>
      <c r="AE543" s="54"/>
      <c r="AF543" s="54"/>
      <c r="AG543" s="54"/>
      <c r="AH543" s="54"/>
      <c r="AI543" s="54"/>
      <c r="AJ543" s="54"/>
      <c r="AK543" s="54"/>
      <c r="AL543" s="23"/>
      <c r="AM543" s="127"/>
      <c r="AN543" s="127"/>
      <c r="AO543" s="129"/>
      <c r="AP543" s="129"/>
      <c r="AQ543" s="129"/>
      <c r="AR543" s="129"/>
      <c r="AS543" s="129"/>
      <c r="AT543" s="129"/>
      <c r="AU543" s="129"/>
      <c r="AV543" s="129"/>
      <c r="AW543" s="129"/>
      <c r="AX543" s="197"/>
      <c r="AY543" s="197"/>
      <c r="AZ543" s="197"/>
      <c r="BA543" s="197"/>
      <c r="BB543" s="129"/>
      <c r="BC543" s="129"/>
      <c r="BD543" s="129"/>
      <c r="BE543" s="129"/>
      <c r="BF543" s="129"/>
      <c r="BG543" s="129"/>
      <c r="BH543" s="129"/>
      <c r="BI543" s="129"/>
      <c r="BJ543" s="129"/>
      <c r="BK543" s="129"/>
      <c r="BL543" s="129"/>
      <c r="BM543" s="197"/>
    </row>
    <row r="544" spans="1:65" x14ac:dyDescent="0.25">
      <c r="A544" s="152"/>
      <c r="B544" s="152"/>
      <c r="C544" s="172"/>
      <c r="D544" s="46"/>
      <c r="E544" s="46"/>
      <c r="F544" s="54"/>
      <c r="G544" s="54"/>
      <c r="H544" s="54"/>
      <c r="I544" s="54"/>
      <c r="J544" s="54"/>
      <c r="K544" s="54"/>
      <c r="L544" s="54"/>
      <c r="M544" s="54"/>
      <c r="N544" s="54"/>
      <c r="O544" s="54"/>
      <c r="P544" s="54"/>
      <c r="Q544" s="54"/>
      <c r="R544" s="54"/>
      <c r="S544" s="54"/>
      <c r="T544" s="54"/>
      <c r="U544" s="54"/>
      <c r="V544" s="54"/>
      <c r="W544" s="55"/>
      <c r="X544" s="55"/>
      <c r="Y544" s="55"/>
      <c r="Z544" s="55"/>
      <c r="AA544" s="55"/>
      <c r="AB544" s="55"/>
      <c r="AC544" s="55"/>
      <c r="AD544" s="55"/>
      <c r="AE544" s="55"/>
      <c r="AF544" s="55"/>
      <c r="AG544" s="55"/>
      <c r="AH544" s="55"/>
      <c r="AI544" s="54"/>
      <c r="AJ544" s="54"/>
      <c r="AK544" s="54"/>
      <c r="AL544" s="23"/>
      <c r="AM544" s="127"/>
      <c r="AN544" s="127"/>
      <c r="AO544" s="129"/>
      <c r="AP544" s="129"/>
      <c r="AQ544" s="129"/>
      <c r="AR544" s="129"/>
      <c r="AS544" s="129"/>
      <c r="AT544" s="129"/>
      <c r="AU544" s="129"/>
      <c r="AV544" s="129"/>
      <c r="AW544" s="129"/>
      <c r="AX544" s="197"/>
      <c r="AY544" s="197"/>
      <c r="AZ544" s="197"/>
      <c r="BA544" s="197"/>
      <c r="BB544" s="129"/>
      <c r="BC544" s="129"/>
      <c r="BD544" s="129"/>
      <c r="BE544" s="129"/>
      <c r="BF544" s="129"/>
      <c r="BG544" s="129"/>
      <c r="BH544" s="129"/>
      <c r="BI544" s="129"/>
      <c r="BJ544" s="129"/>
      <c r="BK544" s="129"/>
      <c r="BL544" s="129"/>
      <c r="BM544" s="197"/>
    </row>
    <row r="545" spans="1:65" x14ac:dyDescent="0.25">
      <c r="A545" s="152" t="s">
        <v>77</v>
      </c>
      <c r="B545" s="152" t="s">
        <v>22</v>
      </c>
      <c r="C545" s="172" t="s">
        <v>373</v>
      </c>
      <c r="D545" s="161">
        <v>25</v>
      </c>
      <c r="E545" s="29" t="str">
        <f t="shared" ref="E545:E550" si="102">INDEX(ra_ScName,MATCH(D545,ra_ScNumber,0))</f>
        <v>Unused</v>
      </c>
      <c r="F545" s="122">
        <v>2196.9193950536342</v>
      </c>
      <c r="G545" s="122">
        <v>4781.4400931625914</v>
      </c>
      <c r="H545" s="122">
        <v>737.85251929153787</v>
      </c>
      <c r="I545" s="122">
        <v>1957.6280949078568</v>
      </c>
      <c r="J545" s="122">
        <v>2727.6801500085458</v>
      </c>
      <c r="K545" s="122">
        <v>1023.1314184184723</v>
      </c>
      <c r="L545" s="122">
        <v>1708.0935058673035</v>
      </c>
      <c r="M545" s="122">
        <v>465.84921993376776</v>
      </c>
      <c r="N545" s="122">
        <v>2569.1495482950218</v>
      </c>
      <c r="O545" s="122">
        <v>2255.3422853245183</v>
      </c>
      <c r="P545" s="122">
        <v>21773.221181796478</v>
      </c>
      <c r="Q545" s="122">
        <v>2898.5839570286976</v>
      </c>
      <c r="R545" s="122">
        <v>2365.4592625801938</v>
      </c>
      <c r="S545" s="122">
        <v>7333.2768149864678</v>
      </c>
      <c r="T545" s="122">
        <v>38993.915159917953</v>
      </c>
      <c r="U545" s="122">
        <v>9097.9910861036969</v>
      </c>
      <c r="V545" s="122">
        <v>2190.7500731242276</v>
      </c>
      <c r="W545" s="122"/>
      <c r="X545" s="122"/>
      <c r="Y545" s="122"/>
      <c r="Z545" s="122"/>
      <c r="AA545" s="122"/>
      <c r="AB545" s="122"/>
      <c r="AC545" s="122"/>
      <c r="AD545" s="122"/>
      <c r="AE545" s="122"/>
      <c r="AF545" s="122"/>
      <c r="AG545" s="122"/>
      <c r="AH545" s="122"/>
      <c r="AI545" s="117">
        <f t="shared" ref="AI545:AI550" si="103">SUM(F545:AH545)</f>
        <v>105076.28376580098</v>
      </c>
      <c r="AJ545" s="117">
        <f t="shared" ref="AJ545:AJ550" si="104">SUM(F545:U545)</f>
        <v>102885.53369267675</v>
      </c>
      <c r="AK545" s="117">
        <f t="shared" ref="AK545:AK550" si="105">SUM(W545:AH545)</f>
        <v>0</v>
      </c>
      <c r="AL545" s="23"/>
      <c r="AM545" s="127" t="b">
        <f t="shared" ref="AM545:AM550" si="106">IF(INDEX($AO545:$BM545,0,$F$14)=1,TRUE,FALSE)</f>
        <v>0</v>
      </c>
      <c r="AN545" s="127" t="str">
        <f t="shared" ref="AN545:AN550" si="107">IF(AM545,A545&amp;", "&amp;B545,"")</f>
        <v/>
      </c>
      <c r="AO545" s="129"/>
      <c r="AP545" s="129"/>
      <c r="AQ545" s="129"/>
      <c r="AR545" s="129"/>
      <c r="AS545" s="129"/>
      <c r="AT545" s="129"/>
      <c r="AU545" s="129"/>
      <c r="AV545" s="129"/>
      <c r="AW545" s="129"/>
      <c r="AX545" s="197"/>
      <c r="AY545" s="197"/>
      <c r="AZ545" s="197"/>
      <c r="BA545" s="197"/>
      <c r="BB545" s="129"/>
      <c r="BC545" s="129"/>
      <c r="BD545" s="129"/>
      <c r="BE545" s="129"/>
      <c r="BF545" s="129"/>
      <c r="BG545" s="129"/>
      <c r="BH545" s="129"/>
      <c r="BI545" s="129"/>
      <c r="BJ545" s="129"/>
      <c r="BK545" s="129"/>
      <c r="BL545" s="129"/>
      <c r="BM545" s="197"/>
    </row>
    <row r="546" spans="1:65" x14ac:dyDescent="0.25">
      <c r="A546" s="152" t="s">
        <v>77</v>
      </c>
      <c r="B546" s="152" t="s">
        <v>23</v>
      </c>
      <c r="C546" s="172" t="s">
        <v>373</v>
      </c>
      <c r="D546" s="161">
        <v>25</v>
      </c>
      <c r="E546" s="29" t="str">
        <f t="shared" si="102"/>
        <v>Unused</v>
      </c>
      <c r="F546" s="122">
        <v>2540.4361877713031</v>
      </c>
      <c r="G546" s="122">
        <v>5696.9133149779163</v>
      </c>
      <c r="H546" s="122">
        <v>874.61337480703935</v>
      </c>
      <c r="I546" s="122">
        <v>2298.7749872334016</v>
      </c>
      <c r="J546" s="122">
        <v>3341.6741360012179</v>
      </c>
      <c r="K546" s="122">
        <v>1206.0718862618619</v>
      </c>
      <c r="L546" s="122">
        <v>1965.3913669985989</v>
      </c>
      <c r="M546" s="122">
        <v>547.82595839562191</v>
      </c>
      <c r="N546" s="122">
        <v>2954.2405302755492</v>
      </c>
      <c r="O546" s="122">
        <v>2614.6646809229651</v>
      </c>
      <c r="P546" s="122">
        <v>25545.694124653892</v>
      </c>
      <c r="Q546" s="122">
        <v>3420.985280607099</v>
      </c>
      <c r="R546" s="122">
        <v>2790.3502782461019</v>
      </c>
      <c r="S546" s="122">
        <v>8938.69506071664</v>
      </c>
      <c r="T546" s="122">
        <v>46547.286695083531</v>
      </c>
      <c r="U546" s="122">
        <v>10822.690634011737</v>
      </c>
      <c r="V546" s="122">
        <v>3017.3630420997233</v>
      </c>
      <c r="W546" s="122"/>
      <c r="X546" s="122"/>
      <c r="Y546" s="122"/>
      <c r="Z546" s="122"/>
      <c r="AA546" s="122"/>
      <c r="AB546" s="122"/>
      <c r="AC546" s="122"/>
      <c r="AD546" s="122"/>
      <c r="AE546" s="122"/>
      <c r="AF546" s="122"/>
      <c r="AG546" s="122"/>
      <c r="AH546" s="122"/>
      <c r="AI546" s="117">
        <f t="shared" si="103"/>
        <v>125123.67153906419</v>
      </c>
      <c r="AJ546" s="117">
        <f t="shared" si="104"/>
        <v>122106.30849696447</v>
      </c>
      <c r="AK546" s="117">
        <f t="shared" si="105"/>
        <v>0</v>
      </c>
      <c r="AL546" s="23"/>
      <c r="AM546" s="127" t="b">
        <f t="shared" si="106"/>
        <v>0</v>
      </c>
      <c r="AN546" s="127" t="str">
        <f t="shared" si="107"/>
        <v/>
      </c>
      <c r="AO546" s="129"/>
      <c r="AP546" s="129"/>
      <c r="AQ546" s="129"/>
      <c r="AR546" s="129"/>
      <c r="AS546" s="129"/>
      <c r="AT546" s="129"/>
      <c r="AU546" s="129"/>
      <c r="AV546" s="129"/>
      <c r="AW546" s="129"/>
      <c r="AX546" s="197"/>
      <c r="AY546" s="197"/>
      <c r="AZ546" s="197"/>
      <c r="BA546" s="197"/>
      <c r="BB546" s="129"/>
      <c r="BC546" s="129"/>
      <c r="BD546" s="129"/>
      <c r="BE546" s="129"/>
      <c r="BF546" s="129"/>
      <c r="BG546" s="129"/>
      <c r="BH546" s="129"/>
      <c r="BI546" s="129"/>
      <c r="BJ546" s="129"/>
      <c r="BK546" s="129"/>
      <c r="BL546" s="129"/>
      <c r="BM546" s="197"/>
    </row>
    <row r="547" spans="1:65" x14ac:dyDescent="0.25">
      <c r="A547" s="152" t="s">
        <v>77</v>
      </c>
      <c r="B547" s="152" t="s">
        <v>24</v>
      </c>
      <c r="C547" s="172" t="s">
        <v>373</v>
      </c>
      <c r="D547" s="161">
        <v>25</v>
      </c>
      <c r="E547" s="29" t="str">
        <f t="shared" si="102"/>
        <v>Unused</v>
      </c>
      <c r="F547" s="122">
        <v>3234.605087218617</v>
      </c>
      <c r="G547" s="122">
        <v>7322.3799092957797</v>
      </c>
      <c r="H547" s="122">
        <v>1222.6347336870399</v>
      </c>
      <c r="I547" s="122">
        <v>2907.8012709438481</v>
      </c>
      <c r="J547" s="122">
        <v>4429.0225118668604</v>
      </c>
      <c r="K547" s="122">
        <v>1502.7621071537385</v>
      </c>
      <c r="L547" s="122">
        <v>2468.5587323891796</v>
      </c>
      <c r="M547" s="122">
        <v>709.76964759545922</v>
      </c>
      <c r="N547" s="122">
        <v>3671.430400686927</v>
      </c>
      <c r="O547" s="122">
        <v>3290.6464186111375</v>
      </c>
      <c r="P547" s="122">
        <v>32139.076077165908</v>
      </c>
      <c r="Q547" s="122">
        <v>4305.1254190788977</v>
      </c>
      <c r="R547" s="122">
        <v>3620.3148282629286</v>
      </c>
      <c r="S547" s="122">
        <v>11532.440795425286</v>
      </c>
      <c r="T547" s="122">
        <v>58895.781940750094</v>
      </c>
      <c r="U547" s="122">
        <v>13428.730073540559</v>
      </c>
      <c r="V547" s="122">
        <v>4313.3112498994406</v>
      </c>
      <c r="W547" s="122"/>
      <c r="X547" s="122"/>
      <c r="Y547" s="122"/>
      <c r="Z547" s="122"/>
      <c r="AA547" s="122"/>
      <c r="AB547" s="122"/>
      <c r="AC547" s="122"/>
      <c r="AD547" s="122"/>
      <c r="AE547" s="122"/>
      <c r="AF547" s="122"/>
      <c r="AG547" s="122"/>
      <c r="AH547" s="122"/>
      <c r="AI547" s="117">
        <f t="shared" si="103"/>
        <v>158994.39120357172</v>
      </c>
      <c r="AJ547" s="117">
        <f t="shared" si="104"/>
        <v>154681.07995367228</v>
      </c>
      <c r="AK547" s="117">
        <f t="shared" si="105"/>
        <v>0</v>
      </c>
      <c r="AL547" s="23"/>
      <c r="AM547" s="127" t="b">
        <f t="shared" si="106"/>
        <v>0</v>
      </c>
      <c r="AN547" s="127" t="str">
        <f t="shared" si="107"/>
        <v/>
      </c>
      <c r="AO547" s="129"/>
      <c r="AP547" s="129"/>
      <c r="AQ547" s="129"/>
      <c r="AR547" s="129"/>
      <c r="AS547" s="129"/>
      <c r="AT547" s="129"/>
      <c r="AU547" s="129"/>
      <c r="AV547" s="129"/>
      <c r="AW547" s="129"/>
      <c r="AX547" s="197"/>
      <c r="AY547" s="197"/>
      <c r="AZ547" s="197"/>
      <c r="BA547" s="197"/>
      <c r="BB547" s="129"/>
      <c r="BC547" s="129"/>
      <c r="BD547" s="129"/>
      <c r="BE547" s="129"/>
      <c r="BF547" s="129"/>
      <c r="BG547" s="129"/>
      <c r="BH547" s="129"/>
      <c r="BI547" s="129"/>
      <c r="BJ547" s="129"/>
      <c r="BK547" s="129"/>
      <c r="BL547" s="129"/>
      <c r="BM547" s="197"/>
    </row>
    <row r="548" spans="1:65" x14ac:dyDescent="0.25">
      <c r="A548" s="152" t="s">
        <v>77</v>
      </c>
      <c r="B548" s="152" t="s">
        <v>25</v>
      </c>
      <c r="C548" s="172" t="s">
        <v>373</v>
      </c>
      <c r="D548" s="161">
        <v>25</v>
      </c>
      <c r="E548" s="29" t="str">
        <f t="shared" si="102"/>
        <v>Unused</v>
      </c>
      <c r="F548" s="122">
        <v>2997.3425539195832</v>
      </c>
      <c r="G548" s="122">
        <v>7178.1480300966678</v>
      </c>
      <c r="H548" s="122">
        <v>1211.7336266205875</v>
      </c>
      <c r="I548" s="122">
        <v>2795.1645948813998</v>
      </c>
      <c r="J548" s="122">
        <v>4320.9850461126762</v>
      </c>
      <c r="K548" s="122">
        <v>1456.8042969743099</v>
      </c>
      <c r="L548" s="122">
        <v>2317.4013515900328</v>
      </c>
      <c r="M548" s="122">
        <v>678.36229870278464</v>
      </c>
      <c r="N548" s="122">
        <v>3488.8224797205557</v>
      </c>
      <c r="O548" s="122">
        <v>3195.2766227807833</v>
      </c>
      <c r="P548" s="122">
        <v>30974.325459291475</v>
      </c>
      <c r="Q548" s="122">
        <v>3962.6954726129579</v>
      </c>
      <c r="R548" s="122">
        <v>3656.3385665996789</v>
      </c>
      <c r="S548" s="122">
        <v>11160.258229864467</v>
      </c>
      <c r="T548" s="122">
        <v>56862.223301094447</v>
      </c>
      <c r="U548" s="122">
        <v>12699.470594912451</v>
      </c>
      <c r="V548" s="122">
        <v>19303.967728758278</v>
      </c>
      <c r="W548" s="122"/>
      <c r="X548" s="122"/>
      <c r="Y548" s="122"/>
      <c r="Z548" s="122"/>
      <c r="AA548" s="122"/>
      <c r="AB548" s="122"/>
      <c r="AC548" s="122"/>
      <c r="AD548" s="122"/>
      <c r="AE548" s="122"/>
      <c r="AF548" s="122"/>
      <c r="AG548" s="122"/>
      <c r="AH548" s="122"/>
      <c r="AI548" s="117">
        <f t="shared" si="103"/>
        <v>168259.32025453314</v>
      </c>
      <c r="AJ548" s="117">
        <f t="shared" si="104"/>
        <v>148955.35252577486</v>
      </c>
      <c r="AK548" s="117">
        <f t="shared" si="105"/>
        <v>0</v>
      </c>
      <c r="AL548" s="23"/>
      <c r="AM548" s="127" t="b">
        <f t="shared" si="106"/>
        <v>0</v>
      </c>
      <c r="AN548" s="127" t="str">
        <f t="shared" si="107"/>
        <v/>
      </c>
      <c r="AO548" s="129"/>
      <c r="AP548" s="129"/>
      <c r="AQ548" s="129"/>
      <c r="AR548" s="129"/>
      <c r="AS548" s="129"/>
      <c r="AT548" s="129"/>
      <c r="AU548" s="129"/>
      <c r="AV548" s="129"/>
      <c r="AW548" s="129"/>
      <c r="AX548" s="197"/>
      <c r="AY548" s="197"/>
      <c r="AZ548" s="197"/>
      <c r="BA548" s="197"/>
      <c r="BB548" s="129"/>
      <c r="BC548" s="129"/>
      <c r="BD548" s="129"/>
      <c r="BE548" s="129"/>
      <c r="BF548" s="129"/>
      <c r="BG548" s="129"/>
      <c r="BH548" s="129"/>
      <c r="BI548" s="129"/>
      <c r="BJ548" s="129"/>
      <c r="BK548" s="129"/>
      <c r="BL548" s="129"/>
      <c r="BM548" s="197"/>
    </row>
    <row r="549" spans="1:65" x14ac:dyDescent="0.25">
      <c r="A549" s="152" t="s">
        <v>77</v>
      </c>
      <c r="B549" s="152" t="s">
        <v>26</v>
      </c>
      <c r="C549" s="172" t="s">
        <v>373</v>
      </c>
      <c r="D549" s="161">
        <v>25</v>
      </c>
      <c r="E549" s="29" t="str">
        <f t="shared" si="102"/>
        <v>Unused</v>
      </c>
      <c r="F549" s="122">
        <v>3314.0080789329231</v>
      </c>
      <c r="G549" s="122">
        <v>6953.6094876138432</v>
      </c>
      <c r="H549" s="122">
        <v>1183.0027437132362</v>
      </c>
      <c r="I549" s="122">
        <v>2676.1246022819555</v>
      </c>
      <c r="J549" s="122">
        <v>4467.3837181342842</v>
      </c>
      <c r="K549" s="122">
        <v>1413.0732473122021</v>
      </c>
      <c r="L549" s="122">
        <v>2280.9890116816805</v>
      </c>
      <c r="M549" s="122">
        <v>657.43826473454465</v>
      </c>
      <c r="N549" s="122">
        <v>3250.51787023629</v>
      </c>
      <c r="O549" s="122">
        <v>3123.083707141886</v>
      </c>
      <c r="P549" s="122">
        <v>29903.104234093258</v>
      </c>
      <c r="Q549" s="122">
        <v>3837.388862744483</v>
      </c>
      <c r="R549" s="122">
        <v>3999.1484770032166</v>
      </c>
      <c r="S549" s="122">
        <v>10585.289125230021</v>
      </c>
      <c r="T549" s="122">
        <v>54863.087704265061</v>
      </c>
      <c r="U549" s="122">
        <v>12019.472589330398</v>
      </c>
      <c r="V549" s="122">
        <v>17258.484566215655</v>
      </c>
      <c r="W549" s="122"/>
      <c r="X549" s="122"/>
      <c r="Y549" s="122"/>
      <c r="Z549" s="122"/>
      <c r="AA549" s="122"/>
      <c r="AB549" s="122"/>
      <c r="AC549" s="122"/>
      <c r="AD549" s="122"/>
      <c r="AE549" s="122"/>
      <c r="AF549" s="122"/>
      <c r="AG549" s="122"/>
      <c r="AH549" s="122"/>
      <c r="AI549" s="117">
        <f t="shared" si="103"/>
        <v>161785.20629066494</v>
      </c>
      <c r="AJ549" s="117">
        <f t="shared" si="104"/>
        <v>144526.72172444928</v>
      </c>
      <c r="AK549" s="117">
        <f t="shared" si="105"/>
        <v>0</v>
      </c>
      <c r="AL549" s="23"/>
      <c r="AM549" s="127" t="b">
        <f t="shared" si="106"/>
        <v>0</v>
      </c>
      <c r="AN549" s="127" t="str">
        <f t="shared" si="107"/>
        <v/>
      </c>
      <c r="AO549" s="129"/>
      <c r="AP549" s="129"/>
      <c r="AQ549" s="129"/>
      <c r="AR549" s="129"/>
      <c r="AS549" s="129"/>
      <c r="AT549" s="129"/>
      <c r="AU549" s="129"/>
      <c r="AV549" s="129"/>
      <c r="AW549" s="129"/>
      <c r="AX549" s="197"/>
      <c r="AY549" s="197"/>
      <c r="AZ549" s="197"/>
      <c r="BA549" s="197"/>
      <c r="BB549" s="129"/>
      <c r="BC549" s="129"/>
      <c r="BD549" s="129"/>
      <c r="BE549" s="129"/>
      <c r="BF549" s="129"/>
      <c r="BG549" s="129"/>
      <c r="BH549" s="129"/>
      <c r="BI549" s="129"/>
      <c r="BJ549" s="129"/>
      <c r="BK549" s="129"/>
      <c r="BL549" s="129"/>
      <c r="BM549" s="197"/>
    </row>
    <row r="550" spans="1:65" x14ac:dyDescent="0.25">
      <c r="A550" s="152" t="s">
        <v>77</v>
      </c>
      <c r="B550" s="152" t="s">
        <v>27</v>
      </c>
      <c r="C550" s="172" t="s">
        <v>373</v>
      </c>
      <c r="D550" s="161">
        <v>25</v>
      </c>
      <c r="E550" s="29" t="str">
        <f t="shared" si="102"/>
        <v>Unused</v>
      </c>
      <c r="F550" s="122">
        <v>3191.9247248781576</v>
      </c>
      <c r="G550" s="122">
        <v>6695.9438742713255</v>
      </c>
      <c r="H550" s="122">
        <v>1120.4338560253584</v>
      </c>
      <c r="I550" s="122">
        <v>2564.1712263090944</v>
      </c>
      <c r="J550" s="122">
        <v>4466.7411778829701</v>
      </c>
      <c r="K550" s="122">
        <v>1316.1523701617432</v>
      </c>
      <c r="L550" s="122">
        <v>2275.2210324176936</v>
      </c>
      <c r="M550" s="122">
        <v>846.44544062354885</v>
      </c>
      <c r="N550" s="122">
        <v>3123.4315512427138</v>
      </c>
      <c r="O550" s="122">
        <v>2950.4173210064041</v>
      </c>
      <c r="P550" s="122">
        <v>29099.75370749009</v>
      </c>
      <c r="Q550" s="122">
        <v>3698.4962200495447</v>
      </c>
      <c r="R550" s="122">
        <v>4069.1407550492386</v>
      </c>
      <c r="S550" s="122">
        <v>10574.038627930779</v>
      </c>
      <c r="T550" s="122">
        <v>53084.352605292472</v>
      </c>
      <c r="U550" s="122">
        <v>11490.627602537172</v>
      </c>
      <c r="V550" s="122">
        <v>16239.437211764938</v>
      </c>
      <c r="W550" s="122"/>
      <c r="X550" s="122"/>
      <c r="Y550" s="122"/>
      <c r="Z550" s="122"/>
      <c r="AA550" s="122"/>
      <c r="AB550" s="122"/>
      <c r="AC550" s="122"/>
      <c r="AD550" s="122"/>
      <c r="AE550" s="122"/>
      <c r="AF550" s="122"/>
      <c r="AG550" s="122"/>
      <c r="AH550" s="122"/>
      <c r="AI550" s="117">
        <f t="shared" si="103"/>
        <v>156806.72930493325</v>
      </c>
      <c r="AJ550" s="117">
        <f t="shared" si="104"/>
        <v>140567.2920931683</v>
      </c>
      <c r="AK550" s="117">
        <f t="shared" si="105"/>
        <v>0</v>
      </c>
      <c r="AL550" s="23"/>
      <c r="AM550" s="127" t="b">
        <f t="shared" si="106"/>
        <v>0</v>
      </c>
      <c r="AN550" s="127" t="str">
        <f t="shared" si="107"/>
        <v/>
      </c>
      <c r="AO550" s="129"/>
      <c r="AP550" s="129"/>
      <c r="AQ550" s="129"/>
      <c r="AR550" s="129"/>
      <c r="AS550" s="129"/>
      <c r="AT550" s="129"/>
      <c r="AU550" s="129"/>
      <c r="AV550" s="129"/>
      <c r="AW550" s="129"/>
      <c r="AX550" s="197"/>
      <c r="AY550" s="197"/>
      <c r="AZ550" s="197"/>
      <c r="BA550" s="197"/>
      <c r="BB550" s="129"/>
      <c r="BC550" s="129"/>
      <c r="BD550" s="129"/>
      <c r="BE550" s="129"/>
      <c r="BF550" s="129"/>
      <c r="BG550" s="129"/>
      <c r="BH550" s="129"/>
      <c r="BI550" s="129"/>
      <c r="BJ550" s="129"/>
      <c r="BK550" s="129"/>
      <c r="BL550" s="129"/>
      <c r="BM550" s="197"/>
    </row>
    <row r="551" spans="1:65" x14ac:dyDescent="0.25">
      <c r="A551" s="121"/>
      <c r="B551" s="121"/>
      <c r="C551" s="172"/>
      <c r="D551" s="49"/>
      <c r="E551" s="49"/>
      <c r="F551" s="54"/>
      <c r="G551" s="54"/>
      <c r="H551" s="54"/>
      <c r="I551" s="54"/>
      <c r="J551" s="54"/>
      <c r="K551" s="54"/>
      <c r="L551" s="54"/>
      <c r="M551" s="54"/>
      <c r="N551" s="54"/>
      <c r="O551" s="54"/>
      <c r="P551" s="54"/>
      <c r="Q551" s="54"/>
      <c r="R551" s="54"/>
      <c r="S551" s="54"/>
      <c r="T551" s="54"/>
      <c r="U551" s="54"/>
      <c r="V551" s="54"/>
      <c r="W551" s="55"/>
      <c r="X551" s="55"/>
      <c r="Y551" s="55"/>
      <c r="Z551" s="55"/>
      <c r="AA551" s="55"/>
      <c r="AB551" s="55"/>
      <c r="AC551" s="55"/>
      <c r="AD551" s="55"/>
      <c r="AE551" s="55"/>
      <c r="AF551" s="55"/>
      <c r="AG551" s="55"/>
      <c r="AH551" s="55"/>
      <c r="AI551" s="54"/>
      <c r="AJ551" s="54"/>
      <c r="AK551" s="54"/>
      <c r="AL551" s="23"/>
      <c r="AM551" s="127"/>
      <c r="AN551" s="127"/>
      <c r="AO551" s="129"/>
      <c r="AP551" s="129"/>
      <c r="AQ551" s="129"/>
      <c r="AR551" s="129"/>
      <c r="AS551" s="129"/>
      <c r="AT551" s="129"/>
      <c r="AU551" s="129"/>
      <c r="AV551" s="129"/>
      <c r="AW551" s="129"/>
      <c r="AX551" s="197"/>
      <c r="AY551" s="197"/>
      <c r="AZ551" s="197"/>
      <c r="BA551" s="197"/>
      <c r="BB551" s="129"/>
      <c r="BC551" s="129"/>
      <c r="BD551" s="129"/>
      <c r="BE551" s="129"/>
      <c r="BF551" s="129"/>
      <c r="BG551" s="129"/>
      <c r="BH551" s="129"/>
      <c r="BI551" s="129"/>
      <c r="BJ551" s="129"/>
      <c r="BK551" s="129"/>
      <c r="BL551" s="129"/>
      <c r="BM551" s="197"/>
    </row>
    <row r="552" spans="1:65" x14ac:dyDescent="0.25">
      <c r="A552" s="121"/>
      <c r="B552" s="121"/>
      <c r="C552" s="172"/>
      <c r="D552" s="46"/>
      <c r="E552" s="46"/>
      <c r="F552" s="54"/>
      <c r="G552" s="54"/>
      <c r="H552" s="54"/>
      <c r="I552" s="54"/>
      <c r="J552" s="54"/>
      <c r="K552" s="54"/>
      <c r="L552" s="54"/>
      <c r="M552" s="54"/>
      <c r="N552" s="54"/>
      <c r="O552" s="54"/>
      <c r="P552" s="54"/>
      <c r="Q552" s="54"/>
      <c r="R552" s="54"/>
      <c r="S552" s="54"/>
      <c r="T552" s="54"/>
      <c r="U552" s="54"/>
      <c r="V552" s="54"/>
      <c r="W552" s="55"/>
      <c r="X552" s="55"/>
      <c r="Y552" s="55"/>
      <c r="Z552" s="55"/>
      <c r="AA552" s="55"/>
      <c r="AB552" s="55"/>
      <c r="AC552" s="55"/>
      <c r="AD552" s="55"/>
      <c r="AE552" s="55"/>
      <c r="AF552" s="55"/>
      <c r="AG552" s="55"/>
      <c r="AH552" s="55"/>
      <c r="AI552" s="54"/>
      <c r="AJ552" s="54"/>
      <c r="AK552" s="54"/>
      <c r="AL552" s="23"/>
      <c r="AM552" s="127"/>
      <c r="AN552" s="127"/>
      <c r="AO552" s="129"/>
      <c r="AP552" s="129"/>
      <c r="AQ552" s="129"/>
      <c r="AR552" s="129"/>
      <c r="AS552" s="129"/>
      <c r="AT552" s="129"/>
      <c r="AU552" s="129"/>
      <c r="AV552" s="129"/>
      <c r="AW552" s="129"/>
      <c r="AX552" s="197"/>
      <c r="AY552" s="197"/>
      <c r="AZ552" s="197"/>
      <c r="BA552" s="197"/>
      <c r="BB552" s="129"/>
      <c r="BC552" s="129"/>
      <c r="BD552" s="129"/>
      <c r="BE552" s="129"/>
      <c r="BF552" s="129"/>
      <c r="BG552" s="129"/>
      <c r="BH552" s="129"/>
      <c r="BI552" s="129"/>
      <c r="BJ552" s="129"/>
      <c r="BK552" s="129"/>
      <c r="BL552" s="129"/>
      <c r="BM552" s="197"/>
    </row>
    <row r="553" spans="1:65" x14ac:dyDescent="0.25">
      <c r="A553" s="121" t="s">
        <v>52</v>
      </c>
      <c r="B553" s="121" t="s">
        <v>22</v>
      </c>
      <c r="C553" s="172" t="s">
        <v>397</v>
      </c>
      <c r="D553" s="161">
        <v>1</v>
      </c>
      <c r="E553" s="29" t="str">
        <f t="shared" ref="E553:E558" si="108">INDEX(ra_ScName,MATCH(D553,ra_ScNumber,0))</f>
        <v>Expected nominal return (incl forecast asset revaluations)</v>
      </c>
      <c r="F553" s="122">
        <v>9981.0630000000001</v>
      </c>
      <c r="G553" s="122">
        <v>12763</v>
      </c>
      <c r="H553" s="122">
        <v>2549.2330000000002</v>
      </c>
      <c r="I553" s="122">
        <v>5076</v>
      </c>
      <c r="J553" s="122">
        <v>14297</v>
      </c>
      <c r="K553" s="122">
        <v>2987</v>
      </c>
      <c r="L553" s="122">
        <v>2605.6147400000004</v>
      </c>
      <c r="M553" s="122">
        <v>1238.6400000000001</v>
      </c>
      <c r="N553" s="122">
        <v>5287.6619658333329</v>
      </c>
      <c r="O553" s="122">
        <v>5314</v>
      </c>
      <c r="P553" s="122">
        <v>63656</v>
      </c>
      <c r="Q553" s="122">
        <v>6682.0266626839202</v>
      </c>
      <c r="R553" s="122">
        <v>6452.6577421020011</v>
      </c>
      <c r="S553" s="122">
        <v>35298.5557900001</v>
      </c>
      <c r="T553" s="122">
        <v>131577</v>
      </c>
      <c r="U553" s="122">
        <v>34983.747447013942</v>
      </c>
      <c r="V553" s="54"/>
      <c r="W553" s="54"/>
      <c r="X553" s="54"/>
      <c r="Y553" s="54"/>
      <c r="Z553" s="54"/>
      <c r="AA553" s="54"/>
      <c r="AB553" s="54"/>
      <c r="AC553" s="54"/>
      <c r="AD553" s="54"/>
      <c r="AE553" s="54"/>
      <c r="AF553" s="54"/>
      <c r="AG553" s="54"/>
      <c r="AH553" s="54"/>
      <c r="AI553" s="117">
        <f t="shared" ref="AI553:AI558" si="109">SUM(F553:AH553)</f>
        <v>340749.20034763333</v>
      </c>
      <c r="AJ553" s="117">
        <f t="shared" ref="AJ553:AJ558" si="110">SUM(F553:U553)</f>
        <v>340749.20034763333</v>
      </c>
      <c r="AK553" s="117">
        <f t="shared" ref="AK553:AK558" si="111">SUM(W553:AH553)</f>
        <v>0</v>
      </c>
      <c r="AL553" s="23"/>
      <c r="AM553" s="127" t="b">
        <f t="shared" ref="AM553:AM558" si="112">IF(INDEX($AO553:$BM553,0,$F$14)=1,TRUE,FALSE)</f>
        <v>0</v>
      </c>
      <c r="AN553" s="127" t="str">
        <f t="shared" ref="AN553:AN558" si="113">IF(AM553,A553&amp;", "&amp;B553,"")</f>
        <v/>
      </c>
      <c r="AO553" s="129">
        <v>1</v>
      </c>
      <c r="AP553" s="129">
        <v>1</v>
      </c>
      <c r="AQ553" s="129">
        <v>1</v>
      </c>
      <c r="AR553" s="129"/>
      <c r="AS553" s="129"/>
      <c r="AT553" s="129"/>
      <c r="AU553" s="129"/>
      <c r="AV553" s="129"/>
      <c r="AW553" s="129"/>
      <c r="AX553" s="197"/>
      <c r="AY553" s="197"/>
      <c r="AZ553" s="197"/>
      <c r="BA553" s="197">
        <v>1</v>
      </c>
      <c r="BB553" s="129">
        <v>1</v>
      </c>
      <c r="BC553" s="129">
        <v>1</v>
      </c>
      <c r="BD553" s="129">
        <v>1</v>
      </c>
      <c r="BE553" s="129">
        <v>1</v>
      </c>
      <c r="BF553" s="129">
        <v>1</v>
      </c>
      <c r="BG553" s="129">
        <v>1</v>
      </c>
      <c r="BH553" s="129">
        <v>1</v>
      </c>
      <c r="BI553" s="129">
        <v>1</v>
      </c>
      <c r="BJ553" s="129">
        <v>1</v>
      </c>
      <c r="BK553" s="129">
        <v>1</v>
      </c>
      <c r="BL553" s="129"/>
      <c r="BM553" s="197"/>
    </row>
    <row r="554" spans="1:65" x14ac:dyDescent="0.25">
      <c r="A554" s="121" t="s">
        <v>52</v>
      </c>
      <c r="B554" s="121" t="s">
        <v>23</v>
      </c>
      <c r="C554" s="172" t="s">
        <v>397</v>
      </c>
      <c r="D554" s="161">
        <v>1</v>
      </c>
      <c r="E554" s="29" t="str">
        <f t="shared" si="108"/>
        <v>Expected nominal return (incl forecast asset revaluations)</v>
      </c>
      <c r="F554" s="122">
        <v>24098.562386393281</v>
      </c>
      <c r="G554" s="122">
        <v>20042.885055280214</v>
      </c>
      <c r="H554" s="122">
        <v>5870.1685608770731</v>
      </c>
      <c r="I554" s="122">
        <v>5502.0491620030361</v>
      </c>
      <c r="J554" s="122">
        <v>12717.914741623148</v>
      </c>
      <c r="K554" s="122">
        <v>4091.6191989586155</v>
      </c>
      <c r="L554" s="122">
        <v>5968.5635313681105</v>
      </c>
      <c r="M554" s="122">
        <v>6159.2162954699461</v>
      </c>
      <c r="N554" s="122">
        <v>8689.345789854653</v>
      </c>
      <c r="O554" s="122">
        <v>9617.8194802400612</v>
      </c>
      <c r="P554" s="122">
        <v>74280.581309136454</v>
      </c>
      <c r="Q554" s="122">
        <v>8464.4550466451528</v>
      </c>
      <c r="R554" s="122">
        <v>14732.131195583452</v>
      </c>
      <c r="S554" s="122">
        <v>37377.616039839086</v>
      </c>
      <c r="T554" s="122">
        <v>120019.6282933935</v>
      </c>
      <c r="U554" s="122">
        <v>28280.380597409297</v>
      </c>
      <c r="V554" s="54"/>
      <c r="W554" s="54"/>
      <c r="X554" s="54"/>
      <c r="Y554" s="54"/>
      <c r="Z554" s="54"/>
      <c r="AA554" s="54"/>
      <c r="AB554" s="54"/>
      <c r="AC554" s="54"/>
      <c r="AD554" s="54"/>
      <c r="AE554" s="54"/>
      <c r="AF554" s="54"/>
      <c r="AG554" s="54"/>
      <c r="AH554" s="54"/>
      <c r="AI554" s="117">
        <f t="shared" si="109"/>
        <v>385912.93668407504</v>
      </c>
      <c r="AJ554" s="117">
        <f t="shared" si="110"/>
        <v>385912.93668407504</v>
      </c>
      <c r="AK554" s="117">
        <f t="shared" si="111"/>
        <v>0</v>
      </c>
      <c r="AL554" s="23"/>
      <c r="AM554" s="127" t="b">
        <f t="shared" si="112"/>
        <v>0</v>
      </c>
      <c r="AN554" s="127" t="str">
        <f t="shared" si="113"/>
        <v/>
      </c>
      <c r="AO554" s="129">
        <v>1</v>
      </c>
      <c r="AP554" s="129">
        <v>1</v>
      </c>
      <c r="AQ554" s="129">
        <v>1</v>
      </c>
      <c r="AR554" s="129"/>
      <c r="AS554" s="129"/>
      <c r="AT554" s="129"/>
      <c r="AU554" s="129"/>
      <c r="AV554" s="129"/>
      <c r="AW554" s="129"/>
      <c r="AX554" s="197"/>
      <c r="AY554" s="197"/>
      <c r="AZ554" s="197"/>
      <c r="BA554" s="197">
        <v>1</v>
      </c>
      <c r="BB554" s="129">
        <v>1</v>
      </c>
      <c r="BC554" s="129">
        <v>1</v>
      </c>
      <c r="BD554" s="129">
        <v>1</v>
      </c>
      <c r="BE554" s="129">
        <v>1</v>
      </c>
      <c r="BF554" s="129">
        <v>1</v>
      </c>
      <c r="BG554" s="129">
        <v>1</v>
      </c>
      <c r="BH554" s="129">
        <v>1</v>
      </c>
      <c r="BI554" s="129">
        <v>1</v>
      </c>
      <c r="BJ554" s="129">
        <v>1</v>
      </c>
      <c r="BK554" s="129">
        <v>1</v>
      </c>
      <c r="BL554" s="129"/>
      <c r="BM554" s="197"/>
    </row>
    <row r="555" spans="1:65" x14ac:dyDescent="0.25">
      <c r="A555" s="121" t="s">
        <v>52</v>
      </c>
      <c r="B555" s="121" t="s">
        <v>24</v>
      </c>
      <c r="C555" s="172" t="s">
        <v>397</v>
      </c>
      <c r="D555" s="161">
        <v>1</v>
      </c>
      <c r="E555" s="29" t="str">
        <f t="shared" si="108"/>
        <v>Expected nominal return (incl forecast asset revaluations)</v>
      </c>
      <c r="F555" s="122">
        <v>22169.397532783973</v>
      </c>
      <c r="G555" s="122">
        <v>20562.093785741519</v>
      </c>
      <c r="H555" s="122">
        <v>3012.9462199141931</v>
      </c>
      <c r="I555" s="122">
        <v>5888.9763292164389</v>
      </c>
      <c r="J555" s="122">
        <v>16295.628119961755</v>
      </c>
      <c r="K555" s="122">
        <v>3617.957498056554</v>
      </c>
      <c r="L555" s="122">
        <v>6120.5089735613219</v>
      </c>
      <c r="M555" s="122">
        <v>6343.2496365325369</v>
      </c>
      <c r="N555" s="122">
        <v>7625.3990827172902</v>
      </c>
      <c r="O555" s="122">
        <v>9875.5356247567215</v>
      </c>
      <c r="P555" s="122">
        <v>75122.705226785518</v>
      </c>
      <c r="Q555" s="122">
        <v>8018.6955095262529</v>
      </c>
      <c r="R555" s="122">
        <v>16509.790306497922</v>
      </c>
      <c r="S555" s="122">
        <v>46485.646740188371</v>
      </c>
      <c r="T555" s="122">
        <v>131068.61044637936</v>
      </c>
      <c r="U555" s="122">
        <v>31549.758588266071</v>
      </c>
      <c r="V555" s="54"/>
      <c r="W555" s="54"/>
      <c r="X555" s="54"/>
      <c r="Y555" s="54"/>
      <c r="Z555" s="54"/>
      <c r="AA555" s="54"/>
      <c r="AB555" s="54"/>
      <c r="AC555" s="54"/>
      <c r="AD555" s="54"/>
      <c r="AE555" s="54"/>
      <c r="AF555" s="54"/>
      <c r="AG555" s="54"/>
      <c r="AH555" s="54"/>
      <c r="AI555" s="117">
        <f t="shared" si="109"/>
        <v>410266.89962088579</v>
      </c>
      <c r="AJ555" s="117">
        <f t="shared" si="110"/>
        <v>410266.89962088579</v>
      </c>
      <c r="AK555" s="117">
        <f t="shared" si="111"/>
        <v>0</v>
      </c>
      <c r="AL555" s="23"/>
      <c r="AM555" s="127" t="b">
        <f t="shared" si="112"/>
        <v>0</v>
      </c>
      <c r="AN555" s="127" t="str">
        <f t="shared" si="113"/>
        <v/>
      </c>
      <c r="AO555" s="129">
        <v>1</v>
      </c>
      <c r="AP555" s="129">
        <v>1</v>
      </c>
      <c r="AQ555" s="129">
        <v>1</v>
      </c>
      <c r="AR555" s="129"/>
      <c r="AS555" s="129"/>
      <c r="AT555" s="129"/>
      <c r="AU555" s="129"/>
      <c r="AV555" s="129"/>
      <c r="AW555" s="129"/>
      <c r="AX555" s="197"/>
      <c r="AY555" s="197"/>
      <c r="AZ555" s="197"/>
      <c r="BA555" s="197">
        <v>1</v>
      </c>
      <c r="BB555" s="129">
        <v>1</v>
      </c>
      <c r="BC555" s="129">
        <v>1</v>
      </c>
      <c r="BD555" s="129">
        <v>1</v>
      </c>
      <c r="BE555" s="129">
        <v>1</v>
      </c>
      <c r="BF555" s="129">
        <v>1</v>
      </c>
      <c r="BG555" s="129">
        <v>1</v>
      </c>
      <c r="BH555" s="129">
        <v>1</v>
      </c>
      <c r="BI555" s="129">
        <v>1</v>
      </c>
      <c r="BJ555" s="129">
        <v>1</v>
      </c>
      <c r="BK555" s="129">
        <v>1</v>
      </c>
      <c r="BL555" s="129"/>
      <c r="BM555" s="197"/>
    </row>
    <row r="556" spans="1:65" x14ac:dyDescent="0.25">
      <c r="A556" s="121" t="s">
        <v>52</v>
      </c>
      <c r="B556" s="121" t="s">
        <v>25</v>
      </c>
      <c r="C556" s="172" t="s">
        <v>397</v>
      </c>
      <c r="D556" s="161">
        <v>1</v>
      </c>
      <c r="E556" s="29" t="str">
        <f t="shared" si="108"/>
        <v>Expected nominal return (incl forecast asset revaluations)</v>
      </c>
      <c r="F556" s="122">
        <v>29340.295849899445</v>
      </c>
      <c r="G556" s="122">
        <v>16741.2435795932</v>
      </c>
      <c r="H556" s="122">
        <v>3811.7571848262128</v>
      </c>
      <c r="I556" s="122">
        <v>5903.3786523138315</v>
      </c>
      <c r="J556" s="122">
        <v>9830.6562620451514</v>
      </c>
      <c r="K556" s="122">
        <v>3552.4395536617048</v>
      </c>
      <c r="L556" s="122">
        <v>5697.1859676173417</v>
      </c>
      <c r="M556" s="122">
        <v>1905.7838145694009</v>
      </c>
      <c r="N556" s="122">
        <v>6390.7832933165973</v>
      </c>
      <c r="O556" s="122">
        <v>10366.171567149242</v>
      </c>
      <c r="P556" s="122">
        <v>77446.054010072083</v>
      </c>
      <c r="Q556" s="122">
        <v>8470.9218723328486</v>
      </c>
      <c r="R556" s="122">
        <v>15560.081308329351</v>
      </c>
      <c r="S556" s="122">
        <v>43654.372986773335</v>
      </c>
      <c r="T556" s="122">
        <v>142882.94195931772</v>
      </c>
      <c r="U556" s="122">
        <v>34608.069409814809</v>
      </c>
      <c r="V556" s="54"/>
      <c r="W556" s="54"/>
      <c r="X556" s="54"/>
      <c r="Y556" s="54"/>
      <c r="Z556" s="54"/>
      <c r="AA556" s="54"/>
      <c r="AB556" s="54"/>
      <c r="AC556" s="54"/>
      <c r="AD556" s="54"/>
      <c r="AE556" s="54"/>
      <c r="AF556" s="54"/>
      <c r="AG556" s="54"/>
      <c r="AH556" s="54"/>
      <c r="AI556" s="117">
        <f t="shared" si="109"/>
        <v>416162.13727163232</v>
      </c>
      <c r="AJ556" s="117">
        <f t="shared" si="110"/>
        <v>416162.13727163232</v>
      </c>
      <c r="AK556" s="117">
        <f t="shared" si="111"/>
        <v>0</v>
      </c>
      <c r="AL556" s="23"/>
      <c r="AM556" s="127" t="b">
        <f t="shared" si="112"/>
        <v>0</v>
      </c>
      <c r="AN556" s="127" t="str">
        <f t="shared" si="113"/>
        <v/>
      </c>
      <c r="AO556" s="129">
        <v>1</v>
      </c>
      <c r="AP556" s="129">
        <v>1</v>
      </c>
      <c r="AQ556" s="129">
        <v>1</v>
      </c>
      <c r="AR556" s="129"/>
      <c r="AS556" s="129"/>
      <c r="AT556" s="129"/>
      <c r="AU556" s="129"/>
      <c r="AV556" s="129"/>
      <c r="AW556" s="129"/>
      <c r="AX556" s="197"/>
      <c r="AY556" s="197"/>
      <c r="AZ556" s="197"/>
      <c r="BA556" s="197">
        <v>1</v>
      </c>
      <c r="BB556" s="129">
        <v>1</v>
      </c>
      <c r="BC556" s="129">
        <v>1</v>
      </c>
      <c r="BD556" s="129">
        <v>1</v>
      </c>
      <c r="BE556" s="129">
        <v>1</v>
      </c>
      <c r="BF556" s="129">
        <v>1</v>
      </c>
      <c r="BG556" s="129">
        <v>1</v>
      </c>
      <c r="BH556" s="129">
        <v>1</v>
      </c>
      <c r="BI556" s="129">
        <v>1</v>
      </c>
      <c r="BJ556" s="129">
        <v>1</v>
      </c>
      <c r="BK556" s="129">
        <v>1</v>
      </c>
      <c r="BL556" s="129"/>
      <c r="BM556" s="197"/>
    </row>
    <row r="557" spans="1:65" x14ac:dyDescent="0.25">
      <c r="A557" s="121" t="s">
        <v>52</v>
      </c>
      <c r="B557" s="121" t="s">
        <v>26</v>
      </c>
      <c r="C557" s="172" t="s">
        <v>397</v>
      </c>
      <c r="D557" s="161">
        <v>1</v>
      </c>
      <c r="E557" s="29" t="str">
        <f t="shared" si="108"/>
        <v>Expected nominal return (incl forecast asset revaluations)</v>
      </c>
      <c r="F557" s="122">
        <v>20179.4801416298</v>
      </c>
      <c r="G557" s="122">
        <v>20639.536135610404</v>
      </c>
      <c r="H557" s="122">
        <v>3206.8712330157809</v>
      </c>
      <c r="I557" s="122">
        <v>5966.4877321646809</v>
      </c>
      <c r="J557" s="122">
        <v>11357.769713785836</v>
      </c>
      <c r="K557" s="122">
        <v>3197.2877557338447</v>
      </c>
      <c r="L557" s="122">
        <v>4435.3833643667494</v>
      </c>
      <c r="M557" s="122">
        <v>1558.4483373156763</v>
      </c>
      <c r="N557" s="122">
        <v>5630.9176752704807</v>
      </c>
      <c r="O557" s="122">
        <v>10310.510041897414</v>
      </c>
      <c r="P557" s="122">
        <v>83478.690800567143</v>
      </c>
      <c r="Q557" s="122">
        <v>9056.877071977322</v>
      </c>
      <c r="R557" s="122">
        <v>15039.273504979865</v>
      </c>
      <c r="S557" s="122">
        <v>46272.300703279623</v>
      </c>
      <c r="T557" s="122">
        <v>152682.845248414</v>
      </c>
      <c r="U557" s="122">
        <v>35230.733512882674</v>
      </c>
      <c r="V557" s="54"/>
      <c r="W557" s="54"/>
      <c r="X557" s="54"/>
      <c r="Y557" s="54"/>
      <c r="Z557" s="54"/>
      <c r="AA557" s="54"/>
      <c r="AB557" s="54"/>
      <c r="AC557" s="54"/>
      <c r="AD557" s="54"/>
      <c r="AE557" s="54"/>
      <c r="AF557" s="54"/>
      <c r="AG557" s="54"/>
      <c r="AH557" s="54"/>
      <c r="AI557" s="117">
        <f t="shared" si="109"/>
        <v>428243.4129728913</v>
      </c>
      <c r="AJ557" s="117">
        <f t="shared" si="110"/>
        <v>428243.4129728913</v>
      </c>
      <c r="AK557" s="117">
        <f t="shared" si="111"/>
        <v>0</v>
      </c>
      <c r="AL557" s="23"/>
      <c r="AM557" s="127" t="b">
        <f t="shared" si="112"/>
        <v>0</v>
      </c>
      <c r="AN557" s="127" t="str">
        <f t="shared" si="113"/>
        <v/>
      </c>
      <c r="AO557" s="129">
        <v>1</v>
      </c>
      <c r="AP557" s="129">
        <v>1</v>
      </c>
      <c r="AQ557" s="129">
        <v>1</v>
      </c>
      <c r="AR557" s="129"/>
      <c r="AS557" s="129"/>
      <c r="AT557" s="129"/>
      <c r="AU557" s="129"/>
      <c r="AV557" s="129"/>
      <c r="AW557" s="129"/>
      <c r="AX557" s="197"/>
      <c r="AY557" s="197"/>
      <c r="AZ557" s="197"/>
      <c r="BA557" s="197">
        <v>1</v>
      </c>
      <c r="BB557" s="129">
        <v>1</v>
      </c>
      <c r="BC557" s="129">
        <v>1</v>
      </c>
      <c r="BD557" s="129">
        <v>1</v>
      </c>
      <c r="BE557" s="129">
        <v>1</v>
      </c>
      <c r="BF557" s="129">
        <v>1</v>
      </c>
      <c r="BG557" s="129">
        <v>1</v>
      </c>
      <c r="BH557" s="129">
        <v>1</v>
      </c>
      <c r="BI557" s="129">
        <v>1</v>
      </c>
      <c r="BJ557" s="129">
        <v>1</v>
      </c>
      <c r="BK557" s="129">
        <v>1</v>
      </c>
      <c r="BL557" s="129"/>
      <c r="BM557" s="197"/>
    </row>
    <row r="558" spans="1:65" x14ac:dyDescent="0.25">
      <c r="A558" s="121" t="s">
        <v>52</v>
      </c>
      <c r="B558" s="121" t="s">
        <v>27</v>
      </c>
      <c r="C558" s="172" t="s">
        <v>397</v>
      </c>
      <c r="D558" s="161">
        <v>1</v>
      </c>
      <c r="E558" s="29" t="str">
        <f t="shared" si="108"/>
        <v>Expected nominal return (incl forecast asset revaluations)</v>
      </c>
      <c r="F558" s="122">
        <v>13595.831009777021</v>
      </c>
      <c r="G558" s="122">
        <v>19592.357033894728</v>
      </c>
      <c r="H558" s="122">
        <v>3451.3129347213116</v>
      </c>
      <c r="I558" s="122">
        <v>6121.6744020007181</v>
      </c>
      <c r="J558" s="122">
        <v>12849.677016437978</v>
      </c>
      <c r="K558" s="122">
        <v>3223.4869778450902</v>
      </c>
      <c r="L558" s="122">
        <v>4705.4786175702502</v>
      </c>
      <c r="M558" s="122">
        <v>1729.7715949268061</v>
      </c>
      <c r="N558" s="122">
        <v>6405.8983114749644</v>
      </c>
      <c r="O558" s="122">
        <v>10184.89598193329</v>
      </c>
      <c r="P558" s="122">
        <v>88065.69384101138</v>
      </c>
      <c r="Q558" s="122">
        <v>8497.6486143962611</v>
      </c>
      <c r="R558" s="122">
        <v>15851.828430961748</v>
      </c>
      <c r="S558" s="122">
        <v>29674.880711567537</v>
      </c>
      <c r="T558" s="122">
        <v>146316.79520482279</v>
      </c>
      <c r="U558" s="122">
        <v>37062.472177288699</v>
      </c>
      <c r="V558" s="54"/>
      <c r="W558" s="54"/>
      <c r="X558" s="54"/>
      <c r="Y558" s="54"/>
      <c r="Z558" s="54"/>
      <c r="AA558" s="54"/>
      <c r="AB558" s="54"/>
      <c r="AC558" s="54"/>
      <c r="AD558" s="54"/>
      <c r="AE558" s="54"/>
      <c r="AF558" s="54"/>
      <c r="AG558" s="54"/>
      <c r="AH558" s="54"/>
      <c r="AI558" s="117">
        <f t="shared" si="109"/>
        <v>407329.70286063058</v>
      </c>
      <c r="AJ558" s="117">
        <f t="shared" si="110"/>
        <v>407329.70286063058</v>
      </c>
      <c r="AK558" s="117">
        <f t="shared" si="111"/>
        <v>0</v>
      </c>
      <c r="AL558" s="23"/>
      <c r="AM558" s="127" t="b">
        <f t="shared" si="112"/>
        <v>0</v>
      </c>
      <c r="AN558" s="127" t="str">
        <f t="shared" si="113"/>
        <v/>
      </c>
      <c r="AO558" s="129">
        <v>1</v>
      </c>
      <c r="AP558" s="129">
        <v>1</v>
      </c>
      <c r="AQ558" s="129">
        <v>1</v>
      </c>
      <c r="AR558" s="129"/>
      <c r="AS558" s="129"/>
      <c r="AT558" s="129"/>
      <c r="AU558" s="129"/>
      <c r="AV558" s="129"/>
      <c r="AW558" s="129"/>
      <c r="AX558" s="197"/>
      <c r="AY558" s="197"/>
      <c r="AZ558" s="197"/>
      <c r="BA558" s="197">
        <v>1</v>
      </c>
      <c r="BB558" s="129">
        <v>1</v>
      </c>
      <c r="BC558" s="129">
        <v>1</v>
      </c>
      <c r="BD558" s="129">
        <v>1</v>
      </c>
      <c r="BE558" s="129">
        <v>1</v>
      </c>
      <c r="BF558" s="129">
        <v>1</v>
      </c>
      <c r="BG558" s="129">
        <v>1</v>
      </c>
      <c r="BH558" s="129">
        <v>1</v>
      </c>
      <c r="BI558" s="129">
        <v>1</v>
      </c>
      <c r="BJ558" s="129">
        <v>1</v>
      </c>
      <c r="BK558" s="129">
        <v>1</v>
      </c>
      <c r="BL558" s="129"/>
      <c r="BM558" s="197"/>
    </row>
    <row r="559" spans="1:65" x14ac:dyDescent="0.25">
      <c r="A559" s="166"/>
      <c r="B559" s="166"/>
      <c r="C559" s="172"/>
      <c r="D559" s="49"/>
      <c r="E559" s="49"/>
      <c r="F559" s="54"/>
      <c r="G559" s="54"/>
      <c r="H559" s="54"/>
      <c r="I559" s="54"/>
      <c r="J559" s="54"/>
      <c r="K559" s="54"/>
      <c r="L559" s="54"/>
      <c r="M559" s="54"/>
      <c r="N559" s="54"/>
      <c r="O559" s="54"/>
      <c r="P559" s="54"/>
      <c r="Q559" s="54"/>
      <c r="R559" s="54"/>
      <c r="S559" s="54"/>
      <c r="T559" s="54"/>
      <c r="U559" s="54"/>
      <c r="V559" s="54"/>
      <c r="W559" s="55"/>
      <c r="X559" s="55"/>
      <c r="Y559" s="55"/>
      <c r="Z559" s="55"/>
      <c r="AA559" s="55"/>
      <c r="AB559" s="55"/>
      <c r="AC559" s="55"/>
      <c r="AD559" s="55"/>
      <c r="AE559" s="55"/>
      <c r="AF559" s="55"/>
      <c r="AG559" s="55"/>
      <c r="AH559" s="55"/>
      <c r="AI559" s="54"/>
      <c r="AJ559" s="54"/>
      <c r="AK559" s="54"/>
      <c r="AL559" s="23"/>
      <c r="AM559" s="127"/>
      <c r="AN559" s="127"/>
      <c r="AO559" s="129"/>
      <c r="AP559" s="129"/>
      <c r="AQ559" s="129"/>
      <c r="AR559" s="129"/>
      <c r="AS559" s="129"/>
      <c r="AT559" s="129"/>
      <c r="AU559" s="129"/>
      <c r="AV559" s="129"/>
      <c r="AW559" s="129"/>
      <c r="AX559" s="197"/>
      <c r="AY559" s="197"/>
      <c r="AZ559" s="197"/>
      <c r="BA559" s="197"/>
      <c r="BB559" s="129"/>
      <c r="BC559" s="129"/>
      <c r="BD559" s="129"/>
      <c r="BE559" s="129"/>
      <c r="BF559" s="129"/>
      <c r="BG559" s="129"/>
      <c r="BH559" s="129"/>
      <c r="BI559" s="129"/>
      <c r="BJ559" s="129"/>
      <c r="BK559" s="129"/>
      <c r="BL559" s="129"/>
      <c r="BM559" s="197"/>
    </row>
    <row r="560" spans="1:65" x14ac:dyDescent="0.25">
      <c r="A560" s="166"/>
      <c r="B560" s="166"/>
      <c r="C560" s="172"/>
      <c r="D560" s="46"/>
      <c r="E560" s="46"/>
      <c r="F560" s="54"/>
      <c r="G560" s="54"/>
      <c r="H560" s="54"/>
      <c r="I560" s="54"/>
      <c r="J560" s="54"/>
      <c r="K560" s="54"/>
      <c r="L560" s="54"/>
      <c r="M560" s="54"/>
      <c r="N560" s="54"/>
      <c r="O560" s="54"/>
      <c r="P560" s="54"/>
      <c r="Q560" s="54"/>
      <c r="R560" s="54"/>
      <c r="S560" s="54"/>
      <c r="T560" s="54"/>
      <c r="U560" s="54"/>
      <c r="V560" s="54"/>
      <c r="W560" s="55"/>
      <c r="X560" s="55"/>
      <c r="Y560" s="55"/>
      <c r="Z560" s="55"/>
      <c r="AA560" s="55"/>
      <c r="AB560" s="55"/>
      <c r="AC560" s="55"/>
      <c r="AD560" s="55"/>
      <c r="AE560" s="55"/>
      <c r="AF560" s="55"/>
      <c r="AG560" s="55"/>
      <c r="AH560" s="55"/>
      <c r="AI560" s="54"/>
      <c r="AJ560" s="54"/>
      <c r="AK560" s="54"/>
      <c r="AL560" s="23"/>
      <c r="AM560" s="127"/>
      <c r="AN560" s="127"/>
      <c r="AO560" s="129"/>
      <c r="AP560" s="129"/>
      <c r="AQ560" s="129"/>
      <c r="AR560" s="129"/>
      <c r="AS560" s="129"/>
      <c r="AT560" s="129"/>
      <c r="AU560" s="129"/>
      <c r="AV560" s="129"/>
      <c r="AW560" s="129"/>
      <c r="AX560" s="197"/>
      <c r="AY560" s="197"/>
      <c r="AZ560" s="197"/>
      <c r="BA560" s="197"/>
      <c r="BB560" s="129"/>
      <c r="BC560" s="129"/>
      <c r="BD560" s="129"/>
      <c r="BE560" s="129"/>
      <c r="BF560" s="129"/>
      <c r="BG560" s="129"/>
      <c r="BH560" s="129"/>
      <c r="BI560" s="129"/>
      <c r="BJ560" s="129"/>
      <c r="BK560" s="129"/>
      <c r="BL560" s="129"/>
      <c r="BM560" s="197"/>
    </row>
    <row r="561" spans="1:65" x14ac:dyDescent="0.25">
      <c r="A561" s="166" t="s">
        <v>52</v>
      </c>
      <c r="B561" s="166" t="s">
        <v>22</v>
      </c>
      <c r="C561" s="178" t="s">
        <v>211</v>
      </c>
      <c r="D561" s="161">
        <v>4</v>
      </c>
      <c r="E561" s="29" t="str">
        <f t="shared" ref="E561:E566" si="114">INDEX(ra_ScName,MATCH(D561,ra_ScNumber,0))</f>
        <v>Net additions prior to 1 April 2012</v>
      </c>
      <c r="F561" s="122">
        <v>6457.0630000000001</v>
      </c>
      <c r="G561" s="122">
        <v>13308</v>
      </c>
      <c r="H561" s="122">
        <v>2614.8901999999998</v>
      </c>
      <c r="I561" s="122">
        <v>5370.6186899999984</v>
      </c>
      <c r="J561" s="122">
        <v>14297</v>
      </c>
      <c r="K561" s="122">
        <v>2986.12</v>
      </c>
      <c r="L561" s="122">
        <v>2198.657356993906</v>
      </c>
      <c r="M561" s="122">
        <v>1238</v>
      </c>
      <c r="N561" s="122">
        <v>4312</v>
      </c>
      <c r="O561" s="122">
        <v>5190</v>
      </c>
      <c r="P561" s="122">
        <v>62490</v>
      </c>
      <c r="Q561" s="122">
        <v>7231</v>
      </c>
      <c r="R561" s="122">
        <v>6453</v>
      </c>
      <c r="S561" s="122">
        <v>35310.843480000047</v>
      </c>
      <c r="T561" s="122">
        <v>131577</v>
      </c>
      <c r="U561" s="122">
        <v>34579.168048745778</v>
      </c>
      <c r="V561" s="54"/>
      <c r="W561" s="54"/>
      <c r="X561" s="54"/>
      <c r="Y561" s="54"/>
      <c r="Z561" s="54"/>
      <c r="AA561" s="54"/>
      <c r="AB561" s="54"/>
      <c r="AC561" s="54"/>
      <c r="AD561" s="54"/>
      <c r="AE561" s="54"/>
      <c r="AF561" s="54"/>
      <c r="AG561" s="54"/>
      <c r="AH561" s="54"/>
      <c r="AI561" s="117">
        <f t="shared" ref="AI561:AI566" si="115">SUM(F561:AH561)</f>
        <v>335613.36077573971</v>
      </c>
      <c r="AJ561" s="117">
        <f t="shared" ref="AJ561:AJ566" si="116">SUM(F561:U561)</f>
        <v>335613.36077573971</v>
      </c>
      <c r="AK561" s="117">
        <f t="shared" ref="AK561:AK566" si="117">SUM(W561:AH561)</f>
        <v>0</v>
      </c>
      <c r="AL561" s="23"/>
      <c r="AM561" s="127" t="b">
        <f t="shared" ref="AM561:AM566" si="118">IF(INDEX($AO561:$BM561,0,$F$14)=1,TRUE,FALSE)</f>
        <v>0</v>
      </c>
      <c r="AN561" s="127" t="str">
        <f t="shared" ref="AN561:AN566" si="119">IF(AM561,A561&amp;", "&amp;B561,"")</f>
        <v/>
      </c>
      <c r="AO561" s="129"/>
      <c r="AP561" s="129"/>
      <c r="AQ561" s="129"/>
      <c r="AR561" s="129">
        <v>1</v>
      </c>
      <c r="AS561" s="129"/>
      <c r="AT561" s="129"/>
      <c r="AU561" s="129"/>
      <c r="AV561" s="129"/>
      <c r="AW561" s="129"/>
      <c r="AX561" s="197"/>
      <c r="AY561" s="197"/>
      <c r="AZ561" s="197"/>
      <c r="BA561" s="197"/>
      <c r="BB561" s="129"/>
      <c r="BC561" s="129"/>
      <c r="BD561" s="129"/>
      <c r="BE561" s="129"/>
      <c r="BF561" s="129"/>
      <c r="BG561" s="129"/>
      <c r="BH561" s="129"/>
      <c r="BI561" s="129"/>
      <c r="BJ561" s="129"/>
      <c r="BK561" s="129"/>
      <c r="BL561" s="129"/>
      <c r="BM561" s="197"/>
    </row>
    <row r="562" spans="1:65" x14ac:dyDescent="0.25">
      <c r="A562" s="166" t="s">
        <v>52</v>
      </c>
      <c r="B562" s="166" t="s">
        <v>23</v>
      </c>
      <c r="C562" s="172" t="s">
        <v>211</v>
      </c>
      <c r="D562" s="161">
        <v>4</v>
      </c>
      <c r="E562" s="29" t="str">
        <f t="shared" si="114"/>
        <v>Net additions prior to 1 April 2012</v>
      </c>
      <c r="F562" s="122">
        <v>10258.097</v>
      </c>
      <c r="G562" s="122">
        <v>16369</v>
      </c>
      <c r="H562" s="122">
        <v>7328.3897299999999</v>
      </c>
      <c r="I562" s="122">
        <v>5847.5765900000006</v>
      </c>
      <c r="J562" s="122">
        <v>17595</v>
      </c>
      <c r="K562" s="122">
        <v>2629.1</v>
      </c>
      <c r="L562" s="122">
        <v>4228.7660718014849</v>
      </c>
      <c r="M562" s="122">
        <v>2093</v>
      </c>
      <c r="N562" s="122">
        <v>5710</v>
      </c>
      <c r="O562" s="122">
        <v>7321</v>
      </c>
      <c r="P562" s="122">
        <v>69224</v>
      </c>
      <c r="Q562" s="122">
        <v>6676</v>
      </c>
      <c r="R562" s="122">
        <v>10582</v>
      </c>
      <c r="S562" s="122">
        <v>31589.28295999999</v>
      </c>
      <c r="T562" s="122">
        <v>121346</v>
      </c>
      <c r="U562" s="122">
        <v>21184.753865854698</v>
      </c>
      <c r="V562" s="54"/>
      <c r="W562" s="54"/>
      <c r="X562" s="54"/>
      <c r="Y562" s="54"/>
      <c r="Z562" s="54"/>
      <c r="AA562" s="54"/>
      <c r="AB562" s="54"/>
      <c r="AC562" s="54"/>
      <c r="AD562" s="54"/>
      <c r="AE562" s="54"/>
      <c r="AF562" s="54"/>
      <c r="AG562" s="54"/>
      <c r="AH562" s="54"/>
      <c r="AI562" s="117">
        <f t="shared" si="115"/>
        <v>339981.96621765615</v>
      </c>
      <c r="AJ562" s="117">
        <f t="shared" si="116"/>
        <v>339981.96621765615</v>
      </c>
      <c r="AK562" s="117">
        <f t="shared" si="117"/>
        <v>0</v>
      </c>
      <c r="AL562" s="23"/>
      <c r="AM562" s="127" t="b">
        <f t="shared" si="118"/>
        <v>0</v>
      </c>
      <c r="AN562" s="127" t="str">
        <f t="shared" si="119"/>
        <v/>
      </c>
      <c r="AO562" s="129"/>
      <c r="AP562" s="129"/>
      <c r="AQ562" s="129"/>
      <c r="AR562" s="129">
        <v>1</v>
      </c>
      <c r="AS562" s="129"/>
      <c r="AT562" s="129"/>
      <c r="AU562" s="129"/>
      <c r="AV562" s="129"/>
      <c r="AW562" s="129"/>
      <c r="AX562" s="197"/>
      <c r="AY562" s="197"/>
      <c r="AZ562" s="197"/>
      <c r="BA562" s="197"/>
      <c r="BB562" s="129"/>
      <c r="BC562" s="129"/>
      <c r="BD562" s="129"/>
      <c r="BE562" s="129"/>
      <c r="BF562" s="129"/>
      <c r="BG562" s="129"/>
      <c r="BH562" s="129"/>
      <c r="BI562" s="129"/>
      <c r="BJ562" s="129"/>
      <c r="BK562" s="129"/>
      <c r="BL562" s="129"/>
      <c r="BM562" s="197"/>
    </row>
    <row r="563" spans="1:65" x14ac:dyDescent="0.25">
      <c r="A563" s="166" t="s">
        <v>52</v>
      </c>
      <c r="B563" s="166" t="s">
        <v>24</v>
      </c>
      <c r="C563" s="172" t="s">
        <v>211</v>
      </c>
      <c r="D563" s="161">
        <v>4</v>
      </c>
      <c r="E563" s="29" t="str">
        <f t="shared" si="114"/>
        <v>Net additions prior to 1 April 2012</v>
      </c>
      <c r="F563" s="122">
        <v>7906.7193300000008</v>
      </c>
      <c r="G563" s="122">
        <v>12735</v>
      </c>
      <c r="H563" s="122">
        <v>2738.34449</v>
      </c>
      <c r="I563" s="122">
        <v>5163.2504199999948</v>
      </c>
      <c r="J563" s="122">
        <v>12490</v>
      </c>
      <c r="K563" s="122">
        <v>3145</v>
      </c>
      <c r="L563" s="122">
        <v>3975.9073479345429</v>
      </c>
      <c r="M563" s="122">
        <v>922</v>
      </c>
      <c r="N563" s="122">
        <v>3101</v>
      </c>
      <c r="O563" s="122">
        <v>6029.5</v>
      </c>
      <c r="P563" s="122">
        <v>66670</v>
      </c>
      <c r="Q563" s="122">
        <v>8815</v>
      </c>
      <c r="R563" s="122">
        <v>13734</v>
      </c>
      <c r="S563" s="122">
        <v>21590.128889999989</v>
      </c>
      <c r="T563" s="122">
        <v>102442</v>
      </c>
      <c r="U563" s="122">
        <v>15692</v>
      </c>
      <c r="V563" s="54"/>
      <c r="W563" s="54"/>
      <c r="X563" s="54"/>
      <c r="Y563" s="54"/>
      <c r="Z563" s="54"/>
      <c r="AA563" s="54"/>
      <c r="AB563" s="54"/>
      <c r="AC563" s="54"/>
      <c r="AD563" s="54"/>
      <c r="AE563" s="54"/>
      <c r="AF563" s="54"/>
      <c r="AG563" s="54"/>
      <c r="AH563" s="54"/>
      <c r="AI563" s="117">
        <f t="shared" si="115"/>
        <v>287149.85047793452</v>
      </c>
      <c r="AJ563" s="117">
        <f t="shared" si="116"/>
        <v>287149.85047793452</v>
      </c>
      <c r="AK563" s="117">
        <f t="shared" si="117"/>
        <v>0</v>
      </c>
      <c r="AL563" s="23"/>
      <c r="AM563" s="127" t="b">
        <f t="shared" si="118"/>
        <v>0</v>
      </c>
      <c r="AN563" s="127" t="str">
        <f t="shared" si="119"/>
        <v/>
      </c>
      <c r="AO563" s="129"/>
      <c r="AP563" s="129"/>
      <c r="AQ563" s="129"/>
      <c r="AR563" s="129">
        <v>1</v>
      </c>
      <c r="AS563" s="129"/>
      <c r="AT563" s="129"/>
      <c r="AU563" s="129"/>
      <c r="AV563" s="129"/>
      <c r="AW563" s="129"/>
      <c r="AX563" s="197"/>
      <c r="AY563" s="197"/>
      <c r="AZ563" s="197"/>
      <c r="BA563" s="197"/>
      <c r="BB563" s="129"/>
      <c r="BC563" s="129"/>
      <c r="BD563" s="129"/>
      <c r="BE563" s="129"/>
      <c r="BF563" s="129"/>
      <c r="BG563" s="129"/>
      <c r="BH563" s="129"/>
      <c r="BI563" s="129"/>
      <c r="BJ563" s="129"/>
      <c r="BK563" s="129"/>
      <c r="BL563" s="129"/>
      <c r="BM563" s="197"/>
    </row>
    <row r="564" spans="1:65" x14ac:dyDescent="0.25">
      <c r="A564" s="166" t="s">
        <v>52</v>
      </c>
      <c r="B564" s="166" t="s">
        <v>25</v>
      </c>
      <c r="C564" s="172" t="s">
        <v>397</v>
      </c>
      <c r="D564" s="161">
        <v>4</v>
      </c>
      <c r="E564" s="29" t="str">
        <f t="shared" si="114"/>
        <v>Net additions prior to 1 April 2012</v>
      </c>
      <c r="F564" s="122">
        <v>29340.295849899445</v>
      </c>
      <c r="G564" s="122">
        <v>16741.2435795932</v>
      </c>
      <c r="H564" s="122">
        <v>3811.7571848262128</v>
      </c>
      <c r="I564" s="122">
        <v>5903.3786523138315</v>
      </c>
      <c r="J564" s="122">
        <v>9830.6562620451514</v>
      </c>
      <c r="K564" s="122">
        <v>3552.4395536617048</v>
      </c>
      <c r="L564" s="122">
        <v>5697.1859676173417</v>
      </c>
      <c r="M564" s="122">
        <v>1905.7838145694009</v>
      </c>
      <c r="N564" s="122">
        <v>6390.7832933165973</v>
      </c>
      <c r="O564" s="122">
        <v>10366.171567149242</v>
      </c>
      <c r="P564" s="122">
        <v>77446.054010072083</v>
      </c>
      <c r="Q564" s="122">
        <v>8470.9218723328486</v>
      </c>
      <c r="R564" s="122">
        <v>15560.081308329351</v>
      </c>
      <c r="S564" s="122">
        <v>43654.372986773335</v>
      </c>
      <c r="T564" s="122">
        <v>142882.94195931772</v>
      </c>
      <c r="U564" s="122">
        <v>34608.069409814809</v>
      </c>
      <c r="V564" s="54"/>
      <c r="W564" s="54"/>
      <c r="X564" s="54"/>
      <c r="Y564" s="54"/>
      <c r="Z564" s="54"/>
      <c r="AA564" s="54"/>
      <c r="AB564" s="54"/>
      <c r="AC564" s="54"/>
      <c r="AD564" s="54"/>
      <c r="AE564" s="54"/>
      <c r="AF564" s="54"/>
      <c r="AG564" s="54"/>
      <c r="AH564" s="54"/>
      <c r="AI564" s="117">
        <f t="shared" si="115"/>
        <v>416162.13727163232</v>
      </c>
      <c r="AJ564" s="117">
        <f t="shared" si="116"/>
        <v>416162.13727163232</v>
      </c>
      <c r="AK564" s="117">
        <f t="shared" si="117"/>
        <v>0</v>
      </c>
      <c r="AL564" s="23"/>
      <c r="AM564" s="127" t="b">
        <f t="shared" si="118"/>
        <v>0</v>
      </c>
      <c r="AN564" s="127" t="str">
        <f t="shared" si="119"/>
        <v/>
      </c>
      <c r="AO564" s="129"/>
      <c r="AP564" s="129"/>
      <c r="AQ564" s="129"/>
      <c r="AR564" s="129">
        <v>1</v>
      </c>
      <c r="AS564" s="129"/>
      <c r="AT564" s="129"/>
      <c r="AU564" s="129"/>
      <c r="AV564" s="129"/>
      <c r="AW564" s="129"/>
      <c r="AX564" s="197"/>
      <c r="AY564" s="197"/>
      <c r="AZ564" s="197"/>
      <c r="BA564" s="197"/>
      <c r="BB564" s="129"/>
      <c r="BC564" s="129"/>
      <c r="BD564" s="129"/>
      <c r="BE564" s="129"/>
      <c r="BF564" s="129"/>
      <c r="BG564" s="129"/>
      <c r="BH564" s="129"/>
      <c r="BI564" s="129"/>
      <c r="BJ564" s="129"/>
      <c r="BK564" s="129"/>
      <c r="BL564" s="129"/>
      <c r="BM564" s="197"/>
    </row>
    <row r="565" spans="1:65" x14ac:dyDescent="0.25">
      <c r="A565" s="166" t="s">
        <v>52</v>
      </c>
      <c r="B565" s="166" t="s">
        <v>26</v>
      </c>
      <c r="C565" s="172" t="s">
        <v>397</v>
      </c>
      <c r="D565" s="161">
        <v>4</v>
      </c>
      <c r="E565" s="29" t="str">
        <f t="shared" si="114"/>
        <v>Net additions prior to 1 April 2012</v>
      </c>
      <c r="F565" s="122">
        <v>20179.4801416298</v>
      </c>
      <c r="G565" s="122">
        <v>20639.536135610404</v>
      </c>
      <c r="H565" s="122">
        <v>3206.8712330157809</v>
      </c>
      <c r="I565" s="122">
        <v>5966.4877321646809</v>
      </c>
      <c r="J565" s="122">
        <v>11357.769713785836</v>
      </c>
      <c r="K565" s="122">
        <v>3197.2877557338447</v>
      </c>
      <c r="L565" s="122">
        <v>4435.3833643667494</v>
      </c>
      <c r="M565" s="122">
        <v>1558.4483373156763</v>
      </c>
      <c r="N565" s="122">
        <v>5630.9176752704807</v>
      </c>
      <c r="O565" s="122">
        <v>10310.510041897414</v>
      </c>
      <c r="P565" s="122">
        <v>83478.690800567143</v>
      </c>
      <c r="Q565" s="122">
        <v>9056.877071977322</v>
      </c>
      <c r="R565" s="122">
        <v>15039.273504979865</v>
      </c>
      <c r="S565" s="122">
        <v>46272.300703279623</v>
      </c>
      <c r="T565" s="122">
        <v>152682.845248414</v>
      </c>
      <c r="U565" s="122">
        <v>35230.733512882674</v>
      </c>
      <c r="V565" s="54"/>
      <c r="W565" s="54"/>
      <c r="X565" s="54"/>
      <c r="Y565" s="54"/>
      <c r="Z565" s="54"/>
      <c r="AA565" s="54"/>
      <c r="AB565" s="54"/>
      <c r="AC565" s="54"/>
      <c r="AD565" s="54"/>
      <c r="AE565" s="54"/>
      <c r="AF565" s="54"/>
      <c r="AG565" s="54"/>
      <c r="AH565" s="54"/>
      <c r="AI565" s="117">
        <f t="shared" si="115"/>
        <v>428243.4129728913</v>
      </c>
      <c r="AJ565" s="117">
        <f t="shared" si="116"/>
        <v>428243.4129728913</v>
      </c>
      <c r="AK565" s="117">
        <f t="shared" si="117"/>
        <v>0</v>
      </c>
      <c r="AL565" s="23"/>
      <c r="AM565" s="127" t="b">
        <f t="shared" si="118"/>
        <v>0</v>
      </c>
      <c r="AN565" s="127" t="str">
        <f t="shared" si="119"/>
        <v/>
      </c>
      <c r="AO565" s="129"/>
      <c r="AP565" s="129"/>
      <c r="AQ565" s="129"/>
      <c r="AR565" s="129">
        <v>1</v>
      </c>
      <c r="AS565" s="129"/>
      <c r="AT565" s="129"/>
      <c r="AU565" s="129"/>
      <c r="AV565" s="129"/>
      <c r="AW565" s="129"/>
      <c r="AX565" s="197"/>
      <c r="AY565" s="197"/>
      <c r="AZ565" s="197"/>
      <c r="BA565" s="197"/>
      <c r="BB565" s="129"/>
      <c r="BC565" s="129"/>
      <c r="BD565" s="129"/>
      <c r="BE565" s="129"/>
      <c r="BF565" s="129"/>
      <c r="BG565" s="129"/>
      <c r="BH565" s="129"/>
      <c r="BI565" s="129"/>
      <c r="BJ565" s="129"/>
      <c r="BK565" s="129"/>
      <c r="BL565" s="129"/>
      <c r="BM565" s="197"/>
    </row>
    <row r="566" spans="1:65" x14ac:dyDescent="0.25">
      <c r="A566" s="166" t="s">
        <v>52</v>
      </c>
      <c r="B566" s="166" t="s">
        <v>27</v>
      </c>
      <c r="C566" s="172" t="s">
        <v>397</v>
      </c>
      <c r="D566" s="161">
        <v>4</v>
      </c>
      <c r="E566" s="29" t="str">
        <f t="shared" si="114"/>
        <v>Net additions prior to 1 April 2012</v>
      </c>
      <c r="F566" s="122">
        <v>13595.831009777021</v>
      </c>
      <c r="G566" s="122">
        <v>19592.357033894728</v>
      </c>
      <c r="H566" s="122">
        <v>3451.3129347213116</v>
      </c>
      <c r="I566" s="122">
        <v>6121.6744020007181</v>
      </c>
      <c r="J566" s="122">
        <v>12849.677016437978</v>
      </c>
      <c r="K566" s="122">
        <v>3223.4869778450902</v>
      </c>
      <c r="L566" s="122">
        <v>4705.4786175702502</v>
      </c>
      <c r="M566" s="122">
        <v>1729.7715949268061</v>
      </c>
      <c r="N566" s="122">
        <v>6405.8983114749644</v>
      </c>
      <c r="O566" s="122">
        <v>10184.89598193329</v>
      </c>
      <c r="P566" s="122">
        <v>88065.69384101138</v>
      </c>
      <c r="Q566" s="122">
        <v>8497.6486143962611</v>
      </c>
      <c r="R566" s="122">
        <v>15851.828430961748</v>
      </c>
      <c r="S566" s="122">
        <v>29674.880711567537</v>
      </c>
      <c r="T566" s="122">
        <v>146316.79520482279</v>
      </c>
      <c r="U566" s="122">
        <v>37062.472177288699</v>
      </c>
      <c r="V566" s="54"/>
      <c r="W566" s="54"/>
      <c r="X566" s="54"/>
      <c r="Y566" s="54"/>
      <c r="Z566" s="54"/>
      <c r="AA566" s="54"/>
      <c r="AB566" s="54"/>
      <c r="AC566" s="54"/>
      <c r="AD566" s="54"/>
      <c r="AE566" s="54"/>
      <c r="AF566" s="54"/>
      <c r="AG566" s="54"/>
      <c r="AH566" s="54"/>
      <c r="AI566" s="117">
        <f t="shared" si="115"/>
        <v>407329.70286063058</v>
      </c>
      <c r="AJ566" s="117">
        <f t="shared" si="116"/>
        <v>407329.70286063058</v>
      </c>
      <c r="AK566" s="117">
        <f t="shared" si="117"/>
        <v>0</v>
      </c>
      <c r="AL566" s="23"/>
      <c r="AM566" s="127" t="b">
        <f t="shared" si="118"/>
        <v>0</v>
      </c>
      <c r="AN566" s="127" t="str">
        <f t="shared" si="119"/>
        <v/>
      </c>
      <c r="AO566" s="129"/>
      <c r="AP566" s="129"/>
      <c r="AQ566" s="129"/>
      <c r="AR566" s="129">
        <v>1</v>
      </c>
      <c r="AS566" s="129"/>
      <c r="AT566" s="129"/>
      <c r="AU566" s="129"/>
      <c r="AV566" s="129"/>
      <c r="AW566" s="129"/>
      <c r="AX566" s="197"/>
      <c r="AY566" s="197"/>
      <c r="AZ566" s="197"/>
      <c r="BA566" s="197"/>
      <c r="BB566" s="129"/>
      <c r="BC566" s="129"/>
      <c r="BD566" s="129"/>
      <c r="BE566" s="129"/>
      <c r="BF566" s="129"/>
      <c r="BG566" s="129"/>
      <c r="BH566" s="129"/>
      <c r="BI566" s="129"/>
      <c r="BJ566" s="129"/>
      <c r="BK566" s="129"/>
      <c r="BL566" s="129"/>
      <c r="BM566" s="197"/>
    </row>
    <row r="567" spans="1:65" x14ac:dyDescent="0.25">
      <c r="A567" s="121"/>
      <c r="B567" s="121"/>
      <c r="C567" s="172"/>
      <c r="D567" s="49"/>
      <c r="E567" s="49"/>
      <c r="F567" s="54"/>
      <c r="G567" s="54"/>
      <c r="H567" s="54"/>
      <c r="I567" s="54"/>
      <c r="J567" s="54"/>
      <c r="K567" s="54"/>
      <c r="L567" s="54"/>
      <c r="M567" s="54"/>
      <c r="N567" s="54"/>
      <c r="O567" s="54"/>
      <c r="P567" s="54"/>
      <c r="Q567" s="54"/>
      <c r="R567" s="54"/>
      <c r="S567" s="54"/>
      <c r="T567" s="54"/>
      <c r="U567" s="54"/>
      <c r="V567" s="54"/>
      <c r="W567" s="55"/>
      <c r="X567" s="55"/>
      <c r="Y567" s="55"/>
      <c r="Z567" s="55"/>
      <c r="AA567" s="55"/>
      <c r="AB567" s="55"/>
      <c r="AC567" s="55"/>
      <c r="AD567" s="55"/>
      <c r="AE567" s="55"/>
      <c r="AF567" s="55"/>
      <c r="AG567" s="55"/>
      <c r="AH567" s="55"/>
      <c r="AI567" s="54"/>
      <c r="AJ567" s="54"/>
      <c r="AK567" s="54"/>
      <c r="AL567" s="23"/>
      <c r="AM567" s="127"/>
      <c r="AN567" s="127"/>
      <c r="AO567" s="129"/>
      <c r="AP567" s="129"/>
      <c r="AQ567" s="129"/>
      <c r="AR567" s="129"/>
      <c r="AS567" s="129"/>
      <c r="AT567" s="129"/>
      <c r="AU567" s="129"/>
      <c r="AV567" s="129"/>
      <c r="AW567" s="129"/>
      <c r="AX567" s="197"/>
      <c r="AY567" s="197"/>
      <c r="AZ567" s="197"/>
      <c r="BA567" s="197"/>
      <c r="BB567" s="129"/>
      <c r="BC567" s="129"/>
      <c r="BD567" s="129"/>
      <c r="BE567" s="129"/>
      <c r="BF567" s="129"/>
      <c r="BG567" s="129"/>
      <c r="BH567" s="129"/>
      <c r="BI567" s="129"/>
      <c r="BJ567" s="129"/>
      <c r="BK567" s="129"/>
      <c r="BL567" s="129"/>
      <c r="BM567" s="197"/>
    </row>
    <row r="568" spans="1:65" x14ac:dyDescent="0.25">
      <c r="A568" s="121"/>
      <c r="B568" s="121"/>
      <c r="C568" s="172"/>
      <c r="D568" s="46"/>
      <c r="E568" s="46"/>
      <c r="F568" s="54"/>
      <c r="G568" s="54"/>
      <c r="H568" s="54"/>
      <c r="I568" s="54"/>
      <c r="J568" s="54"/>
      <c r="K568" s="54"/>
      <c r="L568" s="54"/>
      <c r="M568" s="54"/>
      <c r="N568" s="54"/>
      <c r="O568" s="54"/>
      <c r="P568" s="54"/>
      <c r="Q568" s="54"/>
      <c r="R568" s="54"/>
      <c r="S568" s="54"/>
      <c r="T568" s="54"/>
      <c r="U568" s="54"/>
      <c r="V568" s="54"/>
      <c r="W568" s="55"/>
      <c r="X568" s="55"/>
      <c r="Y568" s="55"/>
      <c r="Z568" s="55"/>
      <c r="AA568" s="55"/>
      <c r="AB568" s="55"/>
      <c r="AC568" s="55"/>
      <c r="AD568" s="55"/>
      <c r="AE568" s="55"/>
      <c r="AF568" s="55"/>
      <c r="AG568" s="55"/>
      <c r="AH568" s="55"/>
      <c r="AI568" s="54"/>
      <c r="AJ568" s="54"/>
      <c r="AK568" s="54"/>
      <c r="AL568" s="23"/>
      <c r="AM568" s="127"/>
      <c r="AN568" s="127"/>
      <c r="AO568" s="129"/>
      <c r="AP568" s="129"/>
      <c r="AQ568" s="129"/>
      <c r="AR568" s="129"/>
      <c r="AS568" s="129"/>
      <c r="AT568" s="129"/>
      <c r="AU568" s="129"/>
      <c r="AV568" s="129"/>
      <c r="AW568" s="129"/>
      <c r="AX568" s="197"/>
      <c r="AY568" s="197"/>
      <c r="AZ568" s="197"/>
      <c r="BA568" s="197"/>
      <c r="BB568" s="129"/>
      <c r="BC568" s="129"/>
      <c r="BD568" s="129"/>
      <c r="BE568" s="129"/>
      <c r="BF568" s="129"/>
      <c r="BG568" s="129"/>
      <c r="BH568" s="129"/>
      <c r="BI568" s="129"/>
      <c r="BJ568" s="129"/>
      <c r="BK568" s="129"/>
      <c r="BL568" s="129"/>
      <c r="BM568" s="197"/>
    </row>
    <row r="569" spans="1:65" x14ac:dyDescent="0.25">
      <c r="A569" s="121" t="s">
        <v>52</v>
      </c>
      <c r="B569" s="121" t="s">
        <v>22</v>
      </c>
      <c r="C569" s="178" t="s">
        <v>211</v>
      </c>
      <c r="D569" s="161">
        <v>5</v>
      </c>
      <c r="E569" s="29" t="str">
        <f t="shared" ref="E569:E574" si="120">INDEX(ra_ScName,MATCH(D569,ra_ScNumber,0))</f>
        <v>Input price inflators 2013–15</v>
      </c>
      <c r="F569" s="122">
        <v>6457.0630000000001</v>
      </c>
      <c r="G569" s="122">
        <v>13308</v>
      </c>
      <c r="H569" s="122">
        <v>2614.8901999999998</v>
      </c>
      <c r="I569" s="122">
        <v>5370.6186899999984</v>
      </c>
      <c r="J569" s="122">
        <v>14297</v>
      </c>
      <c r="K569" s="122">
        <v>2986.12</v>
      </c>
      <c r="L569" s="122">
        <v>2198.657356993906</v>
      </c>
      <c r="M569" s="122">
        <v>1238</v>
      </c>
      <c r="N569" s="122">
        <v>4312</v>
      </c>
      <c r="O569" s="122">
        <v>5190</v>
      </c>
      <c r="P569" s="122">
        <v>62490</v>
      </c>
      <c r="Q569" s="122">
        <v>7231</v>
      </c>
      <c r="R569" s="122">
        <v>6453</v>
      </c>
      <c r="S569" s="122">
        <v>35310.843480000047</v>
      </c>
      <c r="T569" s="122">
        <v>131577</v>
      </c>
      <c r="U569" s="122">
        <v>34579.168048745778</v>
      </c>
      <c r="V569" s="54"/>
      <c r="W569" s="54"/>
      <c r="X569" s="54"/>
      <c r="Y569" s="54"/>
      <c r="Z569" s="54"/>
      <c r="AA569" s="54"/>
      <c r="AB569" s="54"/>
      <c r="AC569" s="54"/>
      <c r="AD569" s="54"/>
      <c r="AE569" s="54"/>
      <c r="AF569" s="54"/>
      <c r="AG569" s="54"/>
      <c r="AH569" s="54"/>
      <c r="AI569" s="117">
        <f t="shared" ref="AI569:AI574" si="121">SUM(F569:AH569)</f>
        <v>335613.36077573971</v>
      </c>
      <c r="AJ569" s="117">
        <f t="shared" ref="AJ569:AJ574" si="122">SUM(F569:U569)</f>
        <v>335613.36077573971</v>
      </c>
      <c r="AK569" s="117">
        <f t="shared" ref="AK569:AK574" si="123">SUM(W569:AH569)</f>
        <v>0</v>
      </c>
      <c r="AL569" s="23"/>
      <c r="AM569" s="127" t="b">
        <f t="shared" ref="AM569:AM574" si="124">IF(INDEX($AO569:$BM569,0,$F$14)=1,TRUE,FALSE)</f>
        <v>0</v>
      </c>
      <c r="AN569" s="127" t="str">
        <f t="shared" ref="AN569:AN574" si="125">IF(AM569,A569&amp;", "&amp;B569,"")</f>
        <v/>
      </c>
      <c r="AO569" s="129"/>
      <c r="AP569" s="129"/>
      <c r="AQ569" s="129"/>
      <c r="AR569" s="129"/>
      <c r="AS569" s="129">
        <v>1</v>
      </c>
      <c r="AT569" s="129">
        <v>1</v>
      </c>
      <c r="AU569" s="129"/>
      <c r="AV569" s="129"/>
      <c r="AW569" s="129"/>
      <c r="AX569" s="197"/>
      <c r="AY569" s="197"/>
      <c r="AZ569" s="197"/>
      <c r="BA569" s="197"/>
      <c r="BB569" s="129"/>
      <c r="BC569" s="129"/>
      <c r="BD569" s="129"/>
      <c r="BE569" s="129"/>
      <c r="BF569" s="129"/>
      <c r="BG569" s="129"/>
      <c r="BH569" s="129"/>
      <c r="BI569" s="129"/>
      <c r="BJ569" s="129"/>
      <c r="BK569" s="129"/>
      <c r="BL569" s="129"/>
      <c r="BM569" s="197"/>
    </row>
    <row r="570" spans="1:65" x14ac:dyDescent="0.25">
      <c r="A570" s="121" t="s">
        <v>52</v>
      </c>
      <c r="B570" s="121" t="s">
        <v>23</v>
      </c>
      <c r="C570" s="172" t="s">
        <v>211</v>
      </c>
      <c r="D570" s="161">
        <v>5</v>
      </c>
      <c r="E570" s="29" t="str">
        <f t="shared" si="120"/>
        <v>Input price inflators 2013–15</v>
      </c>
      <c r="F570" s="122">
        <v>10258.097</v>
      </c>
      <c r="G570" s="122">
        <v>16369</v>
      </c>
      <c r="H570" s="122">
        <v>7328.3897299999999</v>
      </c>
      <c r="I570" s="122">
        <v>5847.5765900000006</v>
      </c>
      <c r="J570" s="122">
        <v>17595</v>
      </c>
      <c r="K570" s="122">
        <v>2629.1</v>
      </c>
      <c r="L570" s="122">
        <v>4228.7660718014849</v>
      </c>
      <c r="M570" s="122">
        <v>2093</v>
      </c>
      <c r="N570" s="122">
        <v>5710</v>
      </c>
      <c r="O570" s="122">
        <v>7321</v>
      </c>
      <c r="P570" s="122">
        <v>69224</v>
      </c>
      <c r="Q570" s="122">
        <v>6676</v>
      </c>
      <c r="R570" s="122">
        <v>10582</v>
      </c>
      <c r="S570" s="122">
        <v>31589.28295999999</v>
      </c>
      <c r="T570" s="122">
        <v>121346</v>
      </c>
      <c r="U570" s="122">
        <v>21184.753865854698</v>
      </c>
      <c r="V570" s="54"/>
      <c r="W570" s="54"/>
      <c r="X570" s="54"/>
      <c r="Y570" s="54"/>
      <c r="Z570" s="54"/>
      <c r="AA570" s="54"/>
      <c r="AB570" s="54"/>
      <c r="AC570" s="54"/>
      <c r="AD570" s="54"/>
      <c r="AE570" s="54"/>
      <c r="AF570" s="54"/>
      <c r="AG570" s="54"/>
      <c r="AH570" s="54"/>
      <c r="AI570" s="117">
        <f t="shared" si="121"/>
        <v>339981.96621765615</v>
      </c>
      <c r="AJ570" s="117">
        <f t="shared" si="122"/>
        <v>339981.96621765615</v>
      </c>
      <c r="AK570" s="117">
        <f t="shared" si="123"/>
        <v>0</v>
      </c>
      <c r="AL570" s="23"/>
      <c r="AM570" s="127" t="b">
        <f t="shared" si="124"/>
        <v>0</v>
      </c>
      <c r="AN570" s="127" t="str">
        <f t="shared" si="125"/>
        <v/>
      </c>
      <c r="AO570" s="129"/>
      <c r="AP570" s="129"/>
      <c r="AQ570" s="129"/>
      <c r="AR570" s="129"/>
      <c r="AS570" s="129">
        <v>1</v>
      </c>
      <c r="AT570" s="129">
        <v>1</v>
      </c>
      <c r="AU570" s="129"/>
      <c r="AV570" s="129"/>
      <c r="AW570" s="129"/>
      <c r="AX570" s="197"/>
      <c r="AY570" s="197"/>
      <c r="AZ570" s="197"/>
      <c r="BA570" s="197"/>
      <c r="BB570" s="129"/>
      <c r="BC570" s="129"/>
      <c r="BD570" s="129"/>
      <c r="BE570" s="129"/>
      <c r="BF570" s="129"/>
      <c r="BG570" s="129"/>
      <c r="BH570" s="129"/>
      <c r="BI570" s="129"/>
      <c r="BJ570" s="129"/>
      <c r="BK570" s="129"/>
      <c r="BL570" s="129"/>
      <c r="BM570" s="197"/>
    </row>
    <row r="571" spans="1:65" x14ac:dyDescent="0.25">
      <c r="A571" s="121" t="s">
        <v>52</v>
      </c>
      <c r="B571" s="121" t="s">
        <v>24</v>
      </c>
      <c r="C571" s="172" t="s">
        <v>211</v>
      </c>
      <c r="D571" s="161">
        <v>5</v>
      </c>
      <c r="E571" s="29" t="str">
        <f t="shared" si="120"/>
        <v>Input price inflators 2013–15</v>
      </c>
      <c r="F571" s="122">
        <v>7906.7193300000008</v>
      </c>
      <c r="G571" s="122">
        <v>12735</v>
      </c>
      <c r="H571" s="122">
        <v>2738.34449</v>
      </c>
      <c r="I571" s="122">
        <v>5163.2504199999948</v>
      </c>
      <c r="J571" s="122">
        <v>12490</v>
      </c>
      <c r="K571" s="122">
        <v>3145</v>
      </c>
      <c r="L571" s="122">
        <v>3975.9073479345429</v>
      </c>
      <c r="M571" s="122">
        <v>922</v>
      </c>
      <c r="N571" s="122">
        <v>3101</v>
      </c>
      <c r="O571" s="122">
        <v>6029.5</v>
      </c>
      <c r="P571" s="122">
        <v>66670</v>
      </c>
      <c r="Q571" s="122">
        <v>8815</v>
      </c>
      <c r="R571" s="122">
        <v>13734</v>
      </c>
      <c r="S571" s="122">
        <v>21590.128889999989</v>
      </c>
      <c r="T571" s="122">
        <v>102442</v>
      </c>
      <c r="U571" s="122">
        <v>15692</v>
      </c>
      <c r="V571" s="54"/>
      <c r="W571" s="54"/>
      <c r="X571" s="54"/>
      <c r="Y571" s="54"/>
      <c r="Z571" s="54"/>
      <c r="AA571" s="54"/>
      <c r="AB571" s="54"/>
      <c r="AC571" s="54"/>
      <c r="AD571" s="54"/>
      <c r="AE571" s="54"/>
      <c r="AF571" s="54"/>
      <c r="AG571" s="54"/>
      <c r="AH571" s="54"/>
      <c r="AI571" s="117">
        <f t="shared" si="121"/>
        <v>287149.85047793452</v>
      </c>
      <c r="AJ571" s="117">
        <f t="shared" si="122"/>
        <v>287149.85047793452</v>
      </c>
      <c r="AK571" s="117">
        <f t="shared" si="123"/>
        <v>0</v>
      </c>
      <c r="AL571" s="23"/>
      <c r="AM571" s="127" t="b">
        <f t="shared" si="124"/>
        <v>0</v>
      </c>
      <c r="AN571" s="127" t="str">
        <f t="shared" si="125"/>
        <v/>
      </c>
      <c r="AO571" s="129"/>
      <c r="AP571" s="129"/>
      <c r="AQ571" s="129"/>
      <c r="AR571" s="129"/>
      <c r="AS571" s="129">
        <v>1</v>
      </c>
      <c r="AT571" s="129">
        <v>1</v>
      </c>
      <c r="AU571" s="129"/>
      <c r="AV571" s="129"/>
      <c r="AW571" s="129"/>
      <c r="AX571" s="197"/>
      <c r="AY571" s="197"/>
      <c r="AZ571" s="197"/>
      <c r="BA571" s="197"/>
      <c r="BB571" s="129"/>
      <c r="BC571" s="129"/>
      <c r="BD571" s="129"/>
      <c r="BE571" s="129"/>
      <c r="BF571" s="129"/>
      <c r="BG571" s="129"/>
      <c r="BH571" s="129"/>
      <c r="BI571" s="129"/>
      <c r="BJ571" s="129"/>
      <c r="BK571" s="129"/>
      <c r="BL571" s="129"/>
      <c r="BM571" s="197"/>
    </row>
    <row r="572" spans="1:65" x14ac:dyDescent="0.25">
      <c r="A572" s="121" t="s">
        <v>52</v>
      </c>
      <c r="B572" s="121" t="s">
        <v>25</v>
      </c>
      <c r="C572" s="172" t="s">
        <v>223</v>
      </c>
      <c r="D572" s="161">
        <v>5</v>
      </c>
      <c r="E572" s="29" t="str">
        <f t="shared" si="120"/>
        <v>Input price inflators 2013–15</v>
      </c>
      <c r="F572" s="122">
        <v>29286.133438679542</v>
      </c>
      <c r="G572" s="122">
        <v>16710.339115516585</v>
      </c>
      <c r="H572" s="122">
        <v>3804.7206518215298</v>
      </c>
      <c r="I572" s="122">
        <v>5892.4809700345131</v>
      </c>
      <c r="J572" s="122">
        <v>9812.50879517057</v>
      </c>
      <c r="K572" s="122">
        <v>3545.8817229934793</v>
      </c>
      <c r="L572" s="122">
        <v>5686.6689186157582</v>
      </c>
      <c r="M572" s="122">
        <v>1902.2657230276859</v>
      </c>
      <c r="N572" s="122">
        <v>6378.9858583309142</v>
      </c>
      <c r="O572" s="122">
        <v>10347.03553491329</v>
      </c>
      <c r="P572" s="122">
        <v>77303.088000250224</v>
      </c>
      <c r="Q572" s="122">
        <v>8455.2844855727362</v>
      </c>
      <c r="R572" s="122">
        <v>15531.35727886665</v>
      </c>
      <c r="S572" s="122">
        <v>43573.786679349818</v>
      </c>
      <c r="T572" s="122">
        <v>142619.17895234938</v>
      </c>
      <c r="U572" s="122">
        <v>34544.182648192131</v>
      </c>
      <c r="V572" s="54"/>
      <c r="W572" s="54"/>
      <c r="X572" s="54"/>
      <c r="Y572" s="54"/>
      <c r="Z572" s="54"/>
      <c r="AA572" s="54"/>
      <c r="AB572" s="54"/>
      <c r="AC572" s="54"/>
      <c r="AD572" s="54"/>
      <c r="AE572" s="54"/>
      <c r="AF572" s="54"/>
      <c r="AG572" s="54"/>
      <c r="AH572" s="54"/>
      <c r="AI572" s="117">
        <f t="shared" si="121"/>
        <v>415393.89877368475</v>
      </c>
      <c r="AJ572" s="117">
        <f t="shared" si="122"/>
        <v>415393.89877368475</v>
      </c>
      <c r="AK572" s="117">
        <f t="shared" si="123"/>
        <v>0</v>
      </c>
      <c r="AL572" s="23"/>
      <c r="AM572" s="127" t="b">
        <f t="shared" si="124"/>
        <v>0</v>
      </c>
      <c r="AN572" s="127" t="str">
        <f t="shared" si="125"/>
        <v/>
      </c>
      <c r="AO572" s="129"/>
      <c r="AP572" s="129"/>
      <c r="AQ572" s="129"/>
      <c r="AR572" s="129"/>
      <c r="AS572" s="129">
        <v>1</v>
      </c>
      <c r="AT572" s="129">
        <v>1</v>
      </c>
      <c r="AU572" s="129"/>
      <c r="AV572" s="129"/>
      <c r="AW572" s="129"/>
      <c r="AX572" s="197"/>
      <c r="AY572" s="197"/>
      <c r="AZ572" s="197"/>
      <c r="BA572" s="197"/>
      <c r="BB572" s="129"/>
      <c r="BC572" s="129"/>
      <c r="BD572" s="129"/>
      <c r="BE572" s="129"/>
      <c r="BF572" s="129"/>
      <c r="BG572" s="129"/>
      <c r="BH572" s="129"/>
      <c r="BI572" s="129"/>
      <c r="BJ572" s="129"/>
      <c r="BK572" s="129"/>
      <c r="BL572" s="129"/>
      <c r="BM572" s="197"/>
    </row>
    <row r="573" spans="1:65" x14ac:dyDescent="0.25">
      <c r="A573" s="121" t="s">
        <v>52</v>
      </c>
      <c r="B573" s="121" t="s">
        <v>26</v>
      </c>
      <c r="C573" s="172" t="s">
        <v>223</v>
      </c>
      <c r="D573" s="161">
        <v>5</v>
      </c>
      <c r="E573" s="29" t="str">
        <f t="shared" si="120"/>
        <v>Input price inflators 2013–15</v>
      </c>
      <c r="F573" s="122">
        <v>20083.497096886847</v>
      </c>
      <c r="G573" s="122">
        <v>20541.36484940907</v>
      </c>
      <c r="H573" s="122">
        <v>3191.6178536976272</v>
      </c>
      <c r="I573" s="122">
        <v>5938.1083262069824</v>
      </c>
      <c r="J573" s="122">
        <v>11303.746849422276</v>
      </c>
      <c r="K573" s="122">
        <v>3182.0799599154784</v>
      </c>
      <c r="L573" s="122">
        <v>4414.2866068226394</v>
      </c>
      <c r="M573" s="122">
        <v>1551.0356281953082</v>
      </c>
      <c r="N573" s="122">
        <v>5604.1343974369574</v>
      </c>
      <c r="O573" s="122">
        <v>10261.4684342976</v>
      </c>
      <c r="P573" s="122">
        <v>83081.627107253065</v>
      </c>
      <c r="Q573" s="122">
        <v>9013.7983290597767</v>
      </c>
      <c r="R573" s="122">
        <v>14967.739686883529</v>
      </c>
      <c r="S573" s="122">
        <v>46052.208001307597</v>
      </c>
      <c r="T573" s="122">
        <v>151956.61423234703</v>
      </c>
      <c r="U573" s="122">
        <v>35063.159668196859</v>
      </c>
      <c r="V573" s="54"/>
      <c r="W573" s="54"/>
      <c r="X573" s="54"/>
      <c r="Y573" s="54"/>
      <c r="Z573" s="54"/>
      <c r="AA573" s="54"/>
      <c r="AB573" s="54"/>
      <c r="AC573" s="54"/>
      <c r="AD573" s="54"/>
      <c r="AE573" s="54"/>
      <c r="AF573" s="54"/>
      <c r="AG573" s="54"/>
      <c r="AH573" s="54"/>
      <c r="AI573" s="117">
        <f t="shared" si="121"/>
        <v>426206.48702733865</v>
      </c>
      <c r="AJ573" s="117">
        <f t="shared" si="122"/>
        <v>426206.48702733865</v>
      </c>
      <c r="AK573" s="117">
        <f t="shared" si="123"/>
        <v>0</v>
      </c>
      <c r="AL573" s="23"/>
      <c r="AM573" s="127" t="b">
        <f t="shared" si="124"/>
        <v>0</v>
      </c>
      <c r="AN573" s="127" t="str">
        <f t="shared" si="125"/>
        <v/>
      </c>
      <c r="AO573" s="129"/>
      <c r="AP573" s="129"/>
      <c r="AQ573" s="129"/>
      <c r="AR573" s="129"/>
      <c r="AS573" s="129">
        <v>1</v>
      </c>
      <c r="AT573" s="129">
        <v>1</v>
      </c>
      <c r="AU573" s="129"/>
      <c r="AV573" s="129"/>
      <c r="AW573" s="129"/>
      <c r="AX573" s="197"/>
      <c r="AY573" s="197"/>
      <c r="AZ573" s="197"/>
      <c r="BA573" s="197"/>
      <c r="BB573" s="129"/>
      <c r="BC573" s="129"/>
      <c r="BD573" s="129"/>
      <c r="BE573" s="129"/>
      <c r="BF573" s="129"/>
      <c r="BG573" s="129"/>
      <c r="BH573" s="129"/>
      <c r="BI573" s="129"/>
      <c r="BJ573" s="129"/>
      <c r="BK573" s="129"/>
      <c r="BL573" s="129"/>
      <c r="BM573" s="197"/>
    </row>
    <row r="574" spans="1:65" x14ac:dyDescent="0.25">
      <c r="A574" s="121" t="s">
        <v>52</v>
      </c>
      <c r="B574" s="121" t="s">
        <v>27</v>
      </c>
      <c r="C574" s="172" t="s">
        <v>223</v>
      </c>
      <c r="D574" s="161">
        <v>5</v>
      </c>
      <c r="E574" s="29" t="str">
        <f t="shared" si="120"/>
        <v>Input price inflators 2013–15</v>
      </c>
      <c r="F574" s="122">
        <v>13593.647745499487</v>
      </c>
      <c r="G574" s="122">
        <v>19589.210827296985</v>
      </c>
      <c r="H574" s="122">
        <v>3450.758711280645</v>
      </c>
      <c r="I574" s="122">
        <v>6120.6913629330093</v>
      </c>
      <c r="J574" s="122">
        <v>12847.613572078626</v>
      </c>
      <c r="K574" s="122">
        <v>3222.9693394629444</v>
      </c>
      <c r="L574" s="122">
        <v>4704.7229959854385</v>
      </c>
      <c r="M574" s="122">
        <v>1729.4938223854456</v>
      </c>
      <c r="N574" s="122">
        <v>6404.8696307757928</v>
      </c>
      <c r="O574" s="122">
        <v>10183.260457076312</v>
      </c>
      <c r="P574" s="122">
        <v>88051.551955656905</v>
      </c>
      <c r="Q574" s="122">
        <v>8496.2840333971671</v>
      </c>
      <c r="R574" s="122">
        <v>15849.282891029545</v>
      </c>
      <c r="S574" s="122">
        <v>29670.115419401798</v>
      </c>
      <c r="T574" s="122">
        <v>146293.29916166485</v>
      </c>
      <c r="U574" s="122">
        <v>37056.520560834841</v>
      </c>
      <c r="V574" s="54"/>
      <c r="W574" s="54"/>
      <c r="X574" s="54"/>
      <c r="Y574" s="54"/>
      <c r="Z574" s="54"/>
      <c r="AA574" s="54"/>
      <c r="AB574" s="54"/>
      <c r="AC574" s="54"/>
      <c r="AD574" s="54"/>
      <c r="AE574" s="54"/>
      <c r="AF574" s="54"/>
      <c r="AG574" s="54"/>
      <c r="AH574" s="54"/>
      <c r="AI574" s="117">
        <f t="shared" si="121"/>
        <v>407264.29248675978</v>
      </c>
      <c r="AJ574" s="117">
        <f t="shared" si="122"/>
        <v>407264.29248675978</v>
      </c>
      <c r="AK574" s="117">
        <f t="shared" si="123"/>
        <v>0</v>
      </c>
      <c r="AL574" s="23"/>
      <c r="AM574" s="127" t="b">
        <f t="shared" si="124"/>
        <v>0</v>
      </c>
      <c r="AN574" s="127" t="str">
        <f t="shared" si="125"/>
        <v/>
      </c>
      <c r="AO574" s="129"/>
      <c r="AP574" s="129"/>
      <c r="AQ574" s="129"/>
      <c r="AR574" s="129"/>
      <c r="AS574" s="129">
        <v>1</v>
      </c>
      <c r="AT574" s="129">
        <v>1</v>
      </c>
      <c r="AU574" s="129"/>
      <c r="AV574" s="129"/>
      <c r="AW574" s="129"/>
      <c r="AX574" s="197"/>
      <c r="AY574" s="197"/>
      <c r="AZ574" s="197"/>
      <c r="BA574" s="197"/>
      <c r="BB574" s="129"/>
      <c r="BC574" s="129"/>
      <c r="BD574" s="129"/>
      <c r="BE574" s="129"/>
      <c r="BF574" s="129"/>
      <c r="BG574" s="129"/>
      <c r="BH574" s="129"/>
      <c r="BI574" s="129"/>
      <c r="BJ574" s="129"/>
      <c r="BK574" s="129"/>
      <c r="BL574" s="129"/>
      <c r="BM574" s="197"/>
    </row>
    <row r="575" spans="1:65" x14ac:dyDescent="0.25">
      <c r="A575" s="166"/>
      <c r="B575" s="166"/>
      <c r="C575" s="172"/>
      <c r="D575" s="49"/>
      <c r="E575" s="49"/>
      <c r="F575" s="54"/>
      <c r="G575" s="54"/>
      <c r="H575" s="54"/>
      <c r="I575" s="54"/>
      <c r="J575" s="54"/>
      <c r="K575" s="54"/>
      <c r="L575" s="54"/>
      <c r="M575" s="54"/>
      <c r="N575" s="54"/>
      <c r="O575" s="54"/>
      <c r="P575" s="54"/>
      <c r="Q575" s="54"/>
      <c r="R575" s="54"/>
      <c r="S575" s="54"/>
      <c r="T575" s="54"/>
      <c r="U575" s="54"/>
      <c r="V575" s="54"/>
      <c r="W575" s="55"/>
      <c r="X575" s="55"/>
      <c r="Y575" s="55"/>
      <c r="Z575" s="55"/>
      <c r="AA575" s="55"/>
      <c r="AB575" s="55"/>
      <c r="AC575" s="55"/>
      <c r="AD575" s="55"/>
      <c r="AE575" s="55"/>
      <c r="AF575" s="55"/>
      <c r="AG575" s="55"/>
      <c r="AH575" s="55"/>
      <c r="AI575" s="54"/>
      <c r="AJ575" s="54"/>
      <c r="AK575" s="54"/>
      <c r="AL575" s="23"/>
      <c r="AM575" s="127"/>
      <c r="AN575" s="127"/>
      <c r="AO575" s="129"/>
      <c r="AP575" s="129"/>
      <c r="AQ575" s="129"/>
      <c r="AR575" s="129"/>
      <c r="AS575" s="129"/>
      <c r="AT575" s="129"/>
      <c r="AU575" s="129"/>
      <c r="AV575" s="129"/>
      <c r="AW575" s="129"/>
      <c r="AX575" s="197"/>
      <c r="AY575" s="197"/>
      <c r="AZ575" s="197"/>
      <c r="BA575" s="197"/>
      <c r="BB575" s="129"/>
      <c r="BC575" s="129"/>
      <c r="BD575" s="129"/>
      <c r="BE575" s="129"/>
      <c r="BF575" s="129"/>
      <c r="BG575" s="129"/>
      <c r="BH575" s="129"/>
      <c r="BI575" s="129"/>
      <c r="BJ575" s="129"/>
      <c r="BK575" s="129"/>
      <c r="BL575" s="129"/>
      <c r="BM575" s="197"/>
    </row>
    <row r="576" spans="1:65" x14ac:dyDescent="0.25">
      <c r="A576" s="166"/>
      <c r="B576" s="166"/>
      <c r="C576" s="172"/>
      <c r="D576" s="46"/>
      <c r="E576" s="46"/>
      <c r="F576" s="54"/>
      <c r="G576" s="54"/>
      <c r="H576" s="54"/>
      <c r="I576" s="54"/>
      <c r="J576" s="54"/>
      <c r="K576" s="54"/>
      <c r="L576" s="54"/>
      <c r="M576" s="54"/>
      <c r="N576" s="54"/>
      <c r="O576" s="54"/>
      <c r="P576" s="54"/>
      <c r="Q576" s="54"/>
      <c r="R576" s="54"/>
      <c r="S576" s="54"/>
      <c r="T576" s="54"/>
      <c r="U576" s="54"/>
      <c r="V576" s="54"/>
      <c r="W576" s="55"/>
      <c r="X576" s="55"/>
      <c r="Y576" s="55"/>
      <c r="Z576" s="55"/>
      <c r="AA576" s="55"/>
      <c r="AB576" s="55"/>
      <c r="AC576" s="55"/>
      <c r="AD576" s="55"/>
      <c r="AE576" s="55"/>
      <c r="AF576" s="55"/>
      <c r="AG576" s="55"/>
      <c r="AH576" s="55"/>
      <c r="AI576" s="54"/>
      <c r="AJ576" s="54"/>
      <c r="AK576" s="54"/>
      <c r="AL576" s="23"/>
      <c r="AM576" s="127"/>
      <c r="AN576" s="127"/>
      <c r="AO576" s="129"/>
      <c r="AP576" s="129"/>
      <c r="AQ576" s="129"/>
      <c r="AR576" s="129"/>
      <c r="AS576" s="129"/>
      <c r="AT576" s="129"/>
      <c r="AU576" s="129"/>
      <c r="AV576" s="129"/>
      <c r="AW576" s="129"/>
      <c r="AX576" s="197"/>
      <c r="AY576" s="197"/>
      <c r="AZ576" s="197"/>
      <c r="BA576" s="197"/>
      <c r="BB576" s="129"/>
      <c r="BC576" s="129"/>
      <c r="BD576" s="129"/>
      <c r="BE576" s="129"/>
      <c r="BF576" s="129"/>
      <c r="BG576" s="129"/>
      <c r="BH576" s="129"/>
      <c r="BI576" s="129"/>
      <c r="BJ576" s="129"/>
      <c r="BK576" s="129"/>
      <c r="BL576" s="129"/>
      <c r="BM576" s="197"/>
    </row>
    <row r="577" spans="1:65" x14ac:dyDescent="0.25">
      <c r="A577" s="166" t="s">
        <v>52</v>
      </c>
      <c r="B577" s="166" t="s">
        <v>22</v>
      </c>
      <c r="C577" s="178" t="s">
        <v>211</v>
      </c>
      <c r="D577" s="161">
        <v>7</v>
      </c>
      <c r="E577" s="29" t="str">
        <f t="shared" ref="E577:E582" si="126">INDEX(ra_ScName,MATCH(D577,ra_ScNumber,0))</f>
        <v>Commissioned assets 2013–15</v>
      </c>
      <c r="F577" s="122">
        <v>6457.0630000000001</v>
      </c>
      <c r="G577" s="122">
        <v>13308</v>
      </c>
      <c r="H577" s="122">
        <v>2614.8901999999998</v>
      </c>
      <c r="I577" s="122">
        <v>5370.6186899999984</v>
      </c>
      <c r="J577" s="122">
        <v>14297</v>
      </c>
      <c r="K577" s="122">
        <v>2986.12</v>
      </c>
      <c r="L577" s="122">
        <v>2198.657356993906</v>
      </c>
      <c r="M577" s="122">
        <v>1238</v>
      </c>
      <c r="N577" s="122">
        <v>4312</v>
      </c>
      <c r="O577" s="122">
        <v>5190</v>
      </c>
      <c r="P577" s="122">
        <v>62490</v>
      </c>
      <c r="Q577" s="122">
        <v>7231</v>
      </c>
      <c r="R577" s="122">
        <v>6453</v>
      </c>
      <c r="S577" s="122">
        <v>35310.843480000047</v>
      </c>
      <c r="T577" s="122">
        <v>131577</v>
      </c>
      <c r="U577" s="122">
        <v>34579.168048745778</v>
      </c>
      <c r="V577" s="54"/>
      <c r="W577" s="54"/>
      <c r="X577" s="54"/>
      <c r="Y577" s="54"/>
      <c r="Z577" s="54"/>
      <c r="AA577" s="54"/>
      <c r="AB577" s="54"/>
      <c r="AC577" s="54"/>
      <c r="AD577" s="54"/>
      <c r="AE577" s="54"/>
      <c r="AF577" s="54"/>
      <c r="AG577" s="54"/>
      <c r="AH577" s="54"/>
      <c r="AI577" s="117">
        <f t="shared" ref="AI577:AI582" si="127">SUM(F577:AH577)</f>
        <v>335613.36077573971</v>
      </c>
      <c r="AJ577" s="117">
        <f t="shared" ref="AJ577:AJ582" si="128">SUM(F577:U577)</f>
        <v>335613.36077573971</v>
      </c>
      <c r="AK577" s="117">
        <f t="shared" ref="AK577:AK582" si="129">SUM(W577:AH577)</f>
        <v>0</v>
      </c>
      <c r="AL577" s="23"/>
      <c r="AM577" s="127" t="b">
        <f t="shared" ref="AM577:AM582" si="130">IF(INDEX($AO577:$BM577,0,$F$14)=1,TRUE,FALSE)</f>
        <v>0</v>
      </c>
      <c r="AN577" s="127" t="str">
        <f t="shared" ref="AN577:AN582" si="131">IF(AM577,A577&amp;", "&amp;B577,"")</f>
        <v/>
      </c>
      <c r="AO577" s="129"/>
      <c r="AP577" s="129"/>
      <c r="AQ577" s="129"/>
      <c r="AR577" s="129"/>
      <c r="AS577" s="129"/>
      <c r="AT577" s="129"/>
      <c r="AU577" s="129">
        <v>1</v>
      </c>
      <c r="AV577" s="129">
        <v>1</v>
      </c>
      <c r="AW577" s="129"/>
      <c r="AX577" s="197"/>
      <c r="AY577" s="197"/>
      <c r="AZ577" s="197"/>
      <c r="BA577" s="197"/>
      <c r="BB577" s="129"/>
      <c r="BC577" s="129"/>
      <c r="BD577" s="129"/>
      <c r="BE577" s="129"/>
      <c r="BF577" s="129"/>
      <c r="BG577" s="129"/>
      <c r="BH577" s="129"/>
      <c r="BI577" s="129"/>
      <c r="BJ577" s="129"/>
      <c r="BK577" s="129"/>
      <c r="BL577" s="129">
        <v>1</v>
      </c>
      <c r="BM577" s="197"/>
    </row>
    <row r="578" spans="1:65" x14ac:dyDescent="0.25">
      <c r="A578" s="166" t="s">
        <v>52</v>
      </c>
      <c r="B578" s="166" t="s">
        <v>23</v>
      </c>
      <c r="C578" s="172" t="s">
        <v>211</v>
      </c>
      <c r="D578" s="161">
        <v>7</v>
      </c>
      <c r="E578" s="29" t="str">
        <f t="shared" si="126"/>
        <v>Commissioned assets 2013–15</v>
      </c>
      <c r="F578" s="122">
        <v>10258.097</v>
      </c>
      <c r="G578" s="122">
        <v>16369</v>
      </c>
      <c r="H578" s="122">
        <v>7328.3897299999999</v>
      </c>
      <c r="I578" s="122">
        <v>5847.5765900000006</v>
      </c>
      <c r="J578" s="122">
        <v>17595</v>
      </c>
      <c r="K578" s="122">
        <v>2629.1</v>
      </c>
      <c r="L578" s="122">
        <v>4228.7660718014849</v>
      </c>
      <c r="M578" s="122">
        <v>2093</v>
      </c>
      <c r="N578" s="122">
        <v>5710</v>
      </c>
      <c r="O578" s="122">
        <v>7321</v>
      </c>
      <c r="P578" s="122">
        <v>69224</v>
      </c>
      <c r="Q578" s="122">
        <v>6676</v>
      </c>
      <c r="R578" s="122">
        <v>10582</v>
      </c>
      <c r="S578" s="122">
        <v>31589.28295999999</v>
      </c>
      <c r="T578" s="122">
        <v>121346</v>
      </c>
      <c r="U578" s="122">
        <v>21184.753865854698</v>
      </c>
      <c r="V578" s="54"/>
      <c r="W578" s="54"/>
      <c r="X578" s="54"/>
      <c r="Y578" s="54"/>
      <c r="Z578" s="54"/>
      <c r="AA578" s="54"/>
      <c r="AB578" s="54"/>
      <c r="AC578" s="54"/>
      <c r="AD578" s="54"/>
      <c r="AE578" s="54"/>
      <c r="AF578" s="54"/>
      <c r="AG578" s="54"/>
      <c r="AH578" s="54"/>
      <c r="AI578" s="117">
        <f t="shared" si="127"/>
        <v>339981.96621765615</v>
      </c>
      <c r="AJ578" s="117">
        <f t="shared" si="128"/>
        <v>339981.96621765615</v>
      </c>
      <c r="AK578" s="117">
        <f t="shared" si="129"/>
        <v>0</v>
      </c>
      <c r="AL578" s="23"/>
      <c r="AM578" s="127" t="b">
        <f t="shared" si="130"/>
        <v>0</v>
      </c>
      <c r="AN578" s="127" t="str">
        <f t="shared" si="131"/>
        <v/>
      </c>
      <c r="AO578" s="129"/>
      <c r="AP578" s="129"/>
      <c r="AQ578" s="129"/>
      <c r="AR578" s="129"/>
      <c r="AS578" s="129"/>
      <c r="AT578" s="129"/>
      <c r="AU578" s="129">
        <v>1</v>
      </c>
      <c r="AV578" s="129">
        <v>1</v>
      </c>
      <c r="AW578" s="129"/>
      <c r="AX578" s="197"/>
      <c r="AY578" s="197"/>
      <c r="AZ578" s="197"/>
      <c r="BA578" s="197"/>
      <c r="BB578" s="129"/>
      <c r="BC578" s="129"/>
      <c r="BD578" s="129"/>
      <c r="BE578" s="129"/>
      <c r="BF578" s="129"/>
      <c r="BG578" s="129"/>
      <c r="BH578" s="129"/>
      <c r="BI578" s="129"/>
      <c r="BJ578" s="129"/>
      <c r="BK578" s="129"/>
      <c r="BL578" s="129">
        <v>1</v>
      </c>
      <c r="BM578" s="197"/>
    </row>
    <row r="579" spans="1:65" x14ac:dyDescent="0.25">
      <c r="A579" s="166" t="s">
        <v>52</v>
      </c>
      <c r="B579" s="166" t="s">
        <v>24</v>
      </c>
      <c r="C579" s="172" t="s">
        <v>211</v>
      </c>
      <c r="D579" s="161">
        <v>7</v>
      </c>
      <c r="E579" s="29" t="str">
        <f t="shared" si="126"/>
        <v>Commissioned assets 2013–15</v>
      </c>
      <c r="F579" s="122">
        <v>7906.7193300000008</v>
      </c>
      <c r="G579" s="122">
        <v>12735</v>
      </c>
      <c r="H579" s="122">
        <v>2738.34449</v>
      </c>
      <c r="I579" s="122">
        <v>5163.2504199999948</v>
      </c>
      <c r="J579" s="122">
        <v>12490</v>
      </c>
      <c r="K579" s="122">
        <v>3145</v>
      </c>
      <c r="L579" s="122">
        <v>3975.9073479345429</v>
      </c>
      <c r="M579" s="122">
        <v>922</v>
      </c>
      <c r="N579" s="122">
        <v>3101</v>
      </c>
      <c r="O579" s="122">
        <v>6029.5</v>
      </c>
      <c r="P579" s="122">
        <v>66670</v>
      </c>
      <c r="Q579" s="122">
        <v>8815</v>
      </c>
      <c r="R579" s="122">
        <v>13734</v>
      </c>
      <c r="S579" s="122">
        <v>21590.128889999989</v>
      </c>
      <c r="T579" s="122">
        <v>102442</v>
      </c>
      <c r="U579" s="122">
        <v>15692</v>
      </c>
      <c r="V579" s="54"/>
      <c r="W579" s="54"/>
      <c r="X579" s="54"/>
      <c r="Y579" s="54"/>
      <c r="Z579" s="54"/>
      <c r="AA579" s="54"/>
      <c r="AB579" s="54"/>
      <c r="AC579" s="54"/>
      <c r="AD579" s="54"/>
      <c r="AE579" s="54"/>
      <c r="AF579" s="54"/>
      <c r="AG579" s="54"/>
      <c r="AH579" s="54"/>
      <c r="AI579" s="117">
        <f t="shared" si="127"/>
        <v>287149.85047793452</v>
      </c>
      <c r="AJ579" s="117">
        <f t="shared" si="128"/>
        <v>287149.85047793452</v>
      </c>
      <c r="AK579" s="117">
        <f t="shared" si="129"/>
        <v>0</v>
      </c>
      <c r="AL579" s="23"/>
      <c r="AM579" s="127" t="b">
        <f t="shared" si="130"/>
        <v>0</v>
      </c>
      <c r="AN579" s="127" t="str">
        <f t="shared" si="131"/>
        <v/>
      </c>
      <c r="AO579" s="129"/>
      <c r="AP579" s="129"/>
      <c r="AQ579" s="129"/>
      <c r="AR579" s="129"/>
      <c r="AS579" s="129"/>
      <c r="AT579" s="129"/>
      <c r="AU579" s="129">
        <v>1</v>
      </c>
      <c r="AV579" s="129">
        <v>1</v>
      </c>
      <c r="AW579" s="129"/>
      <c r="AX579" s="197"/>
      <c r="AY579" s="197"/>
      <c r="AZ579" s="197"/>
      <c r="BA579" s="197"/>
      <c r="BB579" s="129"/>
      <c r="BC579" s="129"/>
      <c r="BD579" s="129"/>
      <c r="BE579" s="129"/>
      <c r="BF579" s="129"/>
      <c r="BG579" s="129"/>
      <c r="BH579" s="129"/>
      <c r="BI579" s="129"/>
      <c r="BJ579" s="129"/>
      <c r="BK579" s="129"/>
      <c r="BL579" s="129">
        <v>1</v>
      </c>
      <c r="BM579" s="197"/>
    </row>
    <row r="580" spans="1:65" x14ac:dyDescent="0.25">
      <c r="A580" s="166" t="s">
        <v>52</v>
      </c>
      <c r="B580" s="166" t="s">
        <v>25</v>
      </c>
      <c r="C580" s="172" t="s">
        <v>211</v>
      </c>
      <c r="D580" s="161">
        <v>7</v>
      </c>
      <c r="E580" s="29" t="str">
        <f t="shared" si="126"/>
        <v>Commissioned assets 2013–15</v>
      </c>
      <c r="F580" s="122">
        <v>29132.036609999999</v>
      </c>
      <c r="G580" s="122">
        <v>12886</v>
      </c>
      <c r="H580" s="122">
        <v>3522.4959100000001</v>
      </c>
      <c r="I580" s="122">
        <v>4831.0870100000047</v>
      </c>
      <c r="J580" s="122">
        <v>23974</v>
      </c>
      <c r="K580" s="122">
        <v>3716</v>
      </c>
      <c r="L580" s="122">
        <v>6687.6319727932478</v>
      </c>
      <c r="M580" s="122">
        <v>1598.4</v>
      </c>
      <c r="N580" s="122">
        <v>3113</v>
      </c>
      <c r="O580" s="122">
        <v>10102</v>
      </c>
      <c r="P580" s="122">
        <v>77635</v>
      </c>
      <c r="Q580" s="122">
        <v>7993</v>
      </c>
      <c r="R580" s="122">
        <v>29408.91</v>
      </c>
      <c r="S580" s="122">
        <v>20048.127179999989</v>
      </c>
      <c r="T580" s="122">
        <v>113902</v>
      </c>
      <c r="U580" s="122">
        <v>22099</v>
      </c>
      <c r="V580" s="54"/>
      <c r="W580" s="54"/>
      <c r="X580" s="54"/>
      <c r="Y580" s="54"/>
      <c r="Z580" s="54"/>
      <c r="AA580" s="54"/>
      <c r="AB580" s="54"/>
      <c r="AC580" s="54"/>
      <c r="AD580" s="54"/>
      <c r="AE580" s="54"/>
      <c r="AF580" s="54"/>
      <c r="AG580" s="54"/>
      <c r="AH580" s="54"/>
      <c r="AI580" s="117">
        <f t="shared" si="127"/>
        <v>370648.68868279323</v>
      </c>
      <c r="AJ580" s="117">
        <f t="shared" si="128"/>
        <v>370648.68868279323</v>
      </c>
      <c r="AK580" s="117">
        <f t="shared" si="129"/>
        <v>0</v>
      </c>
      <c r="AL580" s="23"/>
      <c r="AM580" s="127" t="b">
        <f t="shared" si="130"/>
        <v>0</v>
      </c>
      <c r="AN580" s="127" t="str">
        <f t="shared" si="131"/>
        <v/>
      </c>
      <c r="AO580" s="129"/>
      <c r="AP580" s="129"/>
      <c r="AQ580" s="129"/>
      <c r="AR580" s="129"/>
      <c r="AS580" s="129"/>
      <c r="AT580" s="129"/>
      <c r="AU580" s="129">
        <v>1</v>
      </c>
      <c r="AV580" s="129">
        <v>1</v>
      </c>
      <c r="AW580" s="129"/>
      <c r="AX580" s="197"/>
      <c r="AY580" s="197"/>
      <c r="AZ580" s="197"/>
      <c r="BA580" s="197"/>
      <c r="BB580" s="129"/>
      <c r="BC580" s="129"/>
      <c r="BD580" s="129"/>
      <c r="BE580" s="129"/>
      <c r="BF580" s="129"/>
      <c r="BG580" s="129"/>
      <c r="BH580" s="129"/>
      <c r="BI580" s="129"/>
      <c r="BJ580" s="129"/>
      <c r="BK580" s="129"/>
      <c r="BL580" s="129">
        <v>1</v>
      </c>
      <c r="BM580" s="197"/>
    </row>
    <row r="581" spans="1:65" x14ac:dyDescent="0.25">
      <c r="A581" s="166" t="s">
        <v>52</v>
      </c>
      <c r="B581" s="166" t="s">
        <v>26</v>
      </c>
      <c r="C581" s="172" t="s">
        <v>211</v>
      </c>
      <c r="D581" s="161">
        <v>7</v>
      </c>
      <c r="E581" s="29" t="str">
        <f t="shared" si="126"/>
        <v>Commissioned assets 2013–15</v>
      </c>
      <c r="F581" s="122">
        <v>11151.5462182996</v>
      </c>
      <c r="G581" s="122">
        <v>13374</v>
      </c>
      <c r="H581" s="122">
        <v>2318.8459499999999</v>
      </c>
      <c r="I581" s="122">
        <v>5764.23765</v>
      </c>
      <c r="J581" s="122">
        <v>19136.226490000001</v>
      </c>
      <c r="K581" s="122">
        <v>1425.835</v>
      </c>
      <c r="L581" s="122">
        <v>9278.5387407703638</v>
      </c>
      <c r="M581" s="122">
        <v>12561.33282</v>
      </c>
      <c r="N581" s="122">
        <v>9280</v>
      </c>
      <c r="O581" s="122">
        <v>7284.8959999999997</v>
      </c>
      <c r="P581" s="122">
        <v>101470.185157549</v>
      </c>
      <c r="Q581" s="122">
        <v>8907</v>
      </c>
      <c r="R581" s="122">
        <v>20087.499439999989</v>
      </c>
      <c r="S581" s="122">
        <v>48677</v>
      </c>
      <c r="T581" s="122">
        <v>143062</v>
      </c>
      <c r="U581" s="122">
        <v>31975.445997742951</v>
      </c>
      <c r="V581" s="54"/>
      <c r="W581" s="54"/>
      <c r="X581" s="54"/>
      <c r="Y581" s="54"/>
      <c r="Z581" s="54"/>
      <c r="AA581" s="54"/>
      <c r="AB581" s="54"/>
      <c r="AC581" s="54"/>
      <c r="AD581" s="54"/>
      <c r="AE581" s="54"/>
      <c r="AF581" s="54"/>
      <c r="AG581" s="54"/>
      <c r="AH581" s="54"/>
      <c r="AI581" s="117">
        <f t="shared" si="127"/>
        <v>445754.5894643619</v>
      </c>
      <c r="AJ581" s="117">
        <f t="shared" si="128"/>
        <v>445754.5894643619</v>
      </c>
      <c r="AK581" s="117">
        <f t="shared" si="129"/>
        <v>0</v>
      </c>
      <c r="AL581" s="23"/>
      <c r="AM581" s="127" t="b">
        <f t="shared" si="130"/>
        <v>0</v>
      </c>
      <c r="AN581" s="127" t="str">
        <f t="shared" si="131"/>
        <v/>
      </c>
      <c r="AO581" s="129"/>
      <c r="AP581" s="129"/>
      <c r="AQ581" s="129"/>
      <c r="AR581" s="129"/>
      <c r="AS581" s="129"/>
      <c r="AT581" s="129"/>
      <c r="AU581" s="129">
        <v>1</v>
      </c>
      <c r="AV581" s="129">
        <v>1</v>
      </c>
      <c r="AW581" s="129"/>
      <c r="AX581" s="197"/>
      <c r="AY581" s="197"/>
      <c r="AZ581" s="197"/>
      <c r="BA581" s="197"/>
      <c r="BB581" s="129"/>
      <c r="BC581" s="129"/>
      <c r="BD581" s="129"/>
      <c r="BE581" s="129"/>
      <c r="BF581" s="129"/>
      <c r="BG581" s="129"/>
      <c r="BH581" s="129"/>
      <c r="BI581" s="129"/>
      <c r="BJ581" s="129"/>
      <c r="BK581" s="129"/>
      <c r="BL581" s="129">
        <v>1</v>
      </c>
      <c r="BM581" s="197"/>
    </row>
    <row r="582" spans="1:65" x14ac:dyDescent="0.25">
      <c r="A582" s="166" t="s">
        <v>52</v>
      </c>
      <c r="B582" s="166" t="s">
        <v>27</v>
      </c>
      <c r="C582" s="172" t="s">
        <v>211</v>
      </c>
      <c r="D582" s="161">
        <v>7</v>
      </c>
      <c r="E582" s="29" t="str">
        <f t="shared" si="126"/>
        <v>Commissioned assets 2013–15</v>
      </c>
      <c r="F582" s="122">
        <v>18705</v>
      </c>
      <c r="G582" s="122">
        <v>17298</v>
      </c>
      <c r="H582" s="122">
        <v>2274</v>
      </c>
      <c r="I582" s="122">
        <v>18615.361359998984</v>
      </c>
      <c r="J582" s="122">
        <v>13833.870300000006</v>
      </c>
      <c r="K582" s="122">
        <v>12354.002</v>
      </c>
      <c r="L582" s="122">
        <v>7725.5377899999958</v>
      </c>
      <c r="M582" s="122">
        <v>1093</v>
      </c>
      <c r="N582" s="122">
        <v>13773</v>
      </c>
      <c r="O582" s="122">
        <v>23814.427</v>
      </c>
      <c r="P582" s="122">
        <v>102246.99192560003</v>
      </c>
      <c r="Q582" s="122">
        <v>10691.370234669697</v>
      </c>
      <c r="R582" s="122">
        <v>25378.577699514201</v>
      </c>
      <c r="S582" s="122">
        <v>43840</v>
      </c>
      <c r="T582" s="122">
        <v>137234</v>
      </c>
      <c r="U582" s="122">
        <v>38099.89831106049</v>
      </c>
      <c r="V582" s="54"/>
      <c r="W582" s="54"/>
      <c r="X582" s="54"/>
      <c r="Y582" s="54"/>
      <c r="Z582" s="54"/>
      <c r="AA582" s="54"/>
      <c r="AB582" s="54"/>
      <c r="AC582" s="54"/>
      <c r="AD582" s="54"/>
      <c r="AE582" s="54"/>
      <c r="AF582" s="54"/>
      <c r="AG582" s="54"/>
      <c r="AH582" s="54"/>
      <c r="AI582" s="117">
        <f t="shared" si="127"/>
        <v>486977.03662084346</v>
      </c>
      <c r="AJ582" s="117">
        <f t="shared" si="128"/>
        <v>486977.03662084346</v>
      </c>
      <c r="AK582" s="117">
        <f t="shared" si="129"/>
        <v>0</v>
      </c>
      <c r="AL582" s="23"/>
      <c r="AM582" s="127" t="b">
        <f t="shared" si="130"/>
        <v>0</v>
      </c>
      <c r="AN582" s="127" t="str">
        <f t="shared" si="131"/>
        <v/>
      </c>
      <c r="AO582" s="129"/>
      <c r="AP582" s="129"/>
      <c r="AQ582" s="129"/>
      <c r="AR582" s="129"/>
      <c r="AS582" s="129"/>
      <c r="AT582" s="129"/>
      <c r="AU582" s="129">
        <v>1</v>
      </c>
      <c r="AV582" s="129">
        <v>1</v>
      </c>
      <c r="AW582" s="129"/>
      <c r="AX582" s="197"/>
      <c r="AY582" s="197"/>
      <c r="AZ582" s="197"/>
      <c r="BA582" s="197"/>
      <c r="BB582" s="129"/>
      <c r="BC582" s="129"/>
      <c r="BD582" s="129"/>
      <c r="BE582" s="129"/>
      <c r="BF582" s="129"/>
      <c r="BG582" s="129"/>
      <c r="BH582" s="129"/>
      <c r="BI582" s="129"/>
      <c r="BJ582" s="129"/>
      <c r="BK582" s="129"/>
      <c r="BL582" s="129">
        <v>1</v>
      </c>
      <c r="BM582" s="197"/>
    </row>
    <row r="583" spans="1:65" x14ac:dyDescent="0.25">
      <c r="A583" s="121"/>
      <c r="B583" s="121"/>
      <c r="C583" s="172"/>
      <c r="D583" s="49"/>
      <c r="E583" s="49"/>
      <c r="F583" s="54"/>
      <c r="G583" s="54"/>
      <c r="H583" s="54"/>
      <c r="I583" s="54"/>
      <c r="J583" s="54"/>
      <c r="K583" s="54"/>
      <c r="L583" s="54"/>
      <c r="M583" s="54"/>
      <c r="N583" s="54"/>
      <c r="O583" s="54"/>
      <c r="P583" s="54"/>
      <c r="Q583" s="54"/>
      <c r="R583" s="54"/>
      <c r="S583" s="54"/>
      <c r="T583" s="54"/>
      <c r="U583" s="54"/>
      <c r="V583" s="54"/>
      <c r="W583" s="55"/>
      <c r="X583" s="55"/>
      <c r="Y583" s="55"/>
      <c r="Z583" s="55"/>
      <c r="AA583" s="55"/>
      <c r="AB583" s="55"/>
      <c r="AC583" s="55"/>
      <c r="AD583" s="55"/>
      <c r="AE583" s="55"/>
      <c r="AF583" s="55"/>
      <c r="AG583" s="55"/>
      <c r="AH583" s="55"/>
      <c r="AI583" s="54"/>
      <c r="AJ583" s="54"/>
      <c r="AK583" s="54"/>
      <c r="AL583" s="23"/>
      <c r="AM583" s="127"/>
      <c r="AN583" s="127"/>
      <c r="AO583" s="129"/>
      <c r="AP583" s="129"/>
      <c r="AQ583" s="129"/>
      <c r="AR583" s="129"/>
      <c r="AS583" s="129"/>
      <c r="AT583" s="129"/>
      <c r="AU583" s="129"/>
      <c r="AV583" s="129"/>
      <c r="AW583" s="129"/>
      <c r="AX583" s="197"/>
      <c r="AY583" s="197"/>
      <c r="AZ583" s="197"/>
      <c r="BA583" s="197"/>
      <c r="BB583" s="129"/>
      <c r="BC583" s="129"/>
      <c r="BD583" s="129"/>
      <c r="BE583" s="129"/>
      <c r="BF583" s="129"/>
      <c r="BG583" s="129"/>
      <c r="BH583" s="129"/>
      <c r="BI583" s="129"/>
      <c r="BJ583" s="129"/>
      <c r="BK583" s="129"/>
      <c r="BL583" s="129"/>
      <c r="BM583" s="197"/>
    </row>
    <row r="584" spans="1:65" x14ac:dyDescent="0.25">
      <c r="A584" s="121"/>
      <c r="B584" s="121"/>
      <c r="C584" s="172"/>
      <c r="D584" s="46"/>
      <c r="E584" s="46"/>
      <c r="F584" s="54"/>
      <c r="G584" s="54"/>
      <c r="H584" s="54"/>
      <c r="I584" s="54"/>
      <c r="J584" s="54"/>
      <c r="K584" s="54"/>
      <c r="L584" s="54"/>
      <c r="M584" s="54"/>
      <c r="N584" s="54"/>
      <c r="O584" s="54"/>
      <c r="P584" s="54"/>
      <c r="Q584" s="54"/>
      <c r="R584" s="54"/>
      <c r="S584" s="54"/>
      <c r="T584" s="54"/>
      <c r="U584" s="54"/>
      <c r="V584" s="54"/>
      <c r="W584" s="55"/>
      <c r="X584" s="55"/>
      <c r="Y584" s="55"/>
      <c r="Z584" s="55"/>
      <c r="AA584" s="55"/>
      <c r="AB584" s="55"/>
      <c r="AC584" s="55"/>
      <c r="AD584" s="55"/>
      <c r="AE584" s="55"/>
      <c r="AF584" s="55"/>
      <c r="AG584" s="55"/>
      <c r="AH584" s="55"/>
      <c r="AI584" s="54"/>
      <c r="AJ584" s="54"/>
      <c r="AK584" s="54"/>
      <c r="AL584" s="23"/>
      <c r="AM584" s="127"/>
      <c r="AN584" s="127"/>
      <c r="AO584" s="129"/>
      <c r="AP584" s="129"/>
      <c r="AQ584" s="129"/>
      <c r="AR584" s="129"/>
      <c r="AS584" s="129"/>
      <c r="AT584" s="129"/>
      <c r="AU584" s="129"/>
      <c r="AV584" s="129"/>
      <c r="AW584" s="129"/>
      <c r="AX584" s="197"/>
      <c r="AY584" s="197"/>
      <c r="AZ584" s="197"/>
      <c r="BA584" s="197"/>
      <c r="BB584" s="129"/>
      <c r="BC584" s="129"/>
      <c r="BD584" s="129"/>
      <c r="BE584" s="129"/>
      <c r="BF584" s="129"/>
      <c r="BG584" s="129"/>
      <c r="BH584" s="129"/>
      <c r="BI584" s="129"/>
      <c r="BJ584" s="129"/>
      <c r="BK584" s="129"/>
      <c r="BL584" s="129"/>
      <c r="BM584" s="197"/>
    </row>
    <row r="585" spans="1:65" x14ac:dyDescent="0.25">
      <c r="A585" s="121" t="s">
        <v>52</v>
      </c>
      <c r="B585" s="121" t="s">
        <v>22</v>
      </c>
      <c r="C585" s="172" t="s">
        <v>211</v>
      </c>
      <c r="D585" s="161">
        <v>10</v>
      </c>
      <c r="E585" s="29" t="str">
        <f t="shared" ref="E585:E590" si="132">INDEX(ra_ScName,MATCH(D585,ra_ScNumber,0))</f>
        <v>Disclosed nominal return (incl actual asset revaluations)</v>
      </c>
      <c r="F585" s="122">
        <v>6457.0630000000001</v>
      </c>
      <c r="G585" s="122">
        <v>13308</v>
      </c>
      <c r="H585" s="122">
        <v>2614.8901999999998</v>
      </c>
      <c r="I585" s="122">
        <v>5370.6186899999984</v>
      </c>
      <c r="J585" s="122">
        <v>14297</v>
      </c>
      <c r="K585" s="122">
        <v>2986.12</v>
      </c>
      <c r="L585" s="122">
        <v>2198.657356993906</v>
      </c>
      <c r="M585" s="122">
        <v>1238</v>
      </c>
      <c r="N585" s="122">
        <v>4312</v>
      </c>
      <c r="O585" s="122">
        <v>5190</v>
      </c>
      <c r="P585" s="122">
        <v>62490</v>
      </c>
      <c r="Q585" s="122">
        <v>7231</v>
      </c>
      <c r="R585" s="122">
        <v>6453</v>
      </c>
      <c r="S585" s="122">
        <v>35310.843480000047</v>
      </c>
      <c r="T585" s="122">
        <v>131577</v>
      </c>
      <c r="U585" s="122">
        <v>34579.168048745778</v>
      </c>
      <c r="V585" s="122">
        <v>33152</v>
      </c>
      <c r="W585" s="122">
        <v>520</v>
      </c>
      <c r="X585" s="122">
        <v>10347.50541300001</v>
      </c>
      <c r="Y585" s="122">
        <v>5803</v>
      </c>
      <c r="Z585" s="122">
        <v>13875</v>
      </c>
      <c r="AA585" s="122">
        <v>12277</v>
      </c>
      <c r="AB585" s="122">
        <v>3930</v>
      </c>
      <c r="AC585" s="122">
        <v>9183.7560491024888</v>
      </c>
      <c r="AD585" s="122">
        <v>1386</v>
      </c>
      <c r="AE585" s="122">
        <v>23914</v>
      </c>
      <c r="AF585" s="122">
        <v>3170.1214809994422</v>
      </c>
      <c r="AG585" s="122">
        <v>18589.706357266448</v>
      </c>
      <c r="AH585" s="122">
        <v>5574</v>
      </c>
      <c r="AI585" s="117">
        <f t="shared" ref="AI585:AI590" si="133">SUM(F585:AH585)</f>
        <v>477335.4500761081</v>
      </c>
      <c r="AJ585" s="117">
        <f t="shared" ref="AJ585:AJ590" si="134">SUM(F585:U585)</f>
        <v>335613.36077573971</v>
      </c>
      <c r="AK585" s="117">
        <f t="shared" ref="AK585:AK590" si="135">SUM(W585:AH585)</f>
        <v>108570.08930036839</v>
      </c>
      <c r="AL585" s="23"/>
      <c r="AM585" s="127" t="b">
        <f t="shared" ref="AM585:AM590" si="136">IF(INDEX($AO585:$BM585,0,$F$14)=1,TRUE,FALSE)</f>
        <v>1</v>
      </c>
      <c r="AN585" s="127" t="str">
        <f t="shared" ref="AN585:AN590" si="137">IF(AM585,A585&amp;", "&amp;B585,"")</f>
        <v>Assets commissioned, 2009/10</v>
      </c>
      <c r="AO585" s="129"/>
      <c r="AP585" s="129"/>
      <c r="AQ585" s="129"/>
      <c r="AR585" s="129"/>
      <c r="AS585" s="129"/>
      <c r="AT585" s="129"/>
      <c r="AU585" s="129"/>
      <c r="AV585" s="129"/>
      <c r="AW585" s="129">
        <v>1</v>
      </c>
      <c r="AX585" s="197">
        <v>1</v>
      </c>
      <c r="AY585" s="197">
        <v>1</v>
      </c>
      <c r="AZ585" s="197">
        <v>1</v>
      </c>
      <c r="BA585" s="197"/>
      <c r="BB585" s="129"/>
      <c r="BC585" s="129"/>
      <c r="BD585" s="129"/>
      <c r="BE585" s="129"/>
      <c r="BF585" s="129"/>
      <c r="BG585" s="129"/>
      <c r="BH585" s="129"/>
      <c r="BI585" s="129"/>
      <c r="BJ585" s="129"/>
      <c r="BK585" s="129"/>
      <c r="BL585" s="129"/>
      <c r="BM585" s="197">
        <v>1</v>
      </c>
    </row>
    <row r="586" spans="1:65" x14ac:dyDescent="0.25">
      <c r="A586" s="121" t="s">
        <v>52</v>
      </c>
      <c r="B586" s="121" t="s">
        <v>23</v>
      </c>
      <c r="C586" s="172" t="s">
        <v>211</v>
      </c>
      <c r="D586" s="161">
        <v>10</v>
      </c>
      <c r="E586" s="29" t="str">
        <f t="shared" si="132"/>
        <v>Disclosed nominal return (incl actual asset revaluations)</v>
      </c>
      <c r="F586" s="122">
        <v>10258.097</v>
      </c>
      <c r="G586" s="122">
        <v>16369</v>
      </c>
      <c r="H586" s="122">
        <v>7328.3897299999999</v>
      </c>
      <c r="I586" s="122">
        <v>5847.5765900000006</v>
      </c>
      <c r="J586" s="122">
        <v>17595</v>
      </c>
      <c r="K586" s="122">
        <v>2629.1</v>
      </c>
      <c r="L586" s="122">
        <v>4228.7660718014849</v>
      </c>
      <c r="M586" s="122">
        <v>2093</v>
      </c>
      <c r="N586" s="122">
        <v>5710</v>
      </c>
      <c r="O586" s="122">
        <v>7321</v>
      </c>
      <c r="P586" s="122">
        <v>69224</v>
      </c>
      <c r="Q586" s="122">
        <v>6676</v>
      </c>
      <c r="R586" s="122">
        <v>10582</v>
      </c>
      <c r="S586" s="122">
        <v>31589.28295999999</v>
      </c>
      <c r="T586" s="122">
        <v>121346</v>
      </c>
      <c r="U586" s="122">
        <v>21184.753865854698</v>
      </c>
      <c r="V586" s="122">
        <v>32951</v>
      </c>
      <c r="W586" s="122">
        <v>192</v>
      </c>
      <c r="X586" s="122">
        <v>12158.28678300001</v>
      </c>
      <c r="Y586" s="122">
        <v>3021</v>
      </c>
      <c r="Z586" s="122">
        <v>10295</v>
      </c>
      <c r="AA586" s="122">
        <v>13451</v>
      </c>
      <c r="AB586" s="122">
        <v>5970</v>
      </c>
      <c r="AC586" s="122">
        <v>14644.11016940051</v>
      </c>
      <c r="AD586" s="122">
        <v>2836</v>
      </c>
      <c r="AE586" s="122">
        <v>10323</v>
      </c>
      <c r="AF586" s="122">
        <v>5414.1811770000004</v>
      </c>
      <c r="AG586" s="122">
        <v>52248.476442491192</v>
      </c>
      <c r="AH586" s="122">
        <v>3958</v>
      </c>
      <c r="AI586" s="117">
        <f t="shared" si="133"/>
        <v>507444.02078954782</v>
      </c>
      <c r="AJ586" s="117">
        <f t="shared" si="134"/>
        <v>339981.96621765615</v>
      </c>
      <c r="AK586" s="117">
        <f t="shared" si="135"/>
        <v>134511.05457189173</v>
      </c>
      <c r="AL586" s="23"/>
      <c r="AM586" s="127" t="b">
        <f t="shared" si="136"/>
        <v>1</v>
      </c>
      <c r="AN586" s="127" t="str">
        <f t="shared" si="137"/>
        <v>Assets commissioned, 2010/11</v>
      </c>
      <c r="AO586" s="129"/>
      <c r="AP586" s="129"/>
      <c r="AQ586" s="129"/>
      <c r="AR586" s="129"/>
      <c r="AS586" s="129"/>
      <c r="AT586" s="129"/>
      <c r="AU586" s="129"/>
      <c r="AV586" s="129"/>
      <c r="AW586" s="129">
        <v>1</v>
      </c>
      <c r="AX586" s="197">
        <v>1</v>
      </c>
      <c r="AY586" s="197">
        <v>1</v>
      </c>
      <c r="AZ586" s="197">
        <v>1</v>
      </c>
      <c r="BA586" s="197"/>
      <c r="BB586" s="129"/>
      <c r="BC586" s="129"/>
      <c r="BD586" s="129"/>
      <c r="BE586" s="129"/>
      <c r="BF586" s="129"/>
      <c r="BG586" s="129"/>
      <c r="BH586" s="129"/>
      <c r="BI586" s="129"/>
      <c r="BJ586" s="129"/>
      <c r="BK586" s="129"/>
      <c r="BL586" s="129"/>
      <c r="BM586" s="197">
        <v>1</v>
      </c>
    </row>
    <row r="587" spans="1:65" x14ac:dyDescent="0.25">
      <c r="A587" s="121" t="s">
        <v>52</v>
      </c>
      <c r="B587" s="121" t="s">
        <v>24</v>
      </c>
      <c r="C587" s="172" t="s">
        <v>211</v>
      </c>
      <c r="D587" s="161">
        <v>10</v>
      </c>
      <c r="E587" s="29" t="str">
        <f t="shared" si="132"/>
        <v>Disclosed nominal return (incl actual asset revaluations)</v>
      </c>
      <c r="F587" s="122">
        <v>7906.7193300000008</v>
      </c>
      <c r="G587" s="122">
        <v>12735</v>
      </c>
      <c r="H587" s="122">
        <v>2738.34449</v>
      </c>
      <c r="I587" s="122">
        <v>5163.2504199999948</v>
      </c>
      <c r="J587" s="122">
        <v>12490</v>
      </c>
      <c r="K587" s="122">
        <v>3145</v>
      </c>
      <c r="L587" s="122">
        <v>3975.9073479345429</v>
      </c>
      <c r="M587" s="122">
        <v>922</v>
      </c>
      <c r="N587" s="122">
        <v>3101</v>
      </c>
      <c r="O587" s="122">
        <v>6029.5</v>
      </c>
      <c r="P587" s="122">
        <v>66670</v>
      </c>
      <c r="Q587" s="122">
        <v>8815</v>
      </c>
      <c r="R587" s="122">
        <v>13734</v>
      </c>
      <c r="S587" s="122">
        <v>21590.128889999989</v>
      </c>
      <c r="T587" s="122">
        <v>102442</v>
      </c>
      <c r="U587" s="122">
        <v>15692</v>
      </c>
      <c r="V587" s="122">
        <v>47349</v>
      </c>
      <c r="W587" s="122">
        <v>530</v>
      </c>
      <c r="X587" s="122">
        <v>11923.823805000011</v>
      </c>
      <c r="Y587" s="122">
        <v>3772.4</v>
      </c>
      <c r="Z587" s="122">
        <v>11094</v>
      </c>
      <c r="AA587" s="122">
        <v>11639</v>
      </c>
      <c r="AB587" s="122">
        <v>2331</v>
      </c>
      <c r="AC587" s="122">
        <v>9926.3157178079964</v>
      </c>
      <c r="AD587" s="122">
        <v>1386</v>
      </c>
      <c r="AE587" s="122">
        <v>10306</v>
      </c>
      <c r="AF587" s="122">
        <v>4227.6080387418624</v>
      </c>
      <c r="AG587" s="122">
        <v>30526.72169533552</v>
      </c>
      <c r="AH587" s="122">
        <v>4240</v>
      </c>
      <c r="AI587" s="117">
        <f t="shared" si="133"/>
        <v>436401.7197348199</v>
      </c>
      <c r="AJ587" s="117">
        <f t="shared" si="134"/>
        <v>287149.85047793452</v>
      </c>
      <c r="AK587" s="117">
        <f t="shared" si="135"/>
        <v>101902.86925688539</v>
      </c>
      <c r="AL587" s="23"/>
      <c r="AM587" s="127" t="b">
        <f t="shared" si="136"/>
        <v>1</v>
      </c>
      <c r="AN587" s="127" t="str">
        <f t="shared" si="137"/>
        <v>Assets commissioned, 2011/12</v>
      </c>
      <c r="AO587" s="129"/>
      <c r="AP587" s="129"/>
      <c r="AQ587" s="129"/>
      <c r="AR587" s="129"/>
      <c r="AS587" s="129"/>
      <c r="AT587" s="129"/>
      <c r="AU587" s="129"/>
      <c r="AV587" s="129"/>
      <c r="AW587" s="129">
        <v>1</v>
      </c>
      <c r="AX587" s="197">
        <v>1</v>
      </c>
      <c r="AY587" s="197">
        <v>1</v>
      </c>
      <c r="AZ587" s="197">
        <v>1</v>
      </c>
      <c r="BA587" s="197"/>
      <c r="BB587" s="129"/>
      <c r="BC587" s="129"/>
      <c r="BD587" s="129"/>
      <c r="BE587" s="129"/>
      <c r="BF587" s="129"/>
      <c r="BG587" s="129"/>
      <c r="BH587" s="129"/>
      <c r="BI587" s="129"/>
      <c r="BJ587" s="129"/>
      <c r="BK587" s="129"/>
      <c r="BL587" s="129"/>
      <c r="BM587" s="197">
        <v>1</v>
      </c>
    </row>
    <row r="588" spans="1:65" x14ac:dyDescent="0.25">
      <c r="A588" s="121" t="s">
        <v>52</v>
      </c>
      <c r="B588" s="121" t="s">
        <v>25</v>
      </c>
      <c r="C588" s="172" t="s">
        <v>211</v>
      </c>
      <c r="D588" s="161">
        <v>10</v>
      </c>
      <c r="E588" s="29" t="str">
        <f t="shared" si="132"/>
        <v>Disclosed nominal return (incl actual asset revaluations)</v>
      </c>
      <c r="F588" s="122">
        <v>29132.036609999999</v>
      </c>
      <c r="G588" s="122">
        <v>12886</v>
      </c>
      <c r="H588" s="122">
        <v>3522.4959100000001</v>
      </c>
      <c r="I588" s="122">
        <v>4831.0870100000047</v>
      </c>
      <c r="J588" s="122">
        <v>23974</v>
      </c>
      <c r="K588" s="122">
        <v>3716</v>
      </c>
      <c r="L588" s="122">
        <v>6687.6319727932478</v>
      </c>
      <c r="M588" s="122">
        <v>1598.4</v>
      </c>
      <c r="N588" s="122">
        <v>3113</v>
      </c>
      <c r="O588" s="122">
        <v>10102</v>
      </c>
      <c r="P588" s="122">
        <v>77635</v>
      </c>
      <c r="Q588" s="122">
        <v>7993</v>
      </c>
      <c r="R588" s="122">
        <v>29408.91</v>
      </c>
      <c r="S588" s="122">
        <v>20048.127179999989</v>
      </c>
      <c r="T588" s="122">
        <v>113902</v>
      </c>
      <c r="U588" s="122">
        <v>22099</v>
      </c>
      <c r="V588" s="122">
        <v>46928</v>
      </c>
      <c r="W588" s="122">
        <v>1251</v>
      </c>
      <c r="X588" s="122">
        <v>10096.543385000001</v>
      </c>
      <c r="Y588" s="122">
        <v>10316</v>
      </c>
      <c r="Z588" s="122">
        <v>13908</v>
      </c>
      <c r="AA588" s="122">
        <v>12607</v>
      </c>
      <c r="AB588" s="122">
        <v>4149</v>
      </c>
      <c r="AC588" s="122">
        <v>10350.2967880255</v>
      </c>
      <c r="AD588" s="122">
        <v>1604</v>
      </c>
      <c r="AE588" s="122">
        <v>17357</v>
      </c>
      <c r="AF588" s="122">
        <v>4392.0723395510004</v>
      </c>
      <c r="AG588" s="122">
        <v>51554.233801224662</v>
      </c>
      <c r="AH588" s="122">
        <v>4022</v>
      </c>
      <c r="AI588" s="117">
        <f t="shared" si="133"/>
        <v>559183.83499659435</v>
      </c>
      <c r="AJ588" s="117">
        <f t="shared" si="134"/>
        <v>370648.68868279323</v>
      </c>
      <c r="AK588" s="117">
        <f t="shared" si="135"/>
        <v>141607.14631380117</v>
      </c>
      <c r="AL588" s="23"/>
      <c r="AM588" s="127" t="b">
        <f t="shared" si="136"/>
        <v>1</v>
      </c>
      <c r="AN588" s="127" t="str">
        <f t="shared" si="137"/>
        <v>Assets commissioned, 2012/13</v>
      </c>
      <c r="AO588" s="129"/>
      <c r="AP588" s="129"/>
      <c r="AQ588" s="129"/>
      <c r="AR588" s="129"/>
      <c r="AS588" s="129"/>
      <c r="AT588" s="129"/>
      <c r="AU588" s="129"/>
      <c r="AV588" s="129"/>
      <c r="AW588" s="129">
        <v>1</v>
      </c>
      <c r="AX588" s="197">
        <v>1</v>
      </c>
      <c r="AY588" s="197">
        <v>1</v>
      </c>
      <c r="AZ588" s="197">
        <v>1</v>
      </c>
      <c r="BA588" s="197"/>
      <c r="BB588" s="129"/>
      <c r="BC588" s="129"/>
      <c r="BD588" s="129"/>
      <c r="BE588" s="129"/>
      <c r="BF588" s="129"/>
      <c r="BG588" s="129"/>
      <c r="BH588" s="129"/>
      <c r="BI588" s="129"/>
      <c r="BJ588" s="129"/>
      <c r="BK588" s="129"/>
      <c r="BL588" s="129"/>
      <c r="BM588" s="197">
        <v>1</v>
      </c>
    </row>
    <row r="589" spans="1:65" x14ac:dyDescent="0.25">
      <c r="A589" s="121" t="s">
        <v>52</v>
      </c>
      <c r="B589" s="121" t="s">
        <v>26</v>
      </c>
      <c r="C589" s="172" t="s">
        <v>211</v>
      </c>
      <c r="D589" s="161">
        <v>10</v>
      </c>
      <c r="E589" s="29" t="str">
        <f t="shared" si="132"/>
        <v>Disclosed nominal return (incl actual asset revaluations)</v>
      </c>
      <c r="F589" s="122">
        <v>11151.5462182996</v>
      </c>
      <c r="G589" s="122">
        <v>13374</v>
      </c>
      <c r="H589" s="122">
        <v>2318.8459499999999</v>
      </c>
      <c r="I589" s="122">
        <v>5764.23765</v>
      </c>
      <c r="J589" s="122">
        <v>19136.226490000001</v>
      </c>
      <c r="K589" s="122">
        <v>1425.835</v>
      </c>
      <c r="L589" s="122">
        <v>9278.5387407703638</v>
      </c>
      <c r="M589" s="122">
        <v>12561.33282</v>
      </c>
      <c r="N589" s="122">
        <v>9280</v>
      </c>
      <c r="O589" s="122">
        <v>7284.8959999999997</v>
      </c>
      <c r="P589" s="122">
        <v>101470.185157549</v>
      </c>
      <c r="Q589" s="122">
        <v>8907</v>
      </c>
      <c r="R589" s="122">
        <v>20087.499439999989</v>
      </c>
      <c r="S589" s="122">
        <v>48677</v>
      </c>
      <c r="T589" s="122">
        <v>143062</v>
      </c>
      <c r="U589" s="122">
        <v>31975.445997742951</v>
      </c>
      <c r="V589" s="122">
        <v>73121.399999999994</v>
      </c>
      <c r="W589" s="122">
        <v>1738</v>
      </c>
      <c r="X589" s="122">
        <v>13490.39303600001</v>
      </c>
      <c r="Y589" s="122">
        <v>4537.81394</v>
      </c>
      <c r="Z589" s="122">
        <v>26375</v>
      </c>
      <c r="AA589" s="122">
        <v>13161.471</v>
      </c>
      <c r="AB589" s="122">
        <v>3322</v>
      </c>
      <c r="AC589" s="122">
        <v>13951.760852359999</v>
      </c>
      <c r="AD589" s="122">
        <v>2004</v>
      </c>
      <c r="AE589" s="122">
        <v>17755</v>
      </c>
      <c r="AF589" s="122">
        <v>3649.6062365400012</v>
      </c>
      <c r="AG589" s="122">
        <v>32341.206300000002</v>
      </c>
      <c r="AH589" s="122">
        <v>2695</v>
      </c>
      <c r="AI589" s="117">
        <f t="shared" si="133"/>
        <v>653897.24082926195</v>
      </c>
      <c r="AJ589" s="117">
        <f t="shared" si="134"/>
        <v>445754.5894643619</v>
      </c>
      <c r="AK589" s="117">
        <f t="shared" si="135"/>
        <v>135021.2513649</v>
      </c>
      <c r="AL589" s="23"/>
      <c r="AM589" s="127" t="b">
        <f t="shared" si="136"/>
        <v>1</v>
      </c>
      <c r="AN589" s="127" t="str">
        <f t="shared" si="137"/>
        <v>Assets commissioned, 2013/14</v>
      </c>
      <c r="AO589" s="129"/>
      <c r="AP589" s="129"/>
      <c r="AQ589" s="129"/>
      <c r="AR589" s="129"/>
      <c r="AS589" s="129"/>
      <c r="AT589" s="129"/>
      <c r="AU589" s="129"/>
      <c r="AV589" s="129"/>
      <c r="AW589" s="129">
        <v>1</v>
      </c>
      <c r="AX589" s="197">
        <v>1</v>
      </c>
      <c r="AY589" s="197">
        <v>1</v>
      </c>
      <c r="AZ589" s="197">
        <v>1</v>
      </c>
      <c r="BA589" s="197"/>
      <c r="BB589" s="129"/>
      <c r="BC589" s="129"/>
      <c r="BD589" s="129"/>
      <c r="BE589" s="129"/>
      <c r="BF589" s="129"/>
      <c r="BG589" s="129"/>
      <c r="BH589" s="129"/>
      <c r="BI589" s="129"/>
      <c r="BJ589" s="129"/>
      <c r="BK589" s="129"/>
      <c r="BL589" s="129"/>
      <c r="BM589" s="197">
        <v>1</v>
      </c>
    </row>
    <row r="590" spans="1:65" x14ac:dyDescent="0.25">
      <c r="A590" s="121" t="s">
        <v>52</v>
      </c>
      <c r="B590" s="121" t="s">
        <v>27</v>
      </c>
      <c r="C590" s="172" t="s">
        <v>211</v>
      </c>
      <c r="D590" s="161">
        <v>10</v>
      </c>
      <c r="E590" s="29" t="str">
        <f t="shared" si="132"/>
        <v>Disclosed nominal return (incl actual asset revaluations)</v>
      </c>
      <c r="F590" s="122">
        <v>18705</v>
      </c>
      <c r="G590" s="122">
        <v>17298</v>
      </c>
      <c r="H590" s="122">
        <v>2274</v>
      </c>
      <c r="I590" s="122">
        <v>18615.361359998984</v>
      </c>
      <c r="J590" s="122">
        <v>13833.870300000006</v>
      </c>
      <c r="K590" s="122">
        <v>12354.002</v>
      </c>
      <c r="L590" s="122">
        <v>7725.5377899999958</v>
      </c>
      <c r="M590" s="122">
        <v>1093</v>
      </c>
      <c r="N590" s="122">
        <v>13773</v>
      </c>
      <c r="O590" s="122">
        <v>23814.427</v>
      </c>
      <c r="P590" s="122">
        <v>102246.99192560003</v>
      </c>
      <c r="Q590" s="122">
        <v>10691.370234669697</v>
      </c>
      <c r="R590" s="122">
        <v>25378.577699514201</v>
      </c>
      <c r="S590" s="122">
        <v>43840</v>
      </c>
      <c r="T590" s="122">
        <v>137234</v>
      </c>
      <c r="U590" s="122">
        <v>38099.89831106049</v>
      </c>
      <c r="V590" s="122">
        <v>53513.902000000002</v>
      </c>
      <c r="W590" s="122">
        <v>1693.4</v>
      </c>
      <c r="X590" s="122">
        <v>25260</v>
      </c>
      <c r="Y590" s="122">
        <v>8623.8225600000005</v>
      </c>
      <c r="Z590" s="122">
        <v>22346</v>
      </c>
      <c r="AA590" s="122">
        <v>11814</v>
      </c>
      <c r="AB590" s="122">
        <v>2628</v>
      </c>
      <c r="AC590" s="122">
        <v>10580.39279</v>
      </c>
      <c r="AD590" s="122">
        <v>2117.6246682000024</v>
      </c>
      <c r="AE590" s="122">
        <v>22169.27</v>
      </c>
      <c r="AF590" s="122">
        <v>3375.8258205790012</v>
      </c>
      <c r="AG590" s="122">
        <v>30675.887009999999</v>
      </c>
      <c r="AH590" s="122">
        <v>2062</v>
      </c>
      <c r="AI590" s="117">
        <f t="shared" si="133"/>
        <v>683837.1614696224</v>
      </c>
      <c r="AJ590" s="117">
        <f t="shared" si="134"/>
        <v>486977.03662084346</v>
      </c>
      <c r="AK590" s="117">
        <f t="shared" si="135"/>
        <v>143346.222848779</v>
      </c>
      <c r="AL590" s="23"/>
      <c r="AM590" s="127" t="b">
        <f t="shared" si="136"/>
        <v>1</v>
      </c>
      <c r="AN590" s="127" t="str">
        <f t="shared" si="137"/>
        <v>Assets commissioned, 2014/15</v>
      </c>
      <c r="AO590" s="129"/>
      <c r="AP590" s="129"/>
      <c r="AQ590" s="129"/>
      <c r="AR590" s="129"/>
      <c r="AS590" s="129"/>
      <c r="AT590" s="129"/>
      <c r="AU590" s="129"/>
      <c r="AV590" s="129"/>
      <c r="AW590" s="129">
        <v>1</v>
      </c>
      <c r="AX590" s="197">
        <v>1</v>
      </c>
      <c r="AY590" s="197">
        <v>1</v>
      </c>
      <c r="AZ590" s="197">
        <v>1</v>
      </c>
      <c r="BA590" s="197"/>
      <c r="BB590" s="129"/>
      <c r="BC590" s="129"/>
      <c r="BD590" s="129"/>
      <c r="BE590" s="129"/>
      <c r="BF590" s="129"/>
      <c r="BG590" s="129"/>
      <c r="BH590" s="129"/>
      <c r="BI590" s="129"/>
      <c r="BJ590" s="129"/>
      <c r="BK590" s="129"/>
      <c r="BL590" s="129"/>
      <c r="BM590" s="197">
        <v>1</v>
      </c>
    </row>
    <row r="591" spans="1:65" x14ac:dyDescent="0.25">
      <c r="A591" s="121"/>
      <c r="B591" s="121"/>
      <c r="C591" s="172"/>
      <c r="D591" s="49"/>
      <c r="E591" s="49"/>
      <c r="F591" s="54"/>
      <c r="G591" s="54"/>
      <c r="H591" s="54"/>
      <c r="I591" s="54"/>
      <c r="J591" s="54"/>
      <c r="K591" s="54"/>
      <c r="L591" s="54"/>
      <c r="M591" s="54"/>
      <c r="N591" s="54"/>
      <c r="O591" s="54"/>
      <c r="P591" s="54"/>
      <c r="Q591" s="54"/>
      <c r="R591" s="54"/>
      <c r="S591" s="54"/>
      <c r="T591" s="54"/>
      <c r="U591" s="54"/>
      <c r="V591" s="54"/>
      <c r="W591" s="55"/>
      <c r="X591" s="55"/>
      <c r="Y591" s="55"/>
      <c r="Z591" s="55"/>
      <c r="AA591" s="55"/>
      <c r="AB591" s="55"/>
      <c r="AC591" s="55"/>
      <c r="AD591" s="55"/>
      <c r="AE591" s="55"/>
      <c r="AF591" s="55"/>
      <c r="AG591" s="55"/>
      <c r="AH591" s="55"/>
      <c r="AI591" s="54"/>
      <c r="AJ591" s="54"/>
      <c r="AK591" s="54"/>
      <c r="AL591" s="23"/>
      <c r="AM591" s="127"/>
      <c r="AN591" s="127"/>
      <c r="AO591" s="129"/>
      <c r="AP591" s="129"/>
      <c r="AQ591" s="129"/>
      <c r="AR591" s="129"/>
      <c r="AS591" s="129"/>
      <c r="AT591" s="129"/>
      <c r="AU591" s="129"/>
      <c r="AV591" s="129"/>
      <c r="AW591" s="129"/>
      <c r="AX591" s="197"/>
      <c r="AY591" s="197"/>
      <c r="AZ591" s="197"/>
      <c r="BA591" s="197"/>
      <c r="BB591" s="129"/>
      <c r="BC591" s="129"/>
      <c r="BD591" s="129"/>
      <c r="BE591" s="129"/>
      <c r="BF591" s="129"/>
      <c r="BG591" s="129"/>
      <c r="BH591" s="129"/>
      <c r="BI591" s="129"/>
      <c r="BJ591" s="129"/>
      <c r="BK591" s="129"/>
      <c r="BL591" s="129"/>
      <c r="BM591" s="197"/>
    </row>
    <row r="592" spans="1:65" x14ac:dyDescent="0.25">
      <c r="A592" s="121"/>
      <c r="B592" s="121"/>
      <c r="C592" s="172"/>
      <c r="D592" s="46"/>
      <c r="E592" s="46"/>
      <c r="F592" s="54"/>
      <c r="G592" s="54"/>
      <c r="H592" s="54"/>
      <c r="I592" s="54"/>
      <c r="J592" s="54"/>
      <c r="K592" s="54"/>
      <c r="L592" s="54"/>
      <c r="M592" s="54"/>
      <c r="N592" s="54"/>
      <c r="O592" s="54"/>
      <c r="P592" s="54"/>
      <c r="Q592" s="54"/>
      <c r="R592" s="54"/>
      <c r="S592" s="54"/>
      <c r="T592" s="54"/>
      <c r="U592" s="54"/>
      <c r="V592" s="54"/>
      <c r="W592" s="55"/>
      <c r="X592" s="55"/>
      <c r="Y592" s="55"/>
      <c r="Z592" s="55"/>
      <c r="AA592" s="55"/>
      <c r="AB592" s="55"/>
      <c r="AC592" s="55"/>
      <c r="AD592" s="55"/>
      <c r="AE592" s="55"/>
      <c r="AF592" s="55"/>
      <c r="AG592" s="55"/>
      <c r="AH592" s="55"/>
      <c r="AI592" s="54"/>
      <c r="AJ592" s="54"/>
      <c r="AK592" s="54"/>
      <c r="AL592" s="23"/>
      <c r="AM592" s="127"/>
      <c r="AN592" s="127"/>
      <c r="AO592" s="129"/>
      <c r="AP592" s="129"/>
      <c r="AQ592" s="129"/>
      <c r="AR592" s="129"/>
      <c r="AS592" s="129"/>
      <c r="AT592" s="129"/>
      <c r="AU592" s="129"/>
      <c r="AV592" s="129"/>
      <c r="AW592" s="129"/>
      <c r="AX592" s="197"/>
      <c r="AY592" s="197"/>
      <c r="AZ592" s="197"/>
      <c r="BA592" s="197"/>
      <c r="BB592" s="129"/>
      <c r="BC592" s="129"/>
      <c r="BD592" s="129"/>
      <c r="BE592" s="129"/>
      <c r="BF592" s="129"/>
      <c r="BG592" s="129"/>
      <c r="BH592" s="129"/>
      <c r="BI592" s="129"/>
      <c r="BJ592" s="129"/>
      <c r="BK592" s="129"/>
      <c r="BL592" s="129"/>
      <c r="BM592" s="197"/>
    </row>
    <row r="593" spans="1:65" x14ac:dyDescent="0.25">
      <c r="A593" s="121" t="s">
        <v>63</v>
      </c>
      <c r="B593" s="121" t="s">
        <v>22</v>
      </c>
      <c r="C593" s="172" t="s">
        <v>397</v>
      </c>
      <c r="D593" s="161">
        <v>1</v>
      </c>
      <c r="E593" s="29" t="str">
        <f t="shared" ref="E593:E598" si="138">INDEX(ra_ScName,MATCH(D593,ra_ScNumber,0))</f>
        <v>Expected nominal return (incl forecast asset revaluations)</v>
      </c>
      <c r="F593" s="122">
        <v>53.023000000000003</v>
      </c>
      <c r="G593" s="122">
        <v>452</v>
      </c>
      <c r="H593" s="122">
        <v>0</v>
      </c>
      <c r="I593" s="122">
        <v>259</v>
      </c>
      <c r="J593" s="122">
        <v>0</v>
      </c>
      <c r="K593" s="122">
        <v>25</v>
      </c>
      <c r="L593" s="122">
        <v>71.185678717912296</v>
      </c>
      <c r="M593" s="122">
        <v>0</v>
      </c>
      <c r="N593" s="122">
        <v>0</v>
      </c>
      <c r="O593" s="122">
        <v>0</v>
      </c>
      <c r="P593" s="122">
        <v>11055</v>
      </c>
      <c r="Q593" s="122">
        <v>168.12794537129605</v>
      </c>
      <c r="R593" s="122">
        <v>29</v>
      </c>
      <c r="S593" s="122">
        <v>911.01528869499998</v>
      </c>
      <c r="T593" s="122">
        <v>8957</v>
      </c>
      <c r="U593" s="122">
        <v>17</v>
      </c>
      <c r="V593" s="122">
        <v>411</v>
      </c>
      <c r="W593" s="54"/>
      <c r="X593" s="54"/>
      <c r="Y593" s="54"/>
      <c r="Z593" s="54"/>
      <c r="AA593" s="54"/>
      <c r="AB593" s="54"/>
      <c r="AC593" s="54"/>
      <c r="AD593" s="54"/>
      <c r="AE593" s="54"/>
      <c r="AF593" s="54"/>
      <c r="AG593" s="54"/>
      <c r="AH593" s="54"/>
      <c r="AI593" s="117">
        <f t="shared" ref="AI593:AI598" si="139">SUM(F593:AH593)</f>
        <v>22408.351912784208</v>
      </c>
      <c r="AJ593" s="117">
        <f t="shared" ref="AJ593:AJ598" si="140">SUM(F593:U593)</f>
        <v>21997.351912784208</v>
      </c>
      <c r="AK593" s="117">
        <f t="shared" ref="AK593:AK598" si="141">SUM(W593:AH593)</f>
        <v>0</v>
      </c>
      <c r="AL593" s="23"/>
      <c r="AM593" s="127" t="b">
        <f t="shared" ref="AM593:AM598" si="142">IF(INDEX($AO593:$BM593,0,$F$14)=1,TRUE,FALSE)</f>
        <v>0</v>
      </c>
      <c r="AN593" s="127" t="str">
        <f t="shared" ref="AN593:AN598" si="143">IF(AM593,A593&amp;", "&amp;B593,"")</f>
        <v/>
      </c>
      <c r="AO593" s="129">
        <v>1</v>
      </c>
      <c r="AP593" s="129">
        <v>1</v>
      </c>
      <c r="AQ593" s="129">
        <v>1</v>
      </c>
      <c r="AR593" s="129"/>
      <c r="AS593" s="129"/>
      <c r="AT593" s="129"/>
      <c r="AU593" s="129"/>
      <c r="AV593" s="129"/>
      <c r="AW593" s="129"/>
      <c r="AX593" s="197"/>
      <c r="AY593" s="197"/>
      <c r="AZ593" s="197"/>
      <c r="BA593" s="197">
        <v>1</v>
      </c>
      <c r="BB593" s="129">
        <v>1</v>
      </c>
      <c r="BC593" s="129">
        <v>1</v>
      </c>
      <c r="BD593" s="129">
        <v>1</v>
      </c>
      <c r="BE593" s="129">
        <v>1</v>
      </c>
      <c r="BF593" s="129">
        <v>1</v>
      </c>
      <c r="BG593" s="129">
        <v>1</v>
      </c>
      <c r="BH593" s="129">
        <v>1</v>
      </c>
      <c r="BI593" s="129">
        <v>1</v>
      </c>
      <c r="BJ593" s="129">
        <v>1</v>
      </c>
      <c r="BK593" s="129">
        <v>1</v>
      </c>
      <c r="BL593" s="129"/>
      <c r="BM593" s="197"/>
    </row>
    <row r="594" spans="1:65" x14ac:dyDescent="0.25">
      <c r="A594" s="121" t="s">
        <v>63</v>
      </c>
      <c r="B594" s="121" t="s">
        <v>23</v>
      </c>
      <c r="C594" s="172" t="s">
        <v>397</v>
      </c>
      <c r="D594" s="161">
        <v>1</v>
      </c>
      <c r="E594" s="29" t="str">
        <f t="shared" si="138"/>
        <v>Expected nominal return (incl forecast asset revaluations)</v>
      </c>
      <c r="F594" s="122">
        <v>55.391392889699176</v>
      </c>
      <c r="G594" s="122">
        <v>472.1896080218778</v>
      </c>
      <c r="H594" s="122">
        <v>0</v>
      </c>
      <c r="I594" s="122">
        <v>270.56882406563352</v>
      </c>
      <c r="J594" s="122">
        <v>0</v>
      </c>
      <c r="K594" s="122">
        <v>26.116681859617135</v>
      </c>
      <c r="L594" s="122">
        <v>74.365348961465344</v>
      </c>
      <c r="M594" s="122">
        <v>0</v>
      </c>
      <c r="N594" s="122">
        <v>0</v>
      </c>
      <c r="O594" s="122">
        <v>0</v>
      </c>
      <c r="P594" s="122">
        <v>11548.796718322697</v>
      </c>
      <c r="Q594" s="122">
        <v>175.63776243892914</v>
      </c>
      <c r="R594" s="122">
        <v>30.295350957155879</v>
      </c>
      <c r="S594" s="122">
        <v>951.70785856378291</v>
      </c>
      <c r="T594" s="122">
        <v>9357.0847766636271</v>
      </c>
      <c r="U594" s="122">
        <v>17.759343664539653</v>
      </c>
      <c r="V594" s="122">
        <v>429.35824977210569</v>
      </c>
      <c r="W594" s="54"/>
      <c r="X594" s="54"/>
      <c r="Y594" s="54"/>
      <c r="Z594" s="54"/>
      <c r="AA594" s="54"/>
      <c r="AB594" s="54"/>
      <c r="AC594" s="54"/>
      <c r="AD594" s="54"/>
      <c r="AE594" s="54"/>
      <c r="AF594" s="54"/>
      <c r="AG594" s="54"/>
      <c r="AH594" s="54"/>
      <c r="AI594" s="117">
        <f t="shared" si="139"/>
        <v>23409.271916181133</v>
      </c>
      <c r="AJ594" s="117">
        <f t="shared" si="140"/>
        <v>22979.913666409026</v>
      </c>
      <c r="AK594" s="117">
        <f t="shared" si="141"/>
        <v>0</v>
      </c>
      <c r="AL594" s="23"/>
      <c r="AM594" s="127" t="b">
        <f t="shared" si="142"/>
        <v>0</v>
      </c>
      <c r="AN594" s="127" t="str">
        <f t="shared" si="143"/>
        <v/>
      </c>
      <c r="AO594" s="129">
        <v>1</v>
      </c>
      <c r="AP594" s="129">
        <v>1</v>
      </c>
      <c r="AQ594" s="129">
        <v>1</v>
      </c>
      <c r="AR594" s="129"/>
      <c r="AS594" s="129"/>
      <c r="AT594" s="129"/>
      <c r="AU594" s="129"/>
      <c r="AV594" s="129"/>
      <c r="AW594" s="129"/>
      <c r="AX594" s="197"/>
      <c r="AY594" s="197"/>
      <c r="AZ594" s="197"/>
      <c r="BA594" s="197">
        <v>1</v>
      </c>
      <c r="BB594" s="129">
        <v>1</v>
      </c>
      <c r="BC594" s="129">
        <v>1</v>
      </c>
      <c r="BD594" s="129">
        <v>1</v>
      </c>
      <c r="BE594" s="129">
        <v>1</v>
      </c>
      <c r="BF594" s="129">
        <v>1</v>
      </c>
      <c r="BG594" s="129">
        <v>1</v>
      </c>
      <c r="BH594" s="129">
        <v>1</v>
      </c>
      <c r="BI594" s="129">
        <v>1</v>
      </c>
      <c r="BJ594" s="129">
        <v>1</v>
      </c>
      <c r="BK594" s="129">
        <v>1</v>
      </c>
      <c r="BL594" s="129"/>
      <c r="BM594" s="197"/>
    </row>
    <row r="595" spans="1:65" x14ac:dyDescent="0.25">
      <c r="A595" s="121" t="s">
        <v>63</v>
      </c>
      <c r="B595" s="121" t="s">
        <v>24</v>
      </c>
      <c r="C595" s="172" t="s">
        <v>397</v>
      </c>
      <c r="D595" s="161">
        <v>1</v>
      </c>
      <c r="E595" s="29" t="str">
        <f t="shared" si="138"/>
        <v>Expected nominal return (incl forecast asset revaluations)</v>
      </c>
      <c r="F595" s="122">
        <v>56.261414767547869</v>
      </c>
      <c r="G595" s="122">
        <v>479.6061987237922</v>
      </c>
      <c r="H595" s="122">
        <v>0</v>
      </c>
      <c r="I595" s="122">
        <v>274.8185961713765</v>
      </c>
      <c r="J595" s="122">
        <v>0</v>
      </c>
      <c r="K595" s="122">
        <v>26.526891522333639</v>
      </c>
      <c r="L595" s="122">
        <v>75.533391091750161</v>
      </c>
      <c r="M595" s="122">
        <v>0</v>
      </c>
      <c r="N595" s="122">
        <v>0</v>
      </c>
      <c r="O595" s="122">
        <v>0</v>
      </c>
      <c r="P595" s="122">
        <v>11730.191431175936</v>
      </c>
      <c r="Q595" s="122">
        <v>178.39647074948826</v>
      </c>
      <c r="R595" s="122">
        <v>30.771194165907023</v>
      </c>
      <c r="S595" s="122">
        <v>966.65614953598913</v>
      </c>
      <c r="T595" s="122">
        <v>9504.0546946216964</v>
      </c>
      <c r="U595" s="122">
        <v>18.038286235186874</v>
      </c>
      <c r="V595" s="122">
        <v>436.10209662716505</v>
      </c>
      <c r="W595" s="54"/>
      <c r="X595" s="54"/>
      <c r="Y595" s="54"/>
      <c r="Z595" s="54"/>
      <c r="AA595" s="54"/>
      <c r="AB595" s="54"/>
      <c r="AC595" s="54"/>
      <c r="AD595" s="54"/>
      <c r="AE595" s="54"/>
      <c r="AF595" s="54"/>
      <c r="AG595" s="54"/>
      <c r="AH595" s="54"/>
      <c r="AI595" s="117">
        <f t="shared" si="139"/>
        <v>23776.95681538817</v>
      </c>
      <c r="AJ595" s="117">
        <f t="shared" si="140"/>
        <v>23340.854718761006</v>
      </c>
      <c r="AK595" s="117">
        <f t="shared" si="141"/>
        <v>0</v>
      </c>
      <c r="AL595" s="23"/>
      <c r="AM595" s="127" t="b">
        <f t="shared" si="142"/>
        <v>0</v>
      </c>
      <c r="AN595" s="127" t="str">
        <f t="shared" si="143"/>
        <v/>
      </c>
      <c r="AO595" s="129">
        <v>1</v>
      </c>
      <c r="AP595" s="129">
        <v>1</v>
      </c>
      <c r="AQ595" s="129">
        <v>1</v>
      </c>
      <c r="AR595" s="129"/>
      <c r="AS595" s="129"/>
      <c r="AT595" s="129"/>
      <c r="AU595" s="129"/>
      <c r="AV595" s="129"/>
      <c r="AW595" s="129"/>
      <c r="AX595" s="197"/>
      <c r="AY595" s="197"/>
      <c r="AZ595" s="197"/>
      <c r="BA595" s="197">
        <v>1</v>
      </c>
      <c r="BB595" s="129">
        <v>1</v>
      </c>
      <c r="BC595" s="129">
        <v>1</v>
      </c>
      <c r="BD595" s="129">
        <v>1</v>
      </c>
      <c r="BE595" s="129">
        <v>1</v>
      </c>
      <c r="BF595" s="129">
        <v>1</v>
      </c>
      <c r="BG595" s="129">
        <v>1</v>
      </c>
      <c r="BH595" s="129">
        <v>1</v>
      </c>
      <c r="BI595" s="129">
        <v>1</v>
      </c>
      <c r="BJ595" s="129">
        <v>1</v>
      </c>
      <c r="BK595" s="129">
        <v>1</v>
      </c>
      <c r="BL595" s="129"/>
      <c r="BM595" s="197"/>
    </row>
    <row r="596" spans="1:65" x14ac:dyDescent="0.25">
      <c r="A596" s="121" t="s">
        <v>63</v>
      </c>
      <c r="B596" s="121" t="s">
        <v>25</v>
      </c>
      <c r="C596" s="172" t="s">
        <v>397</v>
      </c>
      <c r="D596" s="161">
        <v>1</v>
      </c>
      <c r="E596" s="29" t="str">
        <f t="shared" si="138"/>
        <v>Expected nominal return (incl forecast asset revaluations)</v>
      </c>
      <c r="F596" s="122">
        <v>57.27644029170466</v>
      </c>
      <c r="G596" s="122">
        <v>488.2588878760256</v>
      </c>
      <c r="H596" s="122">
        <v>0</v>
      </c>
      <c r="I596" s="122">
        <v>279.77666362807662</v>
      </c>
      <c r="J596" s="122">
        <v>0</v>
      </c>
      <c r="K596" s="122">
        <v>27.005469462169557</v>
      </c>
      <c r="L596" s="122">
        <v>76.896106910415753</v>
      </c>
      <c r="M596" s="122">
        <v>0</v>
      </c>
      <c r="N596" s="122">
        <v>0</v>
      </c>
      <c r="O596" s="122">
        <v>0</v>
      </c>
      <c r="P596" s="122">
        <v>11941.818596171379</v>
      </c>
      <c r="Q596" s="122">
        <v>181.61496377847388</v>
      </c>
      <c r="R596" s="122">
        <v>31.326344576116686</v>
      </c>
      <c r="S596" s="122">
        <v>984.09582233689616</v>
      </c>
      <c r="T596" s="122">
        <v>9675.5195989061085</v>
      </c>
      <c r="U596" s="122">
        <v>18.363719234275298</v>
      </c>
      <c r="V596" s="122">
        <v>443.96991795806753</v>
      </c>
      <c r="W596" s="54"/>
      <c r="X596" s="54"/>
      <c r="Y596" s="54"/>
      <c r="Z596" s="54"/>
      <c r="AA596" s="54"/>
      <c r="AB596" s="54"/>
      <c r="AC596" s="54"/>
      <c r="AD596" s="54"/>
      <c r="AE596" s="54"/>
      <c r="AF596" s="54"/>
      <c r="AG596" s="54"/>
      <c r="AH596" s="54"/>
      <c r="AI596" s="117">
        <f t="shared" si="139"/>
        <v>24205.922531129712</v>
      </c>
      <c r="AJ596" s="117">
        <f t="shared" si="140"/>
        <v>23761.952613171645</v>
      </c>
      <c r="AK596" s="117">
        <f t="shared" si="141"/>
        <v>0</v>
      </c>
      <c r="AL596" s="23"/>
      <c r="AM596" s="127" t="b">
        <f t="shared" si="142"/>
        <v>0</v>
      </c>
      <c r="AN596" s="127" t="str">
        <f t="shared" si="143"/>
        <v/>
      </c>
      <c r="AO596" s="129">
        <v>1</v>
      </c>
      <c r="AP596" s="129">
        <v>1</v>
      </c>
      <c r="AQ596" s="129">
        <v>1</v>
      </c>
      <c r="AR596" s="129"/>
      <c r="AS596" s="129"/>
      <c r="AT596" s="129"/>
      <c r="AU596" s="129"/>
      <c r="AV596" s="129"/>
      <c r="AW596" s="129"/>
      <c r="AX596" s="197"/>
      <c r="AY596" s="197"/>
      <c r="AZ596" s="197"/>
      <c r="BA596" s="197">
        <v>1</v>
      </c>
      <c r="BB596" s="129">
        <v>1</v>
      </c>
      <c r="BC596" s="129">
        <v>1</v>
      </c>
      <c r="BD596" s="129">
        <v>1</v>
      </c>
      <c r="BE596" s="129">
        <v>1</v>
      </c>
      <c r="BF596" s="129">
        <v>1</v>
      </c>
      <c r="BG596" s="129">
        <v>1</v>
      </c>
      <c r="BH596" s="129">
        <v>1</v>
      </c>
      <c r="BI596" s="129">
        <v>1</v>
      </c>
      <c r="BJ596" s="129">
        <v>1</v>
      </c>
      <c r="BK596" s="129">
        <v>1</v>
      </c>
      <c r="BL596" s="129"/>
      <c r="BM596" s="197"/>
    </row>
    <row r="597" spans="1:65" x14ac:dyDescent="0.25">
      <c r="A597" s="121" t="s">
        <v>63</v>
      </c>
      <c r="B597" s="121" t="s">
        <v>26</v>
      </c>
      <c r="C597" s="172" t="s">
        <v>397</v>
      </c>
      <c r="D597" s="161">
        <v>1</v>
      </c>
      <c r="E597" s="29" t="str">
        <f t="shared" si="138"/>
        <v>Expected nominal return (incl forecast asset revaluations)</v>
      </c>
      <c r="F597" s="122">
        <v>58.29146581586145</v>
      </c>
      <c r="G597" s="122">
        <v>496.91157702825899</v>
      </c>
      <c r="H597" s="122">
        <v>0</v>
      </c>
      <c r="I597" s="122">
        <v>284.73473108477668</v>
      </c>
      <c r="J597" s="122">
        <v>0</v>
      </c>
      <c r="K597" s="122">
        <v>27.484047402005473</v>
      </c>
      <c r="L597" s="122">
        <v>78.258822729081345</v>
      </c>
      <c r="M597" s="122">
        <v>0</v>
      </c>
      <c r="N597" s="122">
        <v>0</v>
      </c>
      <c r="O597" s="122">
        <v>0</v>
      </c>
      <c r="P597" s="122">
        <v>12153.44576116682</v>
      </c>
      <c r="Q597" s="122">
        <v>184.8334568074595</v>
      </c>
      <c r="R597" s="122">
        <v>31.881494986326349</v>
      </c>
      <c r="S597" s="122">
        <v>1001.5354951378032</v>
      </c>
      <c r="T597" s="122">
        <v>9846.9845031905206</v>
      </c>
      <c r="U597" s="122">
        <v>18.689152233363721</v>
      </c>
      <c r="V597" s="122">
        <v>451.83773928897</v>
      </c>
      <c r="W597" s="54"/>
      <c r="X597" s="54"/>
      <c r="Y597" s="54"/>
      <c r="Z597" s="54"/>
      <c r="AA597" s="54"/>
      <c r="AB597" s="54"/>
      <c r="AC597" s="54"/>
      <c r="AD597" s="54"/>
      <c r="AE597" s="54"/>
      <c r="AF597" s="54"/>
      <c r="AG597" s="54"/>
      <c r="AH597" s="54"/>
      <c r="AI597" s="117">
        <f t="shared" si="139"/>
        <v>24634.888246871247</v>
      </c>
      <c r="AJ597" s="117">
        <f t="shared" si="140"/>
        <v>24183.050507582277</v>
      </c>
      <c r="AK597" s="117">
        <f t="shared" si="141"/>
        <v>0</v>
      </c>
      <c r="AL597" s="23"/>
      <c r="AM597" s="127" t="b">
        <f t="shared" si="142"/>
        <v>0</v>
      </c>
      <c r="AN597" s="127" t="str">
        <f t="shared" si="143"/>
        <v/>
      </c>
      <c r="AO597" s="129">
        <v>1</v>
      </c>
      <c r="AP597" s="129">
        <v>1</v>
      </c>
      <c r="AQ597" s="129">
        <v>1</v>
      </c>
      <c r="AR597" s="129"/>
      <c r="AS597" s="129"/>
      <c r="AT597" s="129"/>
      <c r="AU597" s="129"/>
      <c r="AV597" s="129"/>
      <c r="AW597" s="129"/>
      <c r="AX597" s="197"/>
      <c r="AY597" s="197"/>
      <c r="AZ597" s="197"/>
      <c r="BA597" s="197">
        <v>1</v>
      </c>
      <c r="BB597" s="129">
        <v>1</v>
      </c>
      <c r="BC597" s="129">
        <v>1</v>
      </c>
      <c r="BD597" s="129">
        <v>1</v>
      </c>
      <c r="BE597" s="129">
        <v>1</v>
      </c>
      <c r="BF597" s="129">
        <v>1</v>
      </c>
      <c r="BG597" s="129">
        <v>1</v>
      </c>
      <c r="BH597" s="129">
        <v>1</v>
      </c>
      <c r="BI597" s="129">
        <v>1</v>
      </c>
      <c r="BJ597" s="129">
        <v>1</v>
      </c>
      <c r="BK597" s="129">
        <v>1</v>
      </c>
      <c r="BL597" s="129"/>
      <c r="BM597" s="197"/>
    </row>
    <row r="598" spans="1:65" x14ac:dyDescent="0.25">
      <c r="A598" s="121" t="s">
        <v>63</v>
      </c>
      <c r="B598" s="121" t="s">
        <v>27</v>
      </c>
      <c r="C598" s="172" t="s">
        <v>397</v>
      </c>
      <c r="D598" s="161">
        <v>1</v>
      </c>
      <c r="E598" s="29" t="str">
        <f t="shared" si="138"/>
        <v>Expected nominal return (incl forecast asset revaluations)</v>
      </c>
      <c r="F598" s="122">
        <v>59.644833181403833</v>
      </c>
      <c r="G598" s="122">
        <v>508.4484958979034</v>
      </c>
      <c r="H598" s="122">
        <v>0</v>
      </c>
      <c r="I598" s="122">
        <v>291.34548769371014</v>
      </c>
      <c r="J598" s="122">
        <v>0</v>
      </c>
      <c r="K598" s="122">
        <v>28.122151321786692</v>
      </c>
      <c r="L598" s="122">
        <v>80.075777153968801</v>
      </c>
      <c r="M598" s="122">
        <v>0</v>
      </c>
      <c r="N598" s="122">
        <v>0</v>
      </c>
      <c r="O598" s="122">
        <v>0</v>
      </c>
      <c r="P598" s="122">
        <v>12435.615314494076</v>
      </c>
      <c r="Q598" s="122">
        <v>189.12478084610697</v>
      </c>
      <c r="R598" s="122">
        <v>32.621695533272565</v>
      </c>
      <c r="S598" s="122">
        <v>1024.7883922056792</v>
      </c>
      <c r="T598" s="122">
        <v>10075.604375569736</v>
      </c>
      <c r="U598" s="122">
        <v>19.12306289881495</v>
      </c>
      <c r="V598" s="122">
        <v>462.32816773017322</v>
      </c>
      <c r="W598" s="54"/>
      <c r="X598" s="54"/>
      <c r="Y598" s="54"/>
      <c r="Z598" s="54"/>
      <c r="AA598" s="54"/>
      <c r="AB598" s="54"/>
      <c r="AC598" s="54"/>
      <c r="AD598" s="54"/>
      <c r="AE598" s="54"/>
      <c r="AF598" s="54"/>
      <c r="AG598" s="54"/>
      <c r="AH598" s="54"/>
      <c r="AI598" s="117">
        <f t="shared" si="139"/>
        <v>25206.842534526633</v>
      </c>
      <c r="AJ598" s="117">
        <f t="shared" si="140"/>
        <v>24744.514366796458</v>
      </c>
      <c r="AK598" s="117">
        <f t="shared" si="141"/>
        <v>0</v>
      </c>
      <c r="AL598" s="23"/>
      <c r="AM598" s="127" t="b">
        <f t="shared" si="142"/>
        <v>0</v>
      </c>
      <c r="AN598" s="127" t="str">
        <f t="shared" si="143"/>
        <v/>
      </c>
      <c r="AO598" s="129">
        <v>1</v>
      </c>
      <c r="AP598" s="129">
        <v>1</v>
      </c>
      <c r="AQ598" s="129">
        <v>1</v>
      </c>
      <c r="AR598" s="129"/>
      <c r="AS598" s="129"/>
      <c r="AT598" s="129"/>
      <c r="AU598" s="129"/>
      <c r="AV598" s="129"/>
      <c r="AW598" s="129"/>
      <c r="AX598" s="197"/>
      <c r="AY598" s="197"/>
      <c r="AZ598" s="197"/>
      <c r="BA598" s="197">
        <v>1</v>
      </c>
      <c r="BB598" s="129">
        <v>1</v>
      </c>
      <c r="BC598" s="129">
        <v>1</v>
      </c>
      <c r="BD598" s="129">
        <v>1</v>
      </c>
      <c r="BE598" s="129">
        <v>1</v>
      </c>
      <c r="BF598" s="129">
        <v>1</v>
      </c>
      <c r="BG598" s="129">
        <v>1</v>
      </c>
      <c r="BH598" s="129">
        <v>1</v>
      </c>
      <c r="BI598" s="129">
        <v>1</v>
      </c>
      <c r="BJ598" s="129">
        <v>1</v>
      </c>
      <c r="BK598" s="129">
        <v>1</v>
      </c>
      <c r="BL598" s="129"/>
      <c r="BM598" s="197"/>
    </row>
    <row r="599" spans="1:65" x14ac:dyDescent="0.25">
      <c r="A599" s="166"/>
      <c r="B599" s="166"/>
      <c r="C599" s="172"/>
      <c r="D599" s="49"/>
      <c r="E599" s="49"/>
      <c r="F599" s="54"/>
      <c r="G599" s="54"/>
      <c r="H599" s="54"/>
      <c r="I599" s="54"/>
      <c r="J599" s="54"/>
      <c r="K599" s="54"/>
      <c r="L599" s="54"/>
      <c r="M599" s="54"/>
      <c r="N599" s="54"/>
      <c r="O599" s="54"/>
      <c r="P599" s="54"/>
      <c r="Q599" s="54"/>
      <c r="R599" s="54"/>
      <c r="S599" s="54"/>
      <c r="T599" s="54"/>
      <c r="U599" s="54"/>
      <c r="V599" s="54"/>
      <c r="W599" s="55"/>
      <c r="X599" s="55"/>
      <c r="Y599" s="55"/>
      <c r="Z599" s="55"/>
      <c r="AA599" s="55"/>
      <c r="AB599" s="55"/>
      <c r="AC599" s="55"/>
      <c r="AD599" s="55"/>
      <c r="AE599" s="55"/>
      <c r="AF599" s="55"/>
      <c r="AG599" s="55"/>
      <c r="AH599" s="55"/>
      <c r="AI599" s="54"/>
      <c r="AJ599" s="54"/>
      <c r="AK599" s="54"/>
      <c r="AL599" s="23"/>
      <c r="AM599" s="127"/>
      <c r="AN599" s="127"/>
      <c r="AO599" s="129"/>
      <c r="AP599" s="129"/>
      <c r="AQ599" s="129"/>
      <c r="AR599" s="129"/>
      <c r="AS599" s="129"/>
      <c r="AT599" s="129"/>
      <c r="AU599" s="129"/>
      <c r="AV599" s="129"/>
      <c r="AW599" s="129"/>
      <c r="AX599" s="197"/>
      <c r="AY599" s="197"/>
      <c r="AZ599" s="197"/>
      <c r="BA599" s="197"/>
      <c r="BB599" s="129"/>
      <c r="BC599" s="129"/>
      <c r="BD599" s="129"/>
      <c r="BE599" s="129"/>
      <c r="BF599" s="129"/>
      <c r="BG599" s="129"/>
      <c r="BH599" s="129"/>
      <c r="BI599" s="129"/>
      <c r="BJ599" s="129"/>
      <c r="BK599" s="129"/>
      <c r="BL599" s="129"/>
      <c r="BM599" s="197"/>
    </row>
    <row r="600" spans="1:65" x14ac:dyDescent="0.25">
      <c r="A600" s="166"/>
      <c r="B600" s="166"/>
      <c r="C600" s="172"/>
      <c r="D600" s="46"/>
      <c r="E600" s="46"/>
      <c r="F600" s="54"/>
      <c r="G600" s="54"/>
      <c r="H600" s="54"/>
      <c r="I600" s="54"/>
      <c r="J600" s="54"/>
      <c r="K600" s="54"/>
      <c r="L600" s="54"/>
      <c r="M600" s="54"/>
      <c r="N600" s="54"/>
      <c r="O600" s="54"/>
      <c r="P600" s="54"/>
      <c r="Q600" s="54"/>
      <c r="R600" s="54"/>
      <c r="S600" s="54"/>
      <c r="T600" s="54"/>
      <c r="U600" s="54"/>
      <c r="V600" s="54"/>
      <c r="W600" s="55"/>
      <c r="X600" s="55"/>
      <c r="Y600" s="55"/>
      <c r="Z600" s="55"/>
      <c r="AA600" s="55"/>
      <c r="AB600" s="55"/>
      <c r="AC600" s="55"/>
      <c r="AD600" s="55"/>
      <c r="AE600" s="55"/>
      <c r="AF600" s="55"/>
      <c r="AG600" s="55"/>
      <c r="AH600" s="55"/>
      <c r="AI600" s="54"/>
      <c r="AJ600" s="54"/>
      <c r="AK600" s="54"/>
      <c r="AL600" s="23"/>
      <c r="AM600" s="127"/>
      <c r="AN600" s="127"/>
      <c r="AO600" s="129"/>
      <c r="AP600" s="129"/>
      <c r="AQ600" s="129"/>
      <c r="AR600" s="129"/>
      <c r="AS600" s="129"/>
      <c r="AT600" s="129"/>
      <c r="AU600" s="129"/>
      <c r="AV600" s="129"/>
      <c r="AW600" s="129"/>
      <c r="AX600" s="197"/>
      <c r="AY600" s="197"/>
      <c r="AZ600" s="197"/>
      <c r="BA600" s="197"/>
      <c r="BB600" s="129"/>
      <c r="BC600" s="129"/>
      <c r="BD600" s="129"/>
      <c r="BE600" s="129"/>
      <c r="BF600" s="129"/>
      <c r="BG600" s="129"/>
      <c r="BH600" s="129"/>
      <c r="BI600" s="129"/>
      <c r="BJ600" s="129"/>
      <c r="BK600" s="129"/>
      <c r="BL600" s="129"/>
      <c r="BM600" s="197"/>
    </row>
    <row r="601" spans="1:65" x14ac:dyDescent="0.25">
      <c r="A601" s="166" t="s">
        <v>63</v>
      </c>
      <c r="B601" s="166" t="s">
        <v>22</v>
      </c>
      <c r="C601" s="172" t="s">
        <v>370</v>
      </c>
      <c r="D601" s="161">
        <v>4</v>
      </c>
      <c r="E601" s="29" t="str">
        <f t="shared" ref="E601:E606" si="144">INDEX(ra_ScName,MATCH(D601,ra_ScNumber,0))</f>
        <v>Net additions prior to 1 April 2012</v>
      </c>
      <c r="F601" s="122">
        <v>411.1521474045332</v>
      </c>
      <c r="G601" s="122">
        <v>0</v>
      </c>
      <c r="H601" s="122">
        <v>43.225169999999999</v>
      </c>
      <c r="I601" s="122">
        <v>270.83940720981781</v>
      </c>
      <c r="J601" s="122">
        <v>1125</v>
      </c>
      <c r="K601" s="122">
        <v>42</v>
      </c>
      <c r="L601" s="122">
        <v>62.119743764765502</v>
      </c>
      <c r="M601" s="122">
        <v>0</v>
      </c>
      <c r="N601" s="122">
        <v>0</v>
      </c>
      <c r="O601" s="122">
        <v>0</v>
      </c>
      <c r="P601" s="122">
        <v>11033</v>
      </c>
      <c r="Q601" s="122">
        <v>12</v>
      </c>
      <c r="R601" s="122">
        <v>29</v>
      </c>
      <c r="S601" s="122">
        <v>178.82468</v>
      </c>
      <c r="T601" s="122">
        <v>6879</v>
      </c>
      <c r="U601" s="122">
        <v>17</v>
      </c>
      <c r="V601" s="122"/>
      <c r="W601" s="54"/>
      <c r="X601" s="54"/>
      <c r="Y601" s="54"/>
      <c r="Z601" s="54"/>
      <c r="AA601" s="54"/>
      <c r="AB601" s="54"/>
      <c r="AC601" s="54"/>
      <c r="AD601" s="54"/>
      <c r="AE601" s="54"/>
      <c r="AF601" s="54"/>
      <c r="AG601" s="54"/>
      <c r="AH601" s="54"/>
      <c r="AI601" s="117">
        <f t="shared" ref="AI601:AI606" si="145">SUM(F601:AH601)</f>
        <v>20103.161148379117</v>
      </c>
      <c r="AJ601" s="117">
        <f t="shared" ref="AJ601:AJ606" si="146">SUM(F601:U601)</f>
        <v>20103.161148379117</v>
      </c>
      <c r="AK601" s="117">
        <f t="shared" ref="AK601:AK606" si="147">SUM(W601:AH601)</f>
        <v>0</v>
      </c>
      <c r="AL601" s="23"/>
      <c r="AM601" s="127" t="b">
        <f t="shared" ref="AM601:AM606" si="148">IF(INDEX($AO601:$BM601,0,$F$14)=1,TRUE,FALSE)</f>
        <v>0</v>
      </c>
      <c r="AN601" s="127" t="str">
        <f t="shared" ref="AN601:AN606" si="149">IF(AM601,A601&amp;", "&amp;B601,"")</f>
        <v/>
      </c>
      <c r="AO601" s="129"/>
      <c r="AP601" s="129"/>
      <c r="AQ601" s="129"/>
      <c r="AR601" s="129">
        <v>1</v>
      </c>
      <c r="AS601" s="129">
        <v>1</v>
      </c>
      <c r="AT601" s="129">
        <v>1</v>
      </c>
      <c r="AU601" s="129">
        <v>1</v>
      </c>
      <c r="AV601" s="129"/>
      <c r="AW601" s="129"/>
      <c r="AX601" s="197"/>
      <c r="AY601" s="197"/>
      <c r="AZ601" s="197"/>
      <c r="BA601" s="197"/>
      <c r="BB601" s="129"/>
      <c r="BC601" s="129"/>
      <c r="BD601" s="129"/>
      <c r="BE601" s="129"/>
      <c r="BF601" s="129"/>
      <c r="BG601" s="129"/>
      <c r="BH601" s="129"/>
      <c r="BI601" s="129"/>
      <c r="BJ601" s="129"/>
      <c r="BK601" s="129"/>
      <c r="BL601" s="129"/>
      <c r="BM601" s="197"/>
    </row>
    <row r="602" spans="1:65" x14ac:dyDescent="0.25">
      <c r="A602" s="166" t="s">
        <v>63</v>
      </c>
      <c r="B602" s="166" t="s">
        <v>23</v>
      </c>
      <c r="C602" s="172" t="s">
        <v>370</v>
      </c>
      <c r="D602" s="161">
        <v>4</v>
      </c>
      <c r="E602" s="29" t="str">
        <f t="shared" si="144"/>
        <v>Net additions prior to 1 April 2012</v>
      </c>
      <c r="F602" s="122">
        <v>266.68798736824618</v>
      </c>
      <c r="G602" s="122">
        <v>206</v>
      </c>
      <c r="H602" s="122">
        <v>0</v>
      </c>
      <c r="I602" s="122">
        <v>669.60927628519812</v>
      </c>
      <c r="J602" s="122">
        <v>741</v>
      </c>
      <c r="K602" s="122">
        <v>121</v>
      </c>
      <c r="L602" s="122">
        <v>371.25002428476091</v>
      </c>
      <c r="M602" s="122">
        <v>0</v>
      </c>
      <c r="N602" s="122">
        <v>461</v>
      </c>
      <c r="O602" s="122">
        <v>41</v>
      </c>
      <c r="P602" s="122">
        <v>5890</v>
      </c>
      <c r="Q602" s="122">
        <v>23</v>
      </c>
      <c r="R602" s="122">
        <v>4</v>
      </c>
      <c r="S602" s="122">
        <v>349.92243000000002</v>
      </c>
      <c r="T602" s="122">
        <v>7255</v>
      </c>
      <c r="U602" s="122">
        <v>0</v>
      </c>
      <c r="V602" s="122"/>
      <c r="W602" s="54"/>
      <c r="X602" s="54"/>
      <c r="Y602" s="54"/>
      <c r="Z602" s="54"/>
      <c r="AA602" s="54"/>
      <c r="AB602" s="54"/>
      <c r="AC602" s="54"/>
      <c r="AD602" s="54"/>
      <c r="AE602" s="54"/>
      <c r="AF602" s="54"/>
      <c r="AG602" s="54"/>
      <c r="AH602" s="54"/>
      <c r="AI602" s="117">
        <f t="shared" si="145"/>
        <v>16399.469717938206</v>
      </c>
      <c r="AJ602" s="117">
        <f t="shared" si="146"/>
        <v>16399.469717938206</v>
      </c>
      <c r="AK602" s="117">
        <f t="shared" si="147"/>
        <v>0</v>
      </c>
      <c r="AL602" s="23"/>
      <c r="AM602" s="127" t="b">
        <f t="shared" si="148"/>
        <v>0</v>
      </c>
      <c r="AN602" s="127" t="str">
        <f t="shared" si="149"/>
        <v/>
      </c>
      <c r="AO602" s="129"/>
      <c r="AP602" s="129"/>
      <c r="AQ602" s="129"/>
      <c r="AR602" s="129">
        <v>1</v>
      </c>
      <c r="AS602" s="129">
        <v>1</v>
      </c>
      <c r="AT602" s="129">
        <v>1</v>
      </c>
      <c r="AU602" s="129">
        <v>1</v>
      </c>
      <c r="AV602" s="129"/>
      <c r="AW602" s="129"/>
      <c r="AX602" s="197"/>
      <c r="AY602" s="197"/>
      <c r="AZ602" s="197"/>
      <c r="BA602" s="197"/>
      <c r="BB602" s="129"/>
      <c r="BC602" s="129"/>
      <c r="BD602" s="129"/>
      <c r="BE602" s="129"/>
      <c r="BF602" s="129"/>
      <c r="BG602" s="129"/>
      <c r="BH602" s="129"/>
      <c r="BI602" s="129"/>
      <c r="BJ602" s="129"/>
      <c r="BK602" s="129"/>
      <c r="BL602" s="129"/>
      <c r="BM602" s="197"/>
    </row>
    <row r="603" spans="1:65" x14ac:dyDescent="0.25">
      <c r="A603" s="166" t="s">
        <v>63</v>
      </c>
      <c r="B603" s="166" t="s">
        <v>24</v>
      </c>
      <c r="C603" s="172" t="s">
        <v>370</v>
      </c>
      <c r="D603" s="161">
        <v>4</v>
      </c>
      <c r="E603" s="29" t="str">
        <f t="shared" si="144"/>
        <v>Net additions prior to 1 April 2012</v>
      </c>
      <c r="F603" s="122">
        <v>212.6964444416937</v>
      </c>
      <c r="G603" s="122">
        <v>569</v>
      </c>
      <c r="H603" s="122">
        <v>0</v>
      </c>
      <c r="I603" s="122">
        <v>301.03580837457957</v>
      </c>
      <c r="J603" s="122">
        <v>1325</v>
      </c>
      <c r="K603" s="122">
        <v>481</v>
      </c>
      <c r="L603" s="122">
        <v>420.03301773215298</v>
      </c>
      <c r="M603" s="122">
        <v>0</v>
      </c>
      <c r="N603" s="122">
        <v>342</v>
      </c>
      <c r="O603" s="122">
        <v>184</v>
      </c>
      <c r="P603" s="122">
        <v>9497</v>
      </c>
      <c r="Q603" s="122">
        <v>4</v>
      </c>
      <c r="R603" s="122">
        <v>5</v>
      </c>
      <c r="S603" s="122">
        <v>204.97735</v>
      </c>
      <c r="T603" s="122">
        <v>17091</v>
      </c>
      <c r="U603" s="122">
        <v>0</v>
      </c>
      <c r="V603" s="122"/>
      <c r="W603" s="54"/>
      <c r="X603" s="54"/>
      <c r="Y603" s="54"/>
      <c r="Z603" s="54"/>
      <c r="AA603" s="54"/>
      <c r="AB603" s="54"/>
      <c r="AC603" s="54"/>
      <c r="AD603" s="54"/>
      <c r="AE603" s="54"/>
      <c r="AF603" s="54"/>
      <c r="AG603" s="54"/>
      <c r="AH603" s="54"/>
      <c r="AI603" s="117">
        <f t="shared" si="145"/>
        <v>30636.742620548423</v>
      </c>
      <c r="AJ603" s="117">
        <f t="shared" si="146"/>
        <v>30636.742620548423</v>
      </c>
      <c r="AK603" s="117">
        <f t="shared" si="147"/>
        <v>0</v>
      </c>
      <c r="AL603" s="23"/>
      <c r="AM603" s="127" t="b">
        <f t="shared" si="148"/>
        <v>0</v>
      </c>
      <c r="AN603" s="127" t="str">
        <f t="shared" si="149"/>
        <v/>
      </c>
      <c r="AO603" s="129"/>
      <c r="AP603" s="129"/>
      <c r="AQ603" s="129"/>
      <c r="AR603" s="129">
        <v>1</v>
      </c>
      <c r="AS603" s="129">
        <v>1</v>
      </c>
      <c r="AT603" s="129">
        <v>1</v>
      </c>
      <c r="AU603" s="129">
        <v>1</v>
      </c>
      <c r="AV603" s="129"/>
      <c r="AW603" s="129"/>
      <c r="AX603" s="197"/>
      <c r="AY603" s="197"/>
      <c r="AZ603" s="197"/>
      <c r="BA603" s="197"/>
      <c r="BB603" s="129"/>
      <c r="BC603" s="129"/>
      <c r="BD603" s="129"/>
      <c r="BE603" s="129"/>
      <c r="BF603" s="129"/>
      <c r="BG603" s="129"/>
      <c r="BH603" s="129"/>
      <c r="BI603" s="129"/>
      <c r="BJ603" s="129"/>
      <c r="BK603" s="129"/>
      <c r="BL603" s="129"/>
      <c r="BM603" s="197"/>
    </row>
    <row r="604" spans="1:65" x14ac:dyDescent="0.25">
      <c r="A604" s="166" t="s">
        <v>63</v>
      </c>
      <c r="B604" s="166" t="s">
        <v>25</v>
      </c>
      <c r="C604" s="172" t="s">
        <v>370</v>
      </c>
      <c r="D604" s="161">
        <v>4</v>
      </c>
      <c r="E604" s="29" t="str">
        <f t="shared" si="144"/>
        <v>Net additions prior to 1 April 2012</v>
      </c>
      <c r="F604" s="122">
        <v>444.1342704415423</v>
      </c>
      <c r="G604" s="122">
        <v>0</v>
      </c>
      <c r="H604" s="122">
        <v>46.692640337283507</v>
      </c>
      <c r="I604" s="122">
        <v>292.56581362227359</v>
      </c>
      <c r="J604" s="122">
        <v>1215.2461257976302</v>
      </c>
      <c r="K604" s="122">
        <v>45.369188696444859</v>
      </c>
      <c r="L604" s="122">
        <v>67.1029137294869</v>
      </c>
      <c r="M604" s="122">
        <v>0</v>
      </c>
      <c r="N604" s="122">
        <v>0</v>
      </c>
      <c r="O604" s="122">
        <v>0</v>
      </c>
      <c r="P604" s="122">
        <v>11918.053783044668</v>
      </c>
      <c r="Q604" s="122">
        <v>12.962625341841388</v>
      </c>
      <c r="R604" s="122">
        <v>31.326344576116686</v>
      </c>
      <c r="S604" s="122">
        <v>193.16977739288973</v>
      </c>
      <c r="T604" s="122">
        <v>7430.8249772105755</v>
      </c>
      <c r="U604" s="122">
        <v>18.363719234275298</v>
      </c>
      <c r="V604" s="122"/>
      <c r="W604" s="54"/>
      <c r="X604" s="54"/>
      <c r="Y604" s="54"/>
      <c r="Z604" s="54"/>
      <c r="AA604" s="54"/>
      <c r="AB604" s="54"/>
      <c r="AC604" s="54"/>
      <c r="AD604" s="54"/>
      <c r="AE604" s="54"/>
      <c r="AF604" s="54"/>
      <c r="AG604" s="54"/>
      <c r="AH604" s="54"/>
      <c r="AI604" s="117">
        <f t="shared" si="145"/>
        <v>21715.812179425029</v>
      </c>
      <c r="AJ604" s="117">
        <f t="shared" si="146"/>
        <v>21715.812179425029</v>
      </c>
      <c r="AK604" s="117">
        <f t="shared" si="147"/>
        <v>0</v>
      </c>
      <c r="AL604" s="23"/>
      <c r="AM604" s="127" t="b">
        <f t="shared" si="148"/>
        <v>0</v>
      </c>
      <c r="AN604" s="127" t="str">
        <f t="shared" si="149"/>
        <v/>
      </c>
      <c r="AO604" s="129"/>
      <c r="AP604" s="129"/>
      <c r="AQ604" s="129"/>
      <c r="AR604" s="129">
        <v>1</v>
      </c>
      <c r="AS604" s="129">
        <v>1</v>
      </c>
      <c r="AT604" s="129">
        <v>1</v>
      </c>
      <c r="AU604" s="129">
        <v>1</v>
      </c>
      <c r="AV604" s="129"/>
      <c r="AW604" s="129"/>
      <c r="AX604" s="197"/>
      <c r="AY604" s="197"/>
      <c r="AZ604" s="197"/>
      <c r="BA604" s="197"/>
      <c r="BB604" s="129"/>
      <c r="BC604" s="129"/>
      <c r="BD604" s="129"/>
      <c r="BE604" s="129"/>
      <c r="BF604" s="129"/>
      <c r="BG604" s="129"/>
      <c r="BH604" s="129"/>
      <c r="BI604" s="129"/>
      <c r="BJ604" s="129"/>
      <c r="BK604" s="129"/>
      <c r="BL604" s="129"/>
      <c r="BM604" s="197"/>
    </row>
    <row r="605" spans="1:65" x14ac:dyDescent="0.25">
      <c r="A605" s="166" t="s">
        <v>63</v>
      </c>
      <c r="B605" s="166" t="s">
        <v>26</v>
      </c>
      <c r="C605" s="172" t="s">
        <v>370</v>
      </c>
      <c r="D605" s="161">
        <v>4</v>
      </c>
      <c r="E605" s="29" t="str">
        <f t="shared" si="144"/>
        <v>Net additions prior to 1 April 2012</v>
      </c>
      <c r="F605" s="122">
        <v>452.00500434810129</v>
      </c>
      <c r="G605" s="122">
        <v>0</v>
      </c>
      <c r="H605" s="122">
        <v>47.520104849589799</v>
      </c>
      <c r="I605" s="122">
        <v>297.75052424342783</v>
      </c>
      <c r="J605" s="122">
        <v>1236.7821330902464</v>
      </c>
      <c r="K605" s="122">
        <v>46.173199635369194</v>
      </c>
      <c r="L605" s="122">
        <v>68.292079289249955</v>
      </c>
      <c r="M605" s="122">
        <v>0</v>
      </c>
      <c r="N605" s="122">
        <v>0</v>
      </c>
      <c r="O605" s="122">
        <v>0</v>
      </c>
      <c r="P605" s="122">
        <v>12129.259799453055</v>
      </c>
      <c r="Q605" s="122">
        <v>13.192342752962627</v>
      </c>
      <c r="R605" s="122">
        <v>31.881494986326349</v>
      </c>
      <c r="S605" s="122">
        <v>196.59303927073842</v>
      </c>
      <c r="T605" s="122">
        <v>7562.5104831358258</v>
      </c>
      <c r="U605" s="122">
        <v>18.689152233363721</v>
      </c>
      <c r="V605" s="122"/>
      <c r="W605" s="54"/>
      <c r="X605" s="54"/>
      <c r="Y605" s="54"/>
      <c r="Z605" s="54"/>
      <c r="AA605" s="54"/>
      <c r="AB605" s="54"/>
      <c r="AC605" s="54"/>
      <c r="AD605" s="54"/>
      <c r="AE605" s="54"/>
      <c r="AF605" s="54"/>
      <c r="AG605" s="54"/>
      <c r="AH605" s="54"/>
      <c r="AI605" s="117">
        <f t="shared" si="145"/>
        <v>22100.649357288257</v>
      </c>
      <c r="AJ605" s="117">
        <f t="shared" si="146"/>
        <v>22100.649357288257</v>
      </c>
      <c r="AK605" s="117">
        <f t="shared" si="147"/>
        <v>0</v>
      </c>
      <c r="AL605" s="23"/>
      <c r="AM605" s="127" t="b">
        <f t="shared" si="148"/>
        <v>0</v>
      </c>
      <c r="AN605" s="127" t="str">
        <f t="shared" si="149"/>
        <v/>
      </c>
      <c r="AO605" s="129"/>
      <c r="AP605" s="129"/>
      <c r="AQ605" s="129"/>
      <c r="AR605" s="129">
        <v>1</v>
      </c>
      <c r="AS605" s="129">
        <v>1</v>
      </c>
      <c r="AT605" s="129">
        <v>1</v>
      </c>
      <c r="AU605" s="129">
        <v>1</v>
      </c>
      <c r="AV605" s="129"/>
      <c r="AW605" s="129"/>
      <c r="AX605" s="197"/>
      <c r="AY605" s="197"/>
      <c r="AZ605" s="197"/>
      <c r="BA605" s="197"/>
      <c r="BB605" s="129"/>
      <c r="BC605" s="129"/>
      <c r="BD605" s="129"/>
      <c r="BE605" s="129"/>
      <c r="BF605" s="129"/>
      <c r="BG605" s="129"/>
      <c r="BH605" s="129"/>
      <c r="BI605" s="129"/>
      <c r="BJ605" s="129"/>
      <c r="BK605" s="129"/>
      <c r="BL605" s="129"/>
      <c r="BM605" s="197"/>
    </row>
    <row r="606" spans="1:65" x14ac:dyDescent="0.25">
      <c r="A606" s="166" t="s">
        <v>63</v>
      </c>
      <c r="B606" s="166" t="s">
        <v>27</v>
      </c>
      <c r="C606" s="172" t="s">
        <v>370</v>
      </c>
      <c r="D606" s="161">
        <v>4</v>
      </c>
      <c r="E606" s="29" t="str">
        <f t="shared" si="144"/>
        <v>Net additions prior to 1 April 2012</v>
      </c>
      <c r="F606" s="122">
        <v>462.49931622351323</v>
      </c>
      <c r="G606" s="122">
        <v>0</v>
      </c>
      <c r="H606" s="122">
        <v>48.623390865998175</v>
      </c>
      <c r="I606" s="122">
        <v>304.66347173830007</v>
      </c>
      <c r="J606" s="122">
        <v>1265.4968094804012</v>
      </c>
      <c r="K606" s="122">
        <v>47.245214220601646</v>
      </c>
      <c r="L606" s="122">
        <v>69.877633368934028</v>
      </c>
      <c r="M606" s="122">
        <v>0</v>
      </c>
      <c r="N606" s="122">
        <v>0</v>
      </c>
      <c r="O606" s="122">
        <v>0</v>
      </c>
      <c r="P606" s="122">
        <v>12410.867821330903</v>
      </c>
      <c r="Q606" s="122">
        <v>13.498632634457612</v>
      </c>
      <c r="R606" s="122">
        <v>32.621695533272565</v>
      </c>
      <c r="S606" s="122">
        <v>201.1573884412033</v>
      </c>
      <c r="T606" s="122">
        <v>7738.0911577028264</v>
      </c>
      <c r="U606" s="122">
        <v>19.12306289881495</v>
      </c>
      <c r="V606" s="122"/>
      <c r="W606" s="54"/>
      <c r="X606" s="54"/>
      <c r="Y606" s="54"/>
      <c r="Z606" s="54"/>
      <c r="AA606" s="54"/>
      <c r="AB606" s="54"/>
      <c r="AC606" s="54"/>
      <c r="AD606" s="54"/>
      <c r="AE606" s="54"/>
      <c r="AF606" s="54"/>
      <c r="AG606" s="54"/>
      <c r="AH606" s="54"/>
      <c r="AI606" s="117">
        <f t="shared" si="145"/>
        <v>22613.765594439228</v>
      </c>
      <c r="AJ606" s="117">
        <f t="shared" si="146"/>
        <v>22613.765594439228</v>
      </c>
      <c r="AK606" s="117">
        <f t="shared" si="147"/>
        <v>0</v>
      </c>
      <c r="AL606" s="23"/>
      <c r="AM606" s="127" t="b">
        <f t="shared" si="148"/>
        <v>0</v>
      </c>
      <c r="AN606" s="127" t="str">
        <f t="shared" si="149"/>
        <v/>
      </c>
      <c r="AO606" s="129"/>
      <c r="AP606" s="129"/>
      <c r="AQ606" s="129"/>
      <c r="AR606" s="129">
        <v>1</v>
      </c>
      <c r="AS606" s="129">
        <v>1</v>
      </c>
      <c r="AT606" s="129">
        <v>1</v>
      </c>
      <c r="AU606" s="129">
        <v>1</v>
      </c>
      <c r="AV606" s="129"/>
      <c r="AW606" s="129"/>
      <c r="AX606" s="197"/>
      <c r="AY606" s="197"/>
      <c r="AZ606" s="197"/>
      <c r="BA606" s="197"/>
      <c r="BB606" s="129"/>
      <c r="BC606" s="129"/>
      <c r="BD606" s="129"/>
      <c r="BE606" s="129"/>
      <c r="BF606" s="129"/>
      <c r="BG606" s="129"/>
      <c r="BH606" s="129"/>
      <c r="BI606" s="129"/>
      <c r="BJ606" s="129"/>
      <c r="BK606" s="129"/>
      <c r="BL606" s="129"/>
      <c r="BM606" s="197"/>
    </row>
    <row r="607" spans="1:65" x14ac:dyDescent="0.25">
      <c r="A607" s="166"/>
      <c r="B607" s="166"/>
      <c r="C607" s="172"/>
      <c r="D607" s="49"/>
      <c r="E607" s="49"/>
      <c r="F607" s="54"/>
      <c r="G607" s="54"/>
      <c r="H607" s="54"/>
      <c r="I607" s="54"/>
      <c r="J607" s="54"/>
      <c r="K607" s="54"/>
      <c r="L607" s="54"/>
      <c r="M607" s="54"/>
      <c r="N607" s="54"/>
      <c r="O607" s="54"/>
      <c r="P607" s="54"/>
      <c r="Q607" s="55"/>
      <c r="R607" s="54"/>
      <c r="S607" s="54"/>
      <c r="T607" s="54"/>
      <c r="U607" s="54"/>
      <c r="V607" s="54"/>
      <c r="W607" s="55"/>
      <c r="X607" s="55"/>
      <c r="Y607" s="55"/>
      <c r="Z607" s="55"/>
      <c r="AA607" s="55"/>
      <c r="AB607" s="55"/>
      <c r="AC607" s="55"/>
      <c r="AD607" s="55"/>
      <c r="AE607" s="55"/>
      <c r="AF607" s="55"/>
      <c r="AG607" s="55"/>
      <c r="AH607" s="55"/>
      <c r="AI607" s="54"/>
      <c r="AJ607" s="54"/>
      <c r="AK607" s="54"/>
      <c r="AL607" s="23"/>
      <c r="AM607" s="127"/>
      <c r="AN607" s="127"/>
      <c r="AO607" s="129"/>
      <c r="AP607" s="129"/>
      <c r="AQ607" s="129"/>
      <c r="AR607" s="129"/>
      <c r="AS607" s="129"/>
      <c r="AT607" s="129"/>
      <c r="AU607" s="129"/>
      <c r="AV607" s="129"/>
      <c r="AW607" s="129"/>
      <c r="AX607" s="197"/>
      <c r="AY607" s="197"/>
      <c r="AZ607" s="197"/>
      <c r="BA607" s="197"/>
      <c r="BB607" s="129"/>
      <c r="BC607" s="129"/>
      <c r="BD607" s="129"/>
      <c r="BE607" s="129"/>
      <c r="BF607" s="129"/>
      <c r="BG607" s="129"/>
      <c r="BH607" s="129"/>
      <c r="BI607" s="129"/>
      <c r="BJ607" s="129"/>
      <c r="BK607" s="129"/>
      <c r="BL607" s="129"/>
      <c r="BM607" s="197"/>
    </row>
    <row r="608" spans="1:65" x14ac:dyDescent="0.25">
      <c r="A608" s="166"/>
      <c r="B608" s="166"/>
      <c r="C608" s="172"/>
      <c r="D608" s="46"/>
      <c r="E608" s="46"/>
      <c r="F608" s="54"/>
      <c r="G608" s="54"/>
      <c r="H608" s="54"/>
      <c r="I608" s="54"/>
      <c r="J608" s="54"/>
      <c r="K608" s="54"/>
      <c r="L608" s="54"/>
      <c r="M608" s="54"/>
      <c r="N608" s="54"/>
      <c r="O608" s="54"/>
      <c r="P608" s="54"/>
      <c r="Q608" s="55"/>
      <c r="R608" s="54"/>
      <c r="S608" s="54"/>
      <c r="T608" s="54"/>
      <c r="U608" s="54"/>
      <c r="V608" s="54"/>
      <c r="W608" s="55"/>
      <c r="X608" s="55"/>
      <c r="Y608" s="55"/>
      <c r="Z608" s="55"/>
      <c r="AA608" s="55"/>
      <c r="AB608" s="55"/>
      <c r="AC608" s="55"/>
      <c r="AD608" s="55"/>
      <c r="AE608" s="55"/>
      <c r="AF608" s="55"/>
      <c r="AG608" s="55"/>
      <c r="AH608" s="55"/>
      <c r="AI608" s="54"/>
      <c r="AJ608" s="54"/>
      <c r="AK608" s="54"/>
      <c r="AL608" s="23"/>
      <c r="AM608" s="127"/>
      <c r="AN608" s="127"/>
      <c r="AO608" s="129"/>
      <c r="AP608" s="129"/>
      <c r="AQ608" s="129"/>
      <c r="AR608" s="129"/>
      <c r="AS608" s="129"/>
      <c r="AT608" s="129"/>
      <c r="AU608" s="129"/>
      <c r="AV608" s="129"/>
      <c r="AW608" s="129"/>
      <c r="AX608" s="197"/>
      <c r="AY608" s="197"/>
      <c r="AZ608" s="197"/>
      <c r="BA608" s="197"/>
      <c r="BB608" s="129"/>
      <c r="BC608" s="129"/>
      <c r="BD608" s="129"/>
      <c r="BE608" s="129"/>
      <c r="BF608" s="129"/>
      <c r="BG608" s="129"/>
      <c r="BH608" s="129"/>
      <c r="BI608" s="129"/>
      <c r="BJ608" s="129"/>
      <c r="BK608" s="129"/>
      <c r="BL608" s="129"/>
      <c r="BM608" s="197"/>
    </row>
    <row r="609" spans="1:65" x14ac:dyDescent="0.25">
      <c r="A609" s="166" t="s">
        <v>63</v>
      </c>
      <c r="B609" s="166" t="s">
        <v>22</v>
      </c>
      <c r="C609" s="172" t="s">
        <v>209</v>
      </c>
      <c r="D609" s="161">
        <v>8</v>
      </c>
      <c r="E609" s="29" t="str">
        <f t="shared" ref="E609:E614" si="150">INDEX(ra_ScName,MATCH(D609,ra_ScNumber,0))</f>
        <v>Asset disposals 2013–15</v>
      </c>
      <c r="F609" s="122">
        <v>411.1521474045332</v>
      </c>
      <c r="G609" s="122">
        <v>0</v>
      </c>
      <c r="H609" s="122">
        <v>43.225169999999999</v>
      </c>
      <c r="I609" s="122">
        <v>270.83940720981781</v>
      </c>
      <c r="J609" s="122">
        <v>1125</v>
      </c>
      <c r="K609" s="122">
        <v>42</v>
      </c>
      <c r="L609" s="122">
        <v>62.119743764765502</v>
      </c>
      <c r="M609" s="122">
        <v>0</v>
      </c>
      <c r="N609" s="122">
        <v>0</v>
      </c>
      <c r="O609" s="122">
        <v>0</v>
      </c>
      <c r="P609" s="122">
        <v>11033</v>
      </c>
      <c r="Q609" s="122">
        <v>12</v>
      </c>
      <c r="R609" s="122">
        <v>29</v>
      </c>
      <c r="S609" s="122">
        <v>178.82468</v>
      </c>
      <c r="T609" s="122">
        <v>6879</v>
      </c>
      <c r="U609" s="122">
        <v>17</v>
      </c>
      <c r="V609" s="122"/>
      <c r="W609" s="54"/>
      <c r="X609" s="54"/>
      <c r="Y609" s="54"/>
      <c r="Z609" s="54"/>
      <c r="AA609" s="54"/>
      <c r="AB609" s="54"/>
      <c r="AC609" s="54"/>
      <c r="AD609" s="54"/>
      <c r="AE609" s="54"/>
      <c r="AF609" s="54"/>
      <c r="AG609" s="54"/>
      <c r="AH609" s="54"/>
      <c r="AI609" s="117">
        <f t="shared" ref="AI609:AI614" si="151">SUM(F609:AH609)</f>
        <v>20103.161148379117</v>
      </c>
      <c r="AJ609" s="117">
        <f t="shared" ref="AJ609:AJ614" si="152">SUM(F609:U609)</f>
        <v>20103.161148379117</v>
      </c>
      <c r="AK609" s="117">
        <f t="shared" ref="AK609:AK614" si="153">SUM(W609:AH609)</f>
        <v>0</v>
      </c>
      <c r="AL609" s="23"/>
      <c r="AM609" s="127" t="b">
        <f t="shared" ref="AM609:AM614" si="154">IF(INDEX($AO609:$BM609,0,$F$14)=1,TRUE,FALSE)</f>
        <v>0</v>
      </c>
      <c r="AN609" s="127" t="str">
        <f t="shared" ref="AN609:AN614" si="155">IF(AM609,A609&amp;", "&amp;B609,"")</f>
        <v/>
      </c>
      <c r="AO609" s="129"/>
      <c r="AP609" s="129"/>
      <c r="AQ609" s="129"/>
      <c r="AR609" s="129"/>
      <c r="AS609" s="129"/>
      <c r="AT609" s="129"/>
      <c r="AU609" s="129"/>
      <c r="AV609" s="129">
        <v>1</v>
      </c>
      <c r="AW609" s="129"/>
      <c r="AX609" s="197"/>
      <c r="AY609" s="197"/>
      <c r="AZ609" s="197"/>
      <c r="BA609" s="197"/>
      <c r="BB609" s="129"/>
      <c r="BC609" s="129"/>
      <c r="BD609" s="129"/>
      <c r="BE609" s="129"/>
      <c r="BF609" s="129"/>
      <c r="BG609" s="129"/>
      <c r="BH609" s="129"/>
      <c r="BI609" s="129"/>
      <c r="BJ609" s="129"/>
      <c r="BK609" s="129"/>
      <c r="BL609" s="129">
        <v>1</v>
      </c>
      <c r="BM609" s="197"/>
    </row>
    <row r="610" spans="1:65" x14ac:dyDescent="0.25">
      <c r="A610" s="166" t="s">
        <v>63</v>
      </c>
      <c r="B610" s="166" t="s">
        <v>23</v>
      </c>
      <c r="C610" s="172" t="s">
        <v>211</v>
      </c>
      <c r="D610" s="161">
        <v>8</v>
      </c>
      <c r="E610" s="29" t="str">
        <f t="shared" si="150"/>
        <v>Asset disposals 2013–15</v>
      </c>
      <c r="F610" s="122">
        <v>266.68798736824618</v>
      </c>
      <c r="G610" s="122">
        <v>206</v>
      </c>
      <c r="H610" s="122">
        <v>0</v>
      </c>
      <c r="I610" s="122">
        <v>669.60927628519812</v>
      </c>
      <c r="J610" s="122">
        <v>741</v>
      </c>
      <c r="K610" s="122">
        <v>121</v>
      </c>
      <c r="L610" s="122">
        <v>371.25002428476091</v>
      </c>
      <c r="M610" s="122">
        <v>0</v>
      </c>
      <c r="N610" s="122">
        <v>461</v>
      </c>
      <c r="O610" s="122">
        <v>41</v>
      </c>
      <c r="P610" s="122">
        <v>5890</v>
      </c>
      <c r="Q610" s="122">
        <v>23</v>
      </c>
      <c r="R610" s="122">
        <v>4</v>
      </c>
      <c r="S610" s="122">
        <v>349.92243000000002</v>
      </c>
      <c r="T610" s="122">
        <v>7255</v>
      </c>
      <c r="U610" s="122">
        <v>0</v>
      </c>
      <c r="V610" s="122"/>
      <c r="W610" s="54"/>
      <c r="X610" s="54"/>
      <c r="Y610" s="54"/>
      <c r="Z610" s="54"/>
      <c r="AA610" s="54"/>
      <c r="AB610" s="54"/>
      <c r="AC610" s="54"/>
      <c r="AD610" s="54"/>
      <c r="AE610" s="54"/>
      <c r="AF610" s="54"/>
      <c r="AG610" s="54"/>
      <c r="AH610" s="54"/>
      <c r="AI610" s="117">
        <f t="shared" si="151"/>
        <v>16399.469717938206</v>
      </c>
      <c r="AJ610" s="117">
        <f t="shared" si="152"/>
        <v>16399.469717938206</v>
      </c>
      <c r="AK610" s="117">
        <f t="shared" si="153"/>
        <v>0</v>
      </c>
      <c r="AL610" s="23"/>
      <c r="AM610" s="127" t="b">
        <f t="shared" si="154"/>
        <v>0</v>
      </c>
      <c r="AN610" s="127" t="str">
        <f t="shared" si="155"/>
        <v/>
      </c>
      <c r="AO610" s="129"/>
      <c r="AP610" s="129"/>
      <c r="AQ610" s="129"/>
      <c r="AR610" s="129"/>
      <c r="AS610" s="129"/>
      <c r="AT610" s="129"/>
      <c r="AU610" s="129"/>
      <c r="AV610" s="129">
        <v>1</v>
      </c>
      <c r="AW610" s="129"/>
      <c r="AX610" s="197"/>
      <c r="AY610" s="197"/>
      <c r="AZ610" s="197"/>
      <c r="BA610" s="197"/>
      <c r="BB610" s="129"/>
      <c r="BC610" s="129"/>
      <c r="BD610" s="129"/>
      <c r="BE610" s="129"/>
      <c r="BF610" s="129"/>
      <c r="BG610" s="129"/>
      <c r="BH610" s="129"/>
      <c r="BI610" s="129"/>
      <c r="BJ610" s="129"/>
      <c r="BK610" s="129"/>
      <c r="BL610" s="129">
        <v>1</v>
      </c>
      <c r="BM610" s="197"/>
    </row>
    <row r="611" spans="1:65" x14ac:dyDescent="0.25">
      <c r="A611" s="166" t="s">
        <v>63</v>
      </c>
      <c r="B611" s="166" t="s">
        <v>24</v>
      </c>
      <c r="C611" s="172" t="s">
        <v>211</v>
      </c>
      <c r="D611" s="161">
        <v>8</v>
      </c>
      <c r="E611" s="29" t="str">
        <f t="shared" si="150"/>
        <v>Asset disposals 2013–15</v>
      </c>
      <c r="F611" s="122">
        <v>212.6964444416937</v>
      </c>
      <c r="G611" s="122">
        <v>569</v>
      </c>
      <c r="H611" s="122">
        <v>0</v>
      </c>
      <c r="I611" s="122">
        <v>301.03580837457957</v>
      </c>
      <c r="J611" s="122">
        <v>1325</v>
      </c>
      <c r="K611" s="122">
        <v>481</v>
      </c>
      <c r="L611" s="122">
        <v>420.03301773215298</v>
      </c>
      <c r="M611" s="122">
        <v>0</v>
      </c>
      <c r="N611" s="122">
        <v>342</v>
      </c>
      <c r="O611" s="122">
        <v>184</v>
      </c>
      <c r="P611" s="122">
        <v>9497</v>
      </c>
      <c r="Q611" s="122">
        <v>4</v>
      </c>
      <c r="R611" s="122">
        <v>5</v>
      </c>
      <c r="S611" s="122">
        <v>204.97735</v>
      </c>
      <c r="T611" s="122">
        <v>17091</v>
      </c>
      <c r="U611" s="122">
        <v>0</v>
      </c>
      <c r="V611" s="122"/>
      <c r="W611" s="54"/>
      <c r="X611" s="54"/>
      <c r="Y611" s="54"/>
      <c r="Z611" s="54"/>
      <c r="AA611" s="54"/>
      <c r="AB611" s="54"/>
      <c r="AC611" s="54"/>
      <c r="AD611" s="54"/>
      <c r="AE611" s="54"/>
      <c r="AF611" s="54"/>
      <c r="AG611" s="54"/>
      <c r="AH611" s="54"/>
      <c r="AI611" s="117">
        <f t="shared" si="151"/>
        <v>30636.742620548423</v>
      </c>
      <c r="AJ611" s="117">
        <f t="shared" si="152"/>
        <v>30636.742620548423</v>
      </c>
      <c r="AK611" s="117">
        <f t="shared" si="153"/>
        <v>0</v>
      </c>
      <c r="AL611" s="23"/>
      <c r="AM611" s="127" t="b">
        <f t="shared" si="154"/>
        <v>0</v>
      </c>
      <c r="AN611" s="127" t="str">
        <f t="shared" si="155"/>
        <v/>
      </c>
      <c r="AO611" s="129"/>
      <c r="AP611" s="129"/>
      <c r="AQ611" s="129"/>
      <c r="AR611" s="129"/>
      <c r="AS611" s="129"/>
      <c r="AT611" s="129"/>
      <c r="AU611" s="129"/>
      <c r="AV611" s="129">
        <v>1</v>
      </c>
      <c r="AW611" s="129"/>
      <c r="AX611" s="197"/>
      <c r="AY611" s="197"/>
      <c r="AZ611" s="197"/>
      <c r="BA611" s="197"/>
      <c r="BB611" s="129"/>
      <c r="BC611" s="129"/>
      <c r="BD611" s="129"/>
      <c r="BE611" s="129"/>
      <c r="BF611" s="129"/>
      <c r="BG611" s="129"/>
      <c r="BH611" s="129"/>
      <c r="BI611" s="129"/>
      <c r="BJ611" s="129"/>
      <c r="BK611" s="129"/>
      <c r="BL611" s="129">
        <v>1</v>
      </c>
      <c r="BM611" s="197"/>
    </row>
    <row r="612" spans="1:65" x14ac:dyDescent="0.25">
      <c r="A612" s="166" t="s">
        <v>63</v>
      </c>
      <c r="B612" s="166" t="s">
        <v>25</v>
      </c>
      <c r="C612" s="172" t="s">
        <v>211</v>
      </c>
      <c r="D612" s="161">
        <v>8</v>
      </c>
      <c r="E612" s="29" t="str">
        <f t="shared" si="150"/>
        <v>Asset disposals 2013–15</v>
      </c>
      <c r="F612" s="122">
        <v>616.76066346762582</v>
      </c>
      <c r="G612" s="122">
        <v>0</v>
      </c>
      <c r="H612" s="122">
        <v>0</v>
      </c>
      <c r="I612" s="122">
        <v>262.78303652844357</v>
      </c>
      <c r="J612" s="122">
        <v>1610</v>
      </c>
      <c r="K612" s="122">
        <v>139</v>
      </c>
      <c r="L612" s="122">
        <v>403.8176162088663</v>
      </c>
      <c r="M612" s="122">
        <v>0</v>
      </c>
      <c r="N612" s="122">
        <v>375</v>
      </c>
      <c r="O612" s="122">
        <v>10</v>
      </c>
      <c r="P612" s="122">
        <v>8111</v>
      </c>
      <c r="Q612" s="122">
        <v>22</v>
      </c>
      <c r="R612" s="122">
        <v>54.4</v>
      </c>
      <c r="S612" s="122">
        <v>504</v>
      </c>
      <c r="T612" s="122">
        <v>3348</v>
      </c>
      <c r="U612" s="122">
        <v>0.79591999999999996</v>
      </c>
      <c r="V612" s="122"/>
      <c r="W612" s="54"/>
      <c r="X612" s="54"/>
      <c r="Y612" s="54"/>
      <c r="Z612" s="54"/>
      <c r="AA612" s="54"/>
      <c r="AB612" s="54"/>
      <c r="AC612" s="54"/>
      <c r="AD612" s="54"/>
      <c r="AE612" s="54"/>
      <c r="AF612" s="54"/>
      <c r="AG612" s="54"/>
      <c r="AH612" s="54"/>
      <c r="AI612" s="117">
        <f t="shared" si="151"/>
        <v>15457.557236204935</v>
      </c>
      <c r="AJ612" s="117">
        <f t="shared" si="152"/>
        <v>15457.557236204935</v>
      </c>
      <c r="AK612" s="117">
        <f t="shared" si="153"/>
        <v>0</v>
      </c>
      <c r="AL612" s="23"/>
      <c r="AM612" s="127" t="b">
        <f t="shared" si="154"/>
        <v>0</v>
      </c>
      <c r="AN612" s="127" t="str">
        <f t="shared" si="155"/>
        <v/>
      </c>
      <c r="AO612" s="129"/>
      <c r="AP612" s="129"/>
      <c r="AQ612" s="129"/>
      <c r="AR612" s="129"/>
      <c r="AS612" s="129"/>
      <c r="AT612" s="129"/>
      <c r="AU612" s="129"/>
      <c r="AV612" s="129">
        <v>1</v>
      </c>
      <c r="AW612" s="129"/>
      <c r="AX612" s="197"/>
      <c r="AY612" s="197"/>
      <c r="AZ612" s="197"/>
      <c r="BA612" s="197"/>
      <c r="BB612" s="129"/>
      <c r="BC612" s="129"/>
      <c r="BD612" s="129"/>
      <c r="BE612" s="129"/>
      <c r="BF612" s="129"/>
      <c r="BG612" s="129"/>
      <c r="BH612" s="129"/>
      <c r="BI612" s="129"/>
      <c r="BJ612" s="129"/>
      <c r="BK612" s="129"/>
      <c r="BL612" s="129">
        <v>1</v>
      </c>
      <c r="BM612" s="197"/>
    </row>
    <row r="613" spans="1:65" x14ac:dyDescent="0.25">
      <c r="A613" s="166" t="s">
        <v>63</v>
      </c>
      <c r="B613" s="166" t="s">
        <v>26</v>
      </c>
      <c r="C613" s="172" t="s">
        <v>211</v>
      </c>
      <c r="D613" s="161">
        <v>8</v>
      </c>
      <c r="E613" s="29" t="str">
        <f t="shared" si="150"/>
        <v>Asset disposals 2013–15</v>
      </c>
      <c r="F613" s="122">
        <v>168.47564</v>
      </c>
      <c r="G613" s="122">
        <v>129</v>
      </c>
      <c r="H613" s="122">
        <v>1.6590100000000001</v>
      </c>
      <c r="I613" s="122">
        <v>146.0962554985295</v>
      </c>
      <c r="J613" s="122">
        <v>1613.7042592866601</v>
      </c>
      <c r="K613" s="122">
        <v>214.13200000000001</v>
      </c>
      <c r="L613" s="122">
        <v>99.89365296500003</v>
      </c>
      <c r="M613" s="122">
        <v>0</v>
      </c>
      <c r="N613" s="122">
        <v>274</v>
      </c>
      <c r="O613" s="122">
        <v>19</v>
      </c>
      <c r="P613" s="122">
        <v>8275</v>
      </c>
      <c r="Q613" s="122">
        <v>14</v>
      </c>
      <c r="R613" s="122">
        <v>62.706215786999998</v>
      </c>
      <c r="S613" s="122">
        <v>5461</v>
      </c>
      <c r="T613" s="122">
        <v>8447</v>
      </c>
      <c r="U613" s="122">
        <v>371.14950678397548</v>
      </c>
      <c r="V613" s="122"/>
      <c r="W613" s="54"/>
      <c r="X613" s="54"/>
      <c r="Y613" s="54"/>
      <c r="Z613" s="54"/>
      <c r="AA613" s="54"/>
      <c r="AB613" s="54"/>
      <c r="AC613" s="54"/>
      <c r="AD613" s="54"/>
      <c r="AE613" s="54"/>
      <c r="AF613" s="54"/>
      <c r="AG613" s="54"/>
      <c r="AH613" s="54"/>
      <c r="AI613" s="117">
        <f t="shared" si="151"/>
        <v>25296.816540321164</v>
      </c>
      <c r="AJ613" s="117">
        <f t="shared" si="152"/>
        <v>25296.816540321164</v>
      </c>
      <c r="AK613" s="117">
        <f t="shared" si="153"/>
        <v>0</v>
      </c>
      <c r="AL613" s="23"/>
      <c r="AM613" s="127" t="b">
        <f t="shared" si="154"/>
        <v>0</v>
      </c>
      <c r="AN613" s="127" t="str">
        <f t="shared" si="155"/>
        <v/>
      </c>
      <c r="AO613" s="129"/>
      <c r="AP613" s="129"/>
      <c r="AQ613" s="129"/>
      <c r="AR613" s="129"/>
      <c r="AS613" s="129"/>
      <c r="AT613" s="129"/>
      <c r="AU613" s="129"/>
      <c r="AV613" s="129">
        <v>1</v>
      </c>
      <c r="AW613" s="129"/>
      <c r="AX613" s="197"/>
      <c r="AY613" s="197"/>
      <c r="AZ613" s="197"/>
      <c r="BA613" s="197"/>
      <c r="BB613" s="129"/>
      <c r="BC613" s="129"/>
      <c r="BD613" s="129"/>
      <c r="BE613" s="129"/>
      <c r="BF613" s="129"/>
      <c r="BG613" s="129"/>
      <c r="BH613" s="129"/>
      <c r="BI613" s="129"/>
      <c r="BJ613" s="129"/>
      <c r="BK613" s="129"/>
      <c r="BL613" s="129">
        <v>1</v>
      </c>
      <c r="BM613" s="197"/>
    </row>
    <row r="614" spans="1:65" x14ac:dyDescent="0.25">
      <c r="A614" s="166" t="s">
        <v>63</v>
      </c>
      <c r="B614" s="166" t="s">
        <v>27</v>
      </c>
      <c r="C614" s="172" t="s">
        <v>211</v>
      </c>
      <c r="D614" s="161">
        <v>8</v>
      </c>
      <c r="E614" s="29" t="str">
        <f t="shared" si="150"/>
        <v>Asset disposals 2013–15</v>
      </c>
      <c r="F614" s="122">
        <v>225</v>
      </c>
      <c r="G614" s="122">
        <v>0</v>
      </c>
      <c r="H614" s="122">
        <v>0</v>
      </c>
      <c r="I614" s="122">
        <v>7.6306751465664098</v>
      </c>
      <c r="J614" s="122">
        <v>815.05219443856549</v>
      </c>
      <c r="K614" s="122">
        <v>73.459000000000003</v>
      </c>
      <c r="L614" s="122">
        <v>158.232034935</v>
      </c>
      <c r="M614" s="122">
        <v>232</v>
      </c>
      <c r="N614" s="122">
        <v>541</v>
      </c>
      <c r="O614" s="122">
        <v>880</v>
      </c>
      <c r="P614" s="122">
        <v>8940.5986907000006</v>
      </c>
      <c r="Q614" s="122">
        <v>316.83803999999998</v>
      </c>
      <c r="R614" s="122">
        <v>54.571150000000003</v>
      </c>
      <c r="S614" s="122">
        <v>3565</v>
      </c>
      <c r="T614" s="122">
        <v>9360</v>
      </c>
      <c r="U614" s="122">
        <v>0</v>
      </c>
      <c r="V614" s="122"/>
      <c r="W614" s="54"/>
      <c r="X614" s="54"/>
      <c r="Y614" s="54"/>
      <c r="Z614" s="54"/>
      <c r="AA614" s="54"/>
      <c r="AB614" s="54"/>
      <c r="AC614" s="54"/>
      <c r="AD614" s="54"/>
      <c r="AE614" s="54"/>
      <c r="AF614" s="54"/>
      <c r="AG614" s="54"/>
      <c r="AH614" s="54"/>
      <c r="AI614" s="117">
        <f t="shared" si="151"/>
        <v>25169.381785220132</v>
      </c>
      <c r="AJ614" s="117">
        <f t="shared" si="152"/>
        <v>25169.381785220132</v>
      </c>
      <c r="AK614" s="117">
        <f t="shared" si="153"/>
        <v>0</v>
      </c>
      <c r="AL614" s="23"/>
      <c r="AM614" s="127" t="b">
        <f t="shared" si="154"/>
        <v>0</v>
      </c>
      <c r="AN614" s="127" t="str">
        <f t="shared" si="155"/>
        <v/>
      </c>
      <c r="AO614" s="129"/>
      <c r="AP614" s="129"/>
      <c r="AQ614" s="129"/>
      <c r="AR614" s="129"/>
      <c r="AS614" s="129"/>
      <c r="AT614" s="129"/>
      <c r="AU614" s="129"/>
      <c r="AV614" s="129">
        <v>1</v>
      </c>
      <c r="AW614" s="129"/>
      <c r="AX614" s="197"/>
      <c r="AY614" s="197"/>
      <c r="AZ614" s="197"/>
      <c r="BA614" s="197"/>
      <c r="BB614" s="129"/>
      <c r="BC614" s="129"/>
      <c r="BD614" s="129"/>
      <c r="BE614" s="129"/>
      <c r="BF614" s="129"/>
      <c r="BG614" s="129"/>
      <c r="BH614" s="129"/>
      <c r="BI614" s="129"/>
      <c r="BJ614" s="129"/>
      <c r="BK614" s="129"/>
      <c r="BL614" s="129">
        <v>1</v>
      </c>
      <c r="BM614" s="197"/>
    </row>
    <row r="615" spans="1:65" x14ac:dyDescent="0.25">
      <c r="A615" s="121"/>
      <c r="B615" s="121"/>
      <c r="C615" s="172"/>
      <c r="D615" s="49"/>
      <c r="E615" s="49"/>
      <c r="F615" s="54"/>
      <c r="G615" s="54"/>
      <c r="H615" s="54"/>
      <c r="I615" s="54"/>
      <c r="J615" s="54"/>
      <c r="K615" s="54"/>
      <c r="L615" s="54"/>
      <c r="M615" s="54"/>
      <c r="N615" s="54"/>
      <c r="O615" s="54"/>
      <c r="P615" s="54"/>
      <c r="Q615" s="54"/>
      <c r="R615" s="54"/>
      <c r="S615" s="54"/>
      <c r="T615" s="54"/>
      <c r="U615" s="54"/>
      <c r="V615" s="54"/>
      <c r="W615" s="55"/>
      <c r="X615" s="55"/>
      <c r="Y615" s="55"/>
      <c r="Z615" s="55"/>
      <c r="AA615" s="55"/>
      <c r="AB615" s="55"/>
      <c r="AC615" s="55"/>
      <c r="AD615" s="55"/>
      <c r="AE615" s="55"/>
      <c r="AF615" s="55"/>
      <c r="AG615" s="55"/>
      <c r="AH615" s="55"/>
      <c r="AI615" s="54"/>
      <c r="AJ615" s="54"/>
      <c r="AK615" s="54"/>
      <c r="AL615" s="23"/>
      <c r="AM615" s="127"/>
      <c r="AN615" s="127"/>
      <c r="AO615" s="129"/>
      <c r="AP615" s="129"/>
      <c r="AQ615" s="129"/>
      <c r="AR615" s="129"/>
      <c r="AS615" s="129"/>
      <c r="AT615" s="129"/>
      <c r="AU615" s="129"/>
      <c r="AV615" s="129"/>
      <c r="AW615" s="129"/>
      <c r="AX615" s="197"/>
      <c r="AY615" s="197"/>
      <c r="AZ615" s="197"/>
      <c r="BA615" s="197"/>
      <c r="BB615" s="129"/>
      <c r="BC615" s="129"/>
      <c r="BD615" s="129"/>
      <c r="BE615" s="129"/>
      <c r="BF615" s="129"/>
      <c r="BG615" s="129"/>
      <c r="BH615" s="129"/>
      <c r="BI615" s="129"/>
      <c r="BJ615" s="129"/>
      <c r="BK615" s="129"/>
      <c r="BL615" s="129"/>
      <c r="BM615" s="197"/>
    </row>
    <row r="616" spans="1:65" x14ac:dyDescent="0.25">
      <c r="A616" s="121"/>
      <c r="B616" s="121"/>
      <c r="C616" s="172"/>
      <c r="D616" s="46"/>
      <c r="E616" s="46"/>
      <c r="F616" s="54"/>
      <c r="G616" s="54"/>
      <c r="H616" s="54"/>
      <c r="I616" s="54"/>
      <c r="J616" s="54"/>
      <c r="K616" s="54"/>
      <c r="L616" s="54"/>
      <c r="M616" s="54"/>
      <c r="N616" s="54"/>
      <c r="O616" s="54"/>
      <c r="P616" s="54"/>
      <c r="Q616" s="54"/>
      <c r="R616" s="54"/>
      <c r="S616" s="54"/>
      <c r="T616" s="54"/>
      <c r="U616" s="54"/>
      <c r="V616" s="54"/>
      <c r="W616" s="55"/>
      <c r="X616" s="55"/>
      <c r="Y616" s="55"/>
      <c r="Z616" s="55"/>
      <c r="AA616" s="55"/>
      <c r="AB616" s="55"/>
      <c r="AC616" s="55"/>
      <c r="AD616" s="55"/>
      <c r="AE616" s="55"/>
      <c r="AF616" s="55"/>
      <c r="AG616" s="55"/>
      <c r="AH616" s="55"/>
      <c r="AI616" s="54"/>
      <c r="AJ616" s="54"/>
      <c r="AK616" s="54"/>
      <c r="AL616" s="23"/>
      <c r="AM616" s="127"/>
      <c r="AN616" s="127"/>
      <c r="AO616" s="129"/>
      <c r="AP616" s="129"/>
      <c r="AQ616" s="129"/>
      <c r="AR616" s="129"/>
      <c r="AS616" s="129"/>
      <c r="AT616" s="129"/>
      <c r="AU616" s="129"/>
      <c r="AV616" s="129"/>
      <c r="AW616" s="129"/>
      <c r="AX616" s="197"/>
      <c r="AY616" s="197"/>
      <c r="AZ616" s="197"/>
      <c r="BA616" s="197"/>
      <c r="BB616" s="129"/>
      <c r="BC616" s="129"/>
      <c r="BD616" s="129"/>
      <c r="BE616" s="129"/>
      <c r="BF616" s="129"/>
      <c r="BG616" s="129"/>
      <c r="BH616" s="129"/>
      <c r="BI616" s="129"/>
      <c r="BJ616" s="129"/>
      <c r="BK616" s="129"/>
      <c r="BL616" s="129"/>
      <c r="BM616" s="197"/>
    </row>
    <row r="617" spans="1:65" x14ac:dyDescent="0.25">
      <c r="A617" s="121" t="s">
        <v>63</v>
      </c>
      <c r="B617" s="121" t="s">
        <v>22</v>
      </c>
      <c r="C617" s="172" t="s">
        <v>211</v>
      </c>
      <c r="D617" s="161">
        <v>10</v>
      </c>
      <c r="E617" s="29" t="str">
        <f t="shared" ref="E617:E622" si="156">INDEX(ra_ScName,MATCH(D617,ra_ScNumber,0))</f>
        <v>Disclosed nominal return (incl actual asset revaluations)</v>
      </c>
      <c r="F617" s="122">
        <v>411.1521474045332</v>
      </c>
      <c r="G617" s="122">
        <v>0</v>
      </c>
      <c r="H617" s="122">
        <v>43.225169999999999</v>
      </c>
      <c r="I617" s="122">
        <v>270.83940720981781</v>
      </c>
      <c r="J617" s="122">
        <v>1125</v>
      </c>
      <c r="K617" s="122">
        <v>42</v>
      </c>
      <c r="L617" s="122">
        <v>62.119743764765502</v>
      </c>
      <c r="M617" s="122">
        <v>0</v>
      </c>
      <c r="N617" s="122">
        <v>0</v>
      </c>
      <c r="O617" s="122">
        <v>0</v>
      </c>
      <c r="P617" s="122">
        <v>11033</v>
      </c>
      <c r="Q617" s="122">
        <v>12</v>
      </c>
      <c r="R617" s="122">
        <v>29</v>
      </c>
      <c r="S617" s="122">
        <v>178.82468</v>
      </c>
      <c r="T617" s="122">
        <v>6879</v>
      </c>
      <c r="U617" s="122">
        <v>17</v>
      </c>
      <c r="V617" s="122">
        <v>0</v>
      </c>
      <c r="W617" s="122">
        <v>494</v>
      </c>
      <c r="X617" s="122">
        <v>741.14998641119985</v>
      </c>
      <c r="Y617" s="122">
        <v>1115</v>
      </c>
      <c r="Z617" s="122">
        <v>10</v>
      </c>
      <c r="AA617" s="122">
        <v>0</v>
      </c>
      <c r="AB617" s="122">
        <v>0</v>
      </c>
      <c r="AC617" s="122">
        <v>0</v>
      </c>
      <c r="AD617" s="122">
        <v>184</v>
      </c>
      <c r="AE617" s="122">
        <v>709</v>
      </c>
      <c r="AF617" s="122">
        <v>1118.593715755967</v>
      </c>
      <c r="AG617" s="122">
        <v>1593.3255658666119</v>
      </c>
      <c r="AH617" s="122">
        <v>209</v>
      </c>
      <c r="AI617" s="117">
        <f t="shared" ref="AI617:AI622" si="157">SUM(F617:AH617)</f>
        <v>26277.230416412898</v>
      </c>
      <c r="AJ617" s="117">
        <f t="shared" ref="AJ617:AJ622" si="158">SUM(F617:U617)</f>
        <v>20103.161148379117</v>
      </c>
      <c r="AK617" s="117">
        <f t="shared" ref="AK617:AK622" si="159">SUM(W617:AH617)</f>
        <v>6174.0692680337788</v>
      </c>
      <c r="AL617" s="23"/>
      <c r="AM617" s="127" t="b">
        <f t="shared" ref="AM617:AM622" si="160">IF(INDEX($AO617:$BM617,0,$F$14)=1,TRUE,FALSE)</f>
        <v>1</v>
      </c>
      <c r="AN617" s="127" t="str">
        <f t="shared" ref="AN617:AN622" si="161">IF(AM617,A617&amp;", "&amp;B617,"")</f>
        <v>Asset disposals, 2009/10</v>
      </c>
      <c r="AO617" s="129"/>
      <c r="AP617" s="129"/>
      <c r="AQ617" s="129"/>
      <c r="AR617" s="129"/>
      <c r="AS617" s="129"/>
      <c r="AT617" s="129"/>
      <c r="AU617" s="129"/>
      <c r="AV617" s="129"/>
      <c r="AW617" s="129">
        <v>1</v>
      </c>
      <c r="AX617" s="197">
        <v>1</v>
      </c>
      <c r="AY617" s="197">
        <v>1</v>
      </c>
      <c r="AZ617" s="197">
        <v>1</v>
      </c>
      <c r="BA617" s="197"/>
      <c r="BB617" s="129"/>
      <c r="BC617" s="129"/>
      <c r="BD617" s="129"/>
      <c r="BE617" s="129"/>
      <c r="BF617" s="129"/>
      <c r="BG617" s="129"/>
      <c r="BH617" s="129"/>
      <c r="BI617" s="129"/>
      <c r="BJ617" s="129"/>
      <c r="BK617" s="129"/>
      <c r="BL617" s="129"/>
      <c r="BM617" s="197">
        <v>1</v>
      </c>
    </row>
    <row r="618" spans="1:65" x14ac:dyDescent="0.25">
      <c r="A618" s="121" t="s">
        <v>63</v>
      </c>
      <c r="B618" s="121" t="s">
        <v>23</v>
      </c>
      <c r="C618" s="172" t="s">
        <v>211</v>
      </c>
      <c r="D618" s="161">
        <v>10</v>
      </c>
      <c r="E618" s="29" t="str">
        <f t="shared" si="156"/>
        <v>Disclosed nominal return (incl actual asset revaluations)</v>
      </c>
      <c r="F618" s="122">
        <v>266.68798736824618</v>
      </c>
      <c r="G618" s="122">
        <v>206</v>
      </c>
      <c r="H618" s="122">
        <v>0</v>
      </c>
      <c r="I618" s="122">
        <v>669.60927628519812</v>
      </c>
      <c r="J618" s="122">
        <v>741</v>
      </c>
      <c r="K618" s="122">
        <v>121</v>
      </c>
      <c r="L618" s="122">
        <v>371.25002428476091</v>
      </c>
      <c r="M618" s="122">
        <v>0</v>
      </c>
      <c r="N618" s="122">
        <v>461</v>
      </c>
      <c r="O618" s="122">
        <v>41</v>
      </c>
      <c r="P618" s="122">
        <v>5890</v>
      </c>
      <c r="Q618" s="122">
        <v>23</v>
      </c>
      <c r="R618" s="122">
        <v>4</v>
      </c>
      <c r="S618" s="122">
        <v>349.92243000000002</v>
      </c>
      <c r="T618" s="122">
        <v>7255</v>
      </c>
      <c r="U618" s="122">
        <v>0</v>
      </c>
      <c r="V618" s="122">
        <v>0</v>
      </c>
      <c r="W618" s="122">
        <v>343</v>
      </c>
      <c r="X618" s="122">
        <v>274.12997137989601</v>
      </c>
      <c r="Y618" s="122">
        <v>1311</v>
      </c>
      <c r="Z618" s="122">
        <v>134</v>
      </c>
      <c r="AA618" s="122">
        <v>0</v>
      </c>
      <c r="AB618" s="122">
        <v>0</v>
      </c>
      <c r="AC618" s="122">
        <v>0</v>
      </c>
      <c r="AD618" s="122">
        <v>0</v>
      </c>
      <c r="AE618" s="122">
        <v>624</v>
      </c>
      <c r="AF618" s="122">
        <v>185.79490890240089</v>
      </c>
      <c r="AG618" s="122">
        <v>621.63924537282992</v>
      </c>
      <c r="AH618" s="122">
        <v>457</v>
      </c>
      <c r="AI618" s="117">
        <f t="shared" si="157"/>
        <v>20350.03384359333</v>
      </c>
      <c r="AJ618" s="117">
        <f t="shared" si="158"/>
        <v>16399.469717938206</v>
      </c>
      <c r="AK618" s="117">
        <f t="shared" si="159"/>
        <v>3950.5641256551271</v>
      </c>
      <c r="AL618" s="23"/>
      <c r="AM618" s="127" t="b">
        <f t="shared" si="160"/>
        <v>1</v>
      </c>
      <c r="AN618" s="127" t="str">
        <f t="shared" si="161"/>
        <v>Asset disposals, 2010/11</v>
      </c>
      <c r="AO618" s="129"/>
      <c r="AP618" s="129"/>
      <c r="AQ618" s="129"/>
      <c r="AR618" s="129"/>
      <c r="AS618" s="129"/>
      <c r="AT618" s="129"/>
      <c r="AU618" s="129"/>
      <c r="AV618" s="129"/>
      <c r="AW618" s="129">
        <v>1</v>
      </c>
      <c r="AX618" s="197">
        <v>1</v>
      </c>
      <c r="AY618" s="197">
        <v>1</v>
      </c>
      <c r="AZ618" s="197">
        <v>1</v>
      </c>
      <c r="BA618" s="197"/>
      <c r="BB618" s="129"/>
      <c r="BC618" s="129"/>
      <c r="BD618" s="129"/>
      <c r="BE618" s="129"/>
      <c r="BF618" s="129"/>
      <c r="BG618" s="129"/>
      <c r="BH618" s="129"/>
      <c r="BI618" s="129"/>
      <c r="BJ618" s="129"/>
      <c r="BK618" s="129"/>
      <c r="BL618" s="129"/>
      <c r="BM618" s="197">
        <v>1</v>
      </c>
    </row>
    <row r="619" spans="1:65" x14ac:dyDescent="0.25">
      <c r="A619" s="121" t="s">
        <v>63</v>
      </c>
      <c r="B619" s="121" t="s">
        <v>24</v>
      </c>
      <c r="C619" s="172" t="s">
        <v>211</v>
      </c>
      <c r="D619" s="161">
        <v>10</v>
      </c>
      <c r="E619" s="29" t="str">
        <f t="shared" si="156"/>
        <v>Disclosed nominal return (incl actual asset revaluations)</v>
      </c>
      <c r="F619" s="122">
        <v>212.6964444416937</v>
      </c>
      <c r="G619" s="122">
        <v>569</v>
      </c>
      <c r="H619" s="122">
        <v>0</v>
      </c>
      <c r="I619" s="122">
        <v>301.03580837457957</v>
      </c>
      <c r="J619" s="122">
        <v>1325</v>
      </c>
      <c r="K619" s="122">
        <v>481</v>
      </c>
      <c r="L619" s="122">
        <v>420.03301773215298</v>
      </c>
      <c r="M619" s="122">
        <v>0</v>
      </c>
      <c r="N619" s="122">
        <v>342</v>
      </c>
      <c r="O619" s="122">
        <v>184</v>
      </c>
      <c r="P619" s="122">
        <v>9497</v>
      </c>
      <c r="Q619" s="122">
        <v>4</v>
      </c>
      <c r="R619" s="122">
        <v>5</v>
      </c>
      <c r="S619" s="122">
        <v>204.97735</v>
      </c>
      <c r="T619" s="122">
        <v>17091</v>
      </c>
      <c r="U619" s="122">
        <v>0</v>
      </c>
      <c r="V619" s="122">
        <v>0</v>
      </c>
      <c r="W619" s="122">
        <v>186</v>
      </c>
      <c r="X619" s="122">
        <v>197.44238214552379</v>
      </c>
      <c r="Y619" s="122">
        <v>151</v>
      </c>
      <c r="Z619" s="122">
        <v>0</v>
      </c>
      <c r="AA619" s="122">
        <v>0</v>
      </c>
      <c r="AB619" s="122">
        <v>0</v>
      </c>
      <c r="AC619" s="122">
        <v>0</v>
      </c>
      <c r="AD619" s="122">
        <v>9</v>
      </c>
      <c r="AE619" s="122">
        <v>798</v>
      </c>
      <c r="AF619" s="122">
        <v>210.58584667101081</v>
      </c>
      <c r="AG619" s="122">
        <v>195.38435961292589</v>
      </c>
      <c r="AH619" s="122">
        <v>353</v>
      </c>
      <c r="AI619" s="117">
        <f t="shared" si="157"/>
        <v>32737.155208977885</v>
      </c>
      <c r="AJ619" s="117">
        <f t="shared" si="158"/>
        <v>30636.742620548423</v>
      </c>
      <c r="AK619" s="117">
        <f t="shared" si="159"/>
        <v>2100.4125884294608</v>
      </c>
      <c r="AL619" s="23"/>
      <c r="AM619" s="127" t="b">
        <f t="shared" si="160"/>
        <v>1</v>
      </c>
      <c r="AN619" s="127" t="str">
        <f t="shared" si="161"/>
        <v>Asset disposals, 2011/12</v>
      </c>
      <c r="AO619" s="129"/>
      <c r="AP619" s="129"/>
      <c r="AQ619" s="129"/>
      <c r="AR619" s="129"/>
      <c r="AS619" s="129"/>
      <c r="AT619" s="129"/>
      <c r="AU619" s="129"/>
      <c r="AV619" s="129"/>
      <c r="AW619" s="129">
        <v>1</v>
      </c>
      <c r="AX619" s="197">
        <v>1</v>
      </c>
      <c r="AY619" s="197">
        <v>1</v>
      </c>
      <c r="AZ619" s="197">
        <v>1</v>
      </c>
      <c r="BA619" s="197"/>
      <c r="BB619" s="129"/>
      <c r="BC619" s="129"/>
      <c r="BD619" s="129"/>
      <c r="BE619" s="129"/>
      <c r="BF619" s="129"/>
      <c r="BG619" s="129"/>
      <c r="BH619" s="129"/>
      <c r="BI619" s="129"/>
      <c r="BJ619" s="129"/>
      <c r="BK619" s="129"/>
      <c r="BL619" s="129"/>
      <c r="BM619" s="197">
        <v>1</v>
      </c>
    </row>
    <row r="620" spans="1:65" x14ac:dyDescent="0.25">
      <c r="A620" s="121" t="s">
        <v>63</v>
      </c>
      <c r="B620" s="121" t="s">
        <v>25</v>
      </c>
      <c r="C620" s="172" t="s">
        <v>211</v>
      </c>
      <c r="D620" s="161">
        <v>10</v>
      </c>
      <c r="E620" s="29" t="str">
        <f t="shared" si="156"/>
        <v>Disclosed nominal return (incl actual asset revaluations)</v>
      </c>
      <c r="F620" s="122">
        <v>616.76066346762582</v>
      </c>
      <c r="G620" s="122">
        <v>0</v>
      </c>
      <c r="H620" s="122">
        <v>0</v>
      </c>
      <c r="I620" s="122">
        <v>262.78303652844357</v>
      </c>
      <c r="J620" s="122">
        <v>1610</v>
      </c>
      <c r="K620" s="122">
        <v>139</v>
      </c>
      <c r="L620" s="122">
        <v>403.8176162088663</v>
      </c>
      <c r="M620" s="122">
        <v>0</v>
      </c>
      <c r="N620" s="122">
        <v>375</v>
      </c>
      <c r="O620" s="122">
        <v>10</v>
      </c>
      <c r="P620" s="122">
        <v>8111</v>
      </c>
      <c r="Q620" s="122">
        <v>22</v>
      </c>
      <c r="R620" s="122">
        <v>54.4</v>
      </c>
      <c r="S620" s="122">
        <v>504</v>
      </c>
      <c r="T620" s="122">
        <v>3348</v>
      </c>
      <c r="U620" s="122">
        <v>0.79591999999999996</v>
      </c>
      <c r="V620" s="122">
        <v>117</v>
      </c>
      <c r="W620" s="122">
        <v>329</v>
      </c>
      <c r="X620" s="122">
        <v>451.63917916940829</v>
      </c>
      <c r="Y620" s="122">
        <v>1001</v>
      </c>
      <c r="Z620" s="122">
        <v>0</v>
      </c>
      <c r="AA620" s="122">
        <v>0</v>
      </c>
      <c r="AB620" s="122">
        <v>0</v>
      </c>
      <c r="AC620" s="122">
        <v>0</v>
      </c>
      <c r="AD620" s="122">
        <v>0</v>
      </c>
      <c r="AE620" s="122">
        <v>477</v>
      </c>
      <c r="AF620" s="122">
        <v>229.69138118171711</v>
      </c>
      <c r="AG620" s="122">
        <v>1490.1902498865561</v>
      </c>
      <c r="AH620" s="122">
        <v>216</v>
      </c>
      <c r="AI620" s="117">
        <f t="shared" si="157"/>
        <v>19769.078046442617</v>
      </c>
      <c r="AJ620" s="117">
        <f t="shared" si="158"/>
        <v>15457.557236204935</v>
      </c>
      <c r="AK620" s="117">
        <f t="shared" si="159"/>
        <v>4194.5208102376819</v>
      </c>
      <c r="AL620" s="23"/>
      <c r="AM620" s="127" t="b">
        <f t="shared" si="160"/>
        <v>1</v>
      </c>
      <c r="AN620" s="127" t="str">
        <f t="shared" si="161"/>
        <v>Asset disposals, 2012/13</v>
      </c>
      <c r="AO620" s="129"/>
      <c r="AP620" s="129"/>
      <c r="AQ620" s="129"/>
      <c r="AR620" s="129"/>
      <c r="AS620" s="129"/>
      <c r="AT620" s="129"/>
      <c r="AU620" s="129"/>
      <c r="AV620" s="129"/>
      <c r="AW620" s="129">
        <v>1</v>
      </c>
      <c r="AX620" s="197">
        <v>1</v>
      </c>
      <c r="AY620" s="197">
        <v>1</v>
      </c>
      <c r="AZ620" s="197">
        <v>1</v>
      </c>
      <c r="BA620" s="197"/>
      <c r="BB620" s="129"/>
      <c r="BC620" s="129"/>
      <c r="BD620" s="129"/>
      <c r="BE620" s="129"/>
      <c r="BF620" s="129"/>
      <c r="BG620" s="129"/>
      <c r="BH620" s="129"/>
      <c r="BI620" s="129"/>
      <c r="BJ620" s="129"/>
      <c r="BK620" s="129"/>
      <c r="BL620" s="129"/>
      <c r="BM620" s="197">
        <v>1</v>
      </c>
    </row>
    <row r="621" spans="1:65" x14ac:dyDescent="0.25">
      <c r="A621" s="121" t="s">
        <v>63</v>
      </c>
      <c r="B621" s="121" t="s">
        <v>26</v>
      </c>
      <c r="C621" s="172" t="s">
        <v>211</v>
      </c>
      <c r="D621" s="161">
        <v>10</v>
      </c>
      <c r="E621" s="29" t="str">
        <f t="shared" si="156"/>
        <v>Disclosed nominal return (incl actual asset revaluations)</v>
      </c>
      <c r="F621" s="122">
        <v>168.47564</v>
      </c>
      <c r="G621" s="122">
        <v>129</v>
      </c>
      <c r="H621" s="122">
        <v>1.6590100000000001</v>
      </c>
      <c r="I621" s="122">
        <v>146.0962554985295</v>
      </c>
      <c r="J621" s="122">
        <v>1613.7042592866601</v>
      </c>
      <c r="K621" s="122">
        <v>214.13200000000001</v>
      </c>
      <c r="L621" s="122">
        <v>99.89365296500003</v>
      </c>
      <c r="M621" s="122">
        <v>0</v>
      </c>
      <c r="N621" s="122">
        <v>274</v>
      </c>
      <c r="O621" s="122">
        <v>19</v>
      </c>
      <c r="P621" s="122">
        <v>8275</v>
      </c>
      <c r="Q621" s="122">
        <v>14</v>
      </c>
      <c r="R621" s="122">
        <v>62.706215786999998</v>
      </c>
      <c r="S621" s="122">
        <v>5461</v>
      </c>
      <c r="T621" s="122">
        <v>8447</v>
      </c>
      <c r="U621" s="122">
        <v>371.14950678397548</v>
      </c>
      <c r="V621" s="122">
        <v>25717.3</v>
      </c>
      <c r="W621" s="122">
        <v>307</v>
      </c>
      <c r="X621" s="122">
        <v>433.02277136163138</v>
      </c>
      <c r="Y621" s="122">
        <v>355.60712999999998</v>
      </c>
      <c r="Z621" s="122">
        <v>255</v>
      </c>
      <c r="AA621" s="122">
        <v>175.321</v>
      </c>
      <c r="AB621" s="122">
        <v>226</v>
      </c>
      <c r="AC621" s="122">
        <v>0</v>
      </c>
      <c r="AD621" s="122">
        <v>0</v>
      </c>
      <c r="AE621" s="122">
        <v>751.41</v>
      </c>
      <c r="AF621" s="122">
        <v>175.06459897939521</v>
      </c>
      <c r="AG621" s="122">
        <v>4052.4193700000001</v>
      </c>
      <c r="AH621" s="122">
        <v>200</v>
      </c>
      <c r="AI621" s="117">
        <f t="shared" si="157"/>
        <v>57944.961410662196</v>
      </c>
      <c r="AJ621" s="117">
        <f t="shared" si="158"/>
        <v>25296.816540321164</v>
      </c>
      <c r="AK621" s="117">
        <f t="shared" si="159"/>
        <v>6930.8448703410268</v>
      </c>
      <c r="AL621" s="23"/>
      <c r="AM621" s="127" t="b">
        <f t="shared" si="160"/>
        <v>1</v>
      </c>
      <c r="AN621" s="127" t="str">
        <f t="shared" si="161"/>
        <v>Asset disposals, 2013/14</v>
      </c>
      <c r="AO621" s="129"/>
      <c r="AP621" s="129"/>
      <c r="AQ621" s="129"/>
      <c r="AR621" s="129"/>
      <c r="AS621" s="129"/>
      <c r="AT621" s="129"/>
      <c r="AU621" s="129"/>
      <c r="AV621" s="129"/>
      <c r="AW621" s="129">
        <v>1</v>
      </c>
      <c r="AX621" s="197">
        <v>1</v>
      </c>
      <c r="AY621" s="197">
        <v>1</v>
      </c>
      <c r="AZ621" s="197">
        <v>1</v>
      </c>
      <c r="BA621" s="197"/>
      <c r="BB621" s="129"/>
      <c r="BC621" s="129"/>
      <c r="BD621" s="129"/>
      <c r="BE621" s="129"/>
      <c r="BF621" s="129"/>
      <c r="BG621" s="129"/>
      <c r="BH621" s="129"/>
      <c r="BI621" s="129"/>
      <c r="BJ621" s="129"/>
      <c r="BK621" s="129"/>
      <c r="BL621" s="129"/>
      <c r="BM621" s="197">
        <v>1</v>
      </c>
    </row>
    <row r="622" spans="1:65" x14ac:dyDescent="0.25">
      <c r="A622" s="121" t="s">
        <v>63</v>
      </c>
      <c r="B622" s="121" t="s">
        <v>27</v>
      </c>
      <c r="C622" s="172" t="s">
        <v>211</v>
      </c>
      <c r="D622" s="161">
        <v>10</v>
      </c>
      <c r="E622" s="29" t="str">
        <f t="shared" si="156"/>
        <v>Disclosed nominal return (incl actual asset revaluations)</v>
      </c>
      <c r="F622" s="122">
        <v>225</v>
      </c>
      <c r="G622" s="122">
        <v>0</v>
      </c>
      <c r="H622" s="122">
        <v>0</v>
      </c>
      <c r="I622" s="122">
        <v>7.6306751465664098</v>
      </c>
      <c r="J622" s="122">
        <v>815.05219443856549</v>
      </c>
      <c r="K622" s="122">
        <v>73.459000000000003</v>
      </c>
      <c r="L622" s="122">
        <v>158.232034935</v>
      </c>
      <c r="M622" s="122">
        <v>232</v>
      </c>
      <c r="N622" s="122">
        <v>541</v>
      </c>
      <c r="O622" s="122">
        <v>880</v>
      </c>
      <c r="P622" s="122">
        <v>8940.5986907000006</v>
      </c>
      <c r="Q622" s="122">
        <v>316.83803999999998</v>
      </c>
      <c r="R622" s="122">
        <v>54.571150000000003</v>
      </c>
      <c r="S622" s="122">
        <v>3565</v>
      </c>
      <c r="T622" s="122">
        <v>9360</v>
      </c>
      <c r="U622" s="122">
        <v>0</v>
      </c>
      <c r="V622" s="122">
        <v>1099.8209999999999</v>
      </c>
      <c r="W622" s="122">
        <v>151.21100000000001</v>
      </c>
      <c r="X622" s="122">
        <v>360</v>
      </c>
      <c r="Y622" s="122">
        <v>433.82640000000004</v>
      </c>
      <c r="Z622" s="122">
        <v>1421</v>
      </c>
      <c r="AA622" s="122">
        <v>301.392</v>
      </c>
      <c r="AB622" s="122">
        <v>199</v>
      </c>
      <c r="AC622" s="122">
        <v>0</v>
      </c>
      <c r="AD622" s="122">
        <v>0</v>
      </c>
      <c r="AE622" s="122">
        <v>662.6</v>
      </c>
      <c r="AF622" s="122">
        <v>174.06987587228429</v>
      </c>
      <c r="AG622" s="122">
        <v>601.48294999999996</v>
      </c>
      <c r="AH622" s="122">
        <v>95</v>
      </c>
      <c r="AI622" s="117">
        <f t="shared" si="157"/>
        <v>30668.785011092416</v>
      </c>
      <c r="AJ622" s="117">
        <f t="shared" si="158"/>
        <v>25169.381785220132</v>
      </c>
      <c r="AK622" s="117">
        <f t="shared" si="159"/>
        <v>4399.5822258722837</v>
      </c>
      <c r="AL622" s="23"/>
      <c r="AM622" s="127" t="b">
        <f t="shared" si="160"/>
        <v>1</v>
      </c>
      <c r="AN622" s="127" t="str">
        <f t="shared" si="161"/>
        <v>Asset disposals, 2014/15</v>
      </c>
      <c r="AO622" s="129"/>
      <c r="AP622" s="129"/>
      <c r="AQ622" s="129"/>
      <c r="AR622" s="129"/>
      <c r="AS622" s="129"/>
      <c r="AT622" s="129"/>
      <c r="AU622" s="129"/>
      <c r="AV622" s="129"/>
      <c r="AW622" s="129">
        <v>1</v>
      </c>
      <c r="AX622" s="197">
        <v>1</v>
      </c>
      <c r="AY622" s="197">
        <v>1</v>
      </c>
      <c r="AZ622" s="197">
        <v>1</v>
      </c>
      <c r="BA622" s="197"/>
      <c r="BB622" s="129"/>
      <c r="BC622" s="129"/>
      <c r="BD622" s="129"/>
      <c r="BE622" s="129"/>
      <c r="BF622" s="129"/>
      <c r="BG622" s="129"/>
      <c r="BH622" s="129"/>
      <c r="BI622" s="129"/>
      <c r="BJ622" s="129"/>
      <c r="BK622" s="129"/>
      <c r="BL622" s="129"/>
      <c r="BM622" s="197">
        <v>1</v>
      </c>
    </row>
    <row r="623" spans="1:65" x14ac:dyDescent="0.25">
      <c r="A623" s="49"/>
      <c r="B623" s="121"/>
      <c r="C623" s="172"/>
      <c r="D623" s="49"/>
      <c r="E623" s="49"/>
      <c r="F623" s="54"/>
      <c r="G623" s="54"/>
      <c r="H623" s="54"/>
      <c r="I623" s="54"/>
      <c r="J623" s="54"/>
      <c r="K623" s="54"/>
      <c r="L623" s="54"/>
      <c r="M623" s="54"/>
      <c r="N623" s="54"/>
      <c r="O623" s="54"/>
      <c r="P623" s="54"/>
      <c r="Q623" s="54"/>
      <c r="R623" s="54"/>
      <c r="S623" s="54"/>
      <c r="T623" s="54"/>
      <c r="U623" s="54"/>
      <c r="V623" s="54"/>
      <c r="W623" s="55"/>
      <c r="X623" s="55"/>
      <c r="Y623" s="55"/>
      <c r="Z623" s="55"/>
      <c r="AA623" s="55"/>
      <c r="AB623" s="55"/>
      <c r="AC623" s="55"/>
      <c r="AD623" s="55"/>
      <c r="AE623" s="55"/>
      <c r="AF623" s="55"/>
      <c r="AG623" s="55"/>
      <c r="AH623" s="55"/>
      <c r="AI623" s="54"/>
      <c r="AJ623" s="54"/>
      <c r="AK623" s="54"/>
      <c r="AL623" s="23"/>
      <c r="AM623" s="127"/>
      <c r="AN623" s="127"/>
      <c r="AO623" s="129"/>
      <c r="AP623" s="129"/>
      <c r="AQ623" s="129"/>
      <c r="AR623" s="129"/>
      <c r="AS623" s="129"/>
      <c r="AT623" s="129"/>
      <c r="AU623" s="129"/>
      <c r="AV623" s="129"/>
      <c r="AW623" s="129"/>
      <c r="AX623" s="197"/>
      <c r="AY623" s="197"/>
      <c r="AZ623" s="197"/>
      <c r="BA623" s="197"/>
      <c r="BB623" s="129"/>
      <c r="BC623" s="129"/>
      <c r="BD623" s="129"/>
      <c r="BE623" s="129"/>
      <c r="BF623" s="129"/>
      <c r="BG623" s="129"/>
      <c r="BH623" s="129"/>
      <c r="BI623" s="129"/>
      <c r="BJ623" s="129"/>
      <c r="BK623" s="129"/>
      <c r="BL623" s="129"/>
      <c r="BM623" s="197"/>
    </row>
    <row r="624" spans="1:65" x14ac:dyDescent="0.25">
      <c r="A624" s="121"/>
      <c r="B624" s="121"/>
      <c r="C624" s="172"/>
      <c r="D624" s="46"/>
      <c r="E624" s="46"/>
      <c r="F624" s="54"/>
      <c r="G624" s="54"/>
      <c r="H624" s="54"/>
      <c r="I624" s="54"/>
      <c r="J624" s="54"/>
      <c r="K624" s="54"/>
      <c r="L624" s="54"/>
      <c r="M624" s="54"/>
      <c r="N624" s="54"/>
      <c r="O624" s="54"/>
      <c r="P624" s="54"/>
      <c r="Q624" s="54"/>
      <c r="R624" s="54"/>
      <c r="S624" s="54"/>
      <c r="T624" s="54"/>
      <c r="U624" s="54"/>
      <c r="V624" s="54"/>
      <c r="W624" s="55"/>
      <c r="X624" s="55"/>
      <c r="Y624" s="55"/>
      <c r="Z624" s="55"/>
      <c r="AA624" s="55"/>
      <c r="AB624" s="55"/>
      <c r="AC624" s="55"/>
      <c r="AD624" s="55"/>
      <c r="AE624" s="55"/>
      <c r="AF624" s="55"/>
      <c r="AG624" s="55"/>
      <c r="AH624" s="55"/>
      <c r="AI624" s="54"/>
      <c r="AJ624" s="54"/>
      <c r="AK624" s="54"/>
      <c r="AL624" s="23"/>
      <c r="AM624" s="127"/>
      <c r="AN624" s="127"/>
      <c r="AO624" s="129"/>
      <c r="AP624" s="129"/>
      <c r="AQ624" s="129"/>
      <c r="AR624" s="129"/>
      <c r="AS624" s="129"/>
      <c r="AT624" s="129"/>
      <c r="AU624" s="129"/>
      <c r="AV624" s="129"/>
      <c r="AW624" s="129"/>
      <c r="AX624" s="197"/>
      <c r="AY624" s="197"/>
      <c r="AZ624" s="197"/>
      <c r="BA624" s="197"/>
      <c r="BB624" s="129"/>
      <c r="BC624" s="129"/>
      <c r="BD624" s="129"/>
      <c r="BE624" s="129"/>
      <c r="BF624" s="129"/>
      <c r="BG624" s="129"/>
      <c r="BH624" s="129"/>
      <c r="BI624" s="129"/>
      <c r="BJ624" s="129"/>
      <c r="BK624" s="129"/>
      <c r="BL624" s="129"/>
      <c r="BM624" s="197"/>
    </row>
    <row r="625" spans="1:65" x14ac:dyDescent="0.25">
      <c r="A625" s="121" t="s">
        <v>78</v>
      </c>
      <c r="B625" s="121" t="s">
        <v>22</v>
      </c>
      <c r="C625" s="172" t="s">
        <v>222</v>
      </c>
      <c r="D625" s="161">
        <v>1</v>
      </c>
      <c r="E625" s="29" t="str">
        <f t="shared" ref="E625:E630" si="162">INDEX(ra_ScName,MATCH(D625,ra_ScNumber,0))</f>
        <v>Expected nominal return (incl forecast asset revaluations)</v>
      </c>
      <c r="F625" s="54"/>
      <c r="G625" s="54"/>
      <c r="H625" s="54"/>
      <c r="I625" s="54"/>
      <c r="J625" s="54"/>
      <c r="K625" s="54"/>
      <c r="L625" s="54"/>
      <c r="M625" s="54"/>
      <c r="N625" s="54"/>
      <c r="O625" s="54"/>
      <c r="P625" s="54"/>
      <c r="Q625" s="54"/>
      <c r="R625" s="54"/>
      <c r="S625" s="54"/>
      <c r="T625" s="54"/>
      <c r="U625" s="54"/>
      <c r="V625" s="54"/>
      <c r="W625" s="54"/>
      <c r="X625" s="54"/>
      <c r="Y625" s="54"/>
      <c r="Z625" s="54"/>
      <c r="AA625" s="54"/>
      <c r="AB625" s="54"/>
      <c r="AC625" s="54"/>
      <c r="AD625" s="54"/>
      <c r="AE625" s="54"/>
      <c r="AF625" s="54"/>
      <c r="AG625" s="54"/>
      <c r="AH625" s="54"/>
      <c r="AI625" s="117">
        <f t="shared" ref="AI625:AI630" si="163">SUM(F625:AH625)</f>
        <v>0</v>
      </c>
      <c r="AJ625" s="117">
        <f t="shared" ref="AJ625:AJ630" si="164">SUM(F625:U625)</f>
        <v>0</v>
      </c>
      <c r="AK625" s="117">
        <f t="shared" ref="AK625:AK630" si="165">SUM(W625:AH625)</f>
        <v>0</v>
      </c>
      <c r="AL625" s="23"/>
      <c r="AM625" s="127" t="b">
        <f t="shared" ref="AM625:AM630" si="166">IF(INDEX($AO625:$BM625,0,$F$14)=1,TRUE,FALSE)</f>
        <v>0</v>
      </c>
      <c r="AN625" s="127" t="str">
        <f t="shared" ref="AN625:AN630" si="167">IF(AM625,A625&amp;", "&amp;B625,"")</f>
        <v/>
      </c>
      <c r="AO625" s="129">
        <v>1</v>
      </c>
      <c r="AP625" s="129">
        <v>1</v>
      </c>
      <c r="AQ625" s="129">
        <v>1</v>
      </c>
      <c r="AR625" s="129">
        <v>1</v>
      </c>
      <c r="AS625" s="129">
        <v>1</v>
      </c>
      <c r="AT625" s="129">
        <v>1</v>
      </c>
      <c r="AU625" s="129">
        <v>1</v>
      </c>
      <c r="AV625" s="129">
        <v>1</v>
      </c>
      <c r="AW625" s="129"/>
      <c r="AX625" s="197"/>
      <c r="AY625" s="197"/>
      <c r="AZ625" s="197"/>
      <c r="BA625" s="197">
        <v>1</v>
      </c>
      <c r="BB625" s="129">
        <v>1</v>
      </c>
      <c r="BC625" s="129">
        <v>1</v>
      </c>
      <c r="BD625" s="129">
        <v>1</v>
      </c>
      <c r="BE625" s="129">
        <v>1</v>
      </c>
      <c r="BF625" s="129">
        <v>1</v>
      </c>
      <c r="BG625" s="129">
        <v>1</v>
      </c>
      <c r="BH625" s="129">
        <v>1</v>
      </c>
      <c r="BI625" s="129">
        <v>1</v>
      </c>
      <c r="BJ625" s="129">
        <v>1</v>
      </c>
      <c r="BK625" s="129">
        <v>1</v>
      </c>
      <c r="BL625" s="129">
        <v>1</v>
      </c>
      <c r="BM625" s="197"/>
    </row>
    <row r="626" spans="1:65" x14ac:dyDescent="0.25">
      <c r="A626" s="121" t="s">
        <v>78</v>
      </c>
      <c r="B626" s="121" t="s">
        <v>23</v>
      </c>
      <c r="C626" s="172" t="s">
        <v>222</v>
      </c>
      <c r="D626" s="161">
        <v>1</v>
      </c>
      <c r="E626" s="29" t="str">
        <f t="shared" si="162"/>
        <v>Expected nominal return (incl forecast asset revaluations)</v>
      </c>
      <c r="F626" s="54"/>
      <c r="G626" s="54"/>
      <c r="H626" s="54"/>
      <c r="I626" s="54"/>
      <c r="J626" s="54"/>
      <c r="K626" s="54"/>
      <c r="L626" s="54"/>
      <c r="M626" s="54"/>
      <c r="N626" s="54"/>
      <c r="O626" s="54"/>
      <c r="P626" s="54"/>
      <c r="Q626" s="54"/>
      <c r="R626" s="54"/>
      <c r="S626" s="54"/>
      <c r="T626" s="54"/>
      <c r="U626" s="54"/>
      <c r="V626" s="54"/>
      <c r="W626" s="54"/>
      <c r="X626" s="54"/>
      <c r="Y626" s="54"/>
      <c r="Z626" s="54"/>
      <c r="AA626" s="54"/>
      <c r="AB626" s="54"/>
      <c r="AC626" s="54"/>
      <c r="AD626" s="54"/>
      <c r="AE626" s="54"/>
      <c r="AF626" s="54"/>
      <c r="AG626" s="54"/>
      <c r="AH626" s="54"/>
      <c r="AI626" s="117">
        <f t="shared" si="163"/>
        <v>0</v>
      </c>
      <c r="AJ626" s="117">
        <f t="shared" si="164"/>
        <v>0</v>
      </c>
      <c r="AK626" s="117">
        <f t="shared" si="165"/>
        <v>0</v>
      </c>
      <c r="AL626" s="23"/>
      <c r="AM626" s="127" t="b">
        <f t="shared" si="166"/>
        <v>0</v>
      </c>
      <c r="AN626" s="127" t="str">
        <f t="shared" si="167"/>
        <v/>
      </c>
      <c r="AO626" s="129">
        <v>1</v>
      </c>
      <c r="AP626" s="129">
        <v>1</v>
      </c>
      <c r="AQ626" s="129">
        <v>1</v>
      </c>
      <c r="AR626" s="129">
        <v>1</v>
      </c>
      <c r="AS626" s="129">
        <v>1</v>
      </c>
      <c r="AT626" s="129">
        <v>1</v>
      </c>
      <c r="AU626" s="129">
        <v>1</v>
      </c>
      <c r="AV626" s="129">
        <v>1</v>
      </c>
      <c r="AW626" s="129"/>
      <c r="AX626" s="197"/>
      <c r="AY626" s="197"/>
      <c r="AZ626" s="197"/>
      <c r="BA626" s="197">
        <v>1</v>
      </c>
      <c r="BB626" s="129">
        <v>1</v>
      </c>
      <c r="BC626" s="129">
        <v>1</v>
      </c>
      <c r="BD626" s="129">
        <v>1</v>
      </c>
      <c r="BE626" s="129">
        <v>1</v>
      </c>
      <c r="BF626" s="129">
        <v>1</v>
      </c>
      <c r="BG626" s="129">
        <v>1</v>
      </c>
      <c r="BH626" s="129">
        <v>1</v>
      </c>
      <c r="BI626" s="129">
        <v>1</v>
      </c>
      <c r="BJ626" s="129">
        <v>1</v>
      </c>
      <c r="BK626" s="129">
        <v>1</v>
      </c>
      <c r="BL626" s="129">
        <v>1</v>
      </c>
      <c r="BM626" s="197"/>
    </row>
    <row r="627" spans="1:65" x14ac:dyDescent="0.25">
      <c r="A627" s="121" t="s">
        <v>78</v>
      </c>
      <c r="B627" s="121" t="s">
        <v>24</v>
      </c>
      <c r="C627" s="172" t="s">
        <v>222</v>
      </c>
      <c r="D627" s="161">
        <v>1</v>
      </c>
      <c r="E627" s="29" t="str">
        <f t="shared" si="162"/>
        <v>Expected nominal return (incl forecast asset revaluations)</v>
      </c>
      <c r="F627" s="54"/>
      <c r="G627" s="54"/>
      <c r="H627" s="54"/>
      <c r="I627" s="54"/>
      <c r="J627" s="54"/>
      <c r="K627" s="54"/>
      <c r="L627" s="54"/>
      <c r="M627" s="54"/>
      <c r="N627" s="54"/>
      <c r="O627" s="54"/>
      <c r="P627" s="54"/>
      <c r="Q627" s="54"/>
      <c r="R627" s="54"/>
      <c r="S627" s="54"/>
      <c r="T627" s="54"/>
      <c r="U627" s="54"/>
      <c r="V627" s="54"/>
      <c r="W627" s="54"/>
      <c r="X627" s="54"/>
      <c r="Y627" s="54"/>
      <c r="Z627" s="54"/>
      <c r="AA627" s="54"/>
      <c r="AB627" s="54"/>
      <c r="AC627" s="54"/>
      <c r="AD627" s="54"/>
      <c r="AE627" s="54"/>
      <c r="AF627" s="54"/>
      <c r="AG627" s="54"/>
      <c r="AH627" s="54"/>
      <c r="AI627" s="117">
        <f t="shared" si="163"/>
        <v>0</v>
      </c>
      <c r="AJ627" s="117">
        <f t="shared" si="164"/>
        <v>0</v>
      </c>
      <c r="AK627" s="117">
        <f t="shared" si="165"/>
        <v>0</v>
      </c>
      <c r="AL627" s="23"/>
      <c r="AM627" s="127" t="b">
        <f t="shared" si="166"/>
        <v>0</v>
      </c>
      <c r="AN627" s="127" t="str">
        <f t="shared" si="167"/>
        <v/>
      </c>
      <c r="AO627" s="129">
        <v>1</v>
      </c>
      <c r="AP627" s="129">
        <v>1</v>
      </c>
      <c r="AQ627" s="129">
        <v>1</v>
      </c>
      <c r="AR627" s="129">
        <v>1</v>
      </c>
      <c r="AS627" s="129">
        <v>1</v>
      </c>
      <c r="AT627" s="129">
        <v>1</v>
      </c>
      <c r="AU627" s="129">
        <v>1</v>
      </c>
      <c r="AV627" s="129">
        <v>1</v>
      </c>
      <c r="AW627" s="129"/>
      <c r="AX627" s="197"/>
      <c r="AY627" s="197"/>
      <c r="AZ627" s="197"/>
      <c r="BA627" s="197">
        <v>1</v>
      </c>
      <c r="BB627" s="129">
        <v>1</v>
      </c>
      <c r="BC627" s="129">
        <v>1</v>
      </c>
      <c r="BD627" s="129">
        <v>1</v>
      </c>
      <c r="BE627" s="129">
        <v>1</v>
      </c>
      <c r="BF627" s="129">
        <v>1</v>
      </c>
      <c r="BG627" s="129">
        <v>1</v>
      </c>
      <c r="BH627" s="129">
        <v>1</v>
      </c>
      <c r="BI627" s="129">
        <v>1</v>
      </c>
      <c r="BJ627" s="129">
        <v>1</v>
      </c>
      <c r="BK627" s="129">
        <v>1</v>
      </c>
      <c r="BL627" s="129">
        <v>1</v>
      </c>
      <c r="BM627" s="197"/>
    </row>
    <row r="628" spans="1:65" x14ac:dyDescent="0.25">
      <c r="A628" s="121" t="s">
        <v>78</v>
      </c>
      <c r="B628" s="121" t="s">
        <v>25</v>
      </c>
      <c r="C628" s="172" t="s">
        <v>222</v>
      </c>
      <c r="D628" s="161">
        <v>1</v>
      </c>
      <c r="E628" s="29" t="str">
        <f t="shared" si="162"/>
        <v>Expected nominal return (incl forecast asset revaluations)</v>
      </c>
      <c r="F628" s="54"/>
      <c r="G628" s="54"/>
      <c r="H628" s="54"/>
      <c r="I628" s="54"/>
      <c r="J628" s="54"/>
      <c r="K628" s="54"/>
      <c r="L628" s="54"/>
      <c r="M628" s="54"/>
      <c r="N628" s="54"/>
      <c r="O628" s="54"/>
      <c r="P628" s="54"/>
      <c r="Q628" s="54"/>
      <c r="R628" s="54"/>
      <c r="S628" s="54"/>
      <c r="T628" s="54"/>
      <c r="U628" s="54"/>
      <c r="V628" s="54"/>
      <c r="W628" s="54"/>
      <c r="X628" s="54"/>
      <c r="Y628" s="54"/>
      <c r="Z628" s="54"/>
      <c r="AA628" s="54"/>
      <c r="AB628" s="54"/>
      <c r="AC628" s="54"/>
      <c r="AD628" s="54"/>
      <c r="AE628" s="54"/>
      <c r="AF628" s="54"/>
      <c r="AG628" s="54"/>
      <c r="AH628" s="54"/>
      <c r="AI628" s="117">
        <f t="shared" si="163"/>
        <v>0</v>
      </c>
      <c r="AJ628" s="117">
        <f t="shared" si="164"/>
        <v>0</v>
      </c>
      <c r="AK628" s="117">
        <f t="shared" si="165"/>
        <v>0</v>
      </c>
      <c r="AL628" s="23"/>
      <c r="AM628" s="127" t="b">
        <f t="shared" si="166"/>
        <v>0</v>
      </c>
      <c r="AN628" s="127" t="str">
        <f t="shared" si="167"/>
        <v/>
      </c>
      <c r="AO628" s="129">
        <v>1</v>
      </c>
      <c r="AP628" s="129">
        <v>1</v>
      </c>
      <c r="AQ628" s="129">
        <v>1</v>
      </c>
      <c r="AR628" s="129">
        <v>1</v>
      </c>
      <c r="AS628" s="129">
        <v>1</v>
      </c>
      <c r="AT628" s="129">
        <v>1</v>
      </c>
      <c r="AU628" s="129">
        <v>1</v>
      </c>
      <c r="AV628" s="129">
        <v>1</v>
      </c>
      <c r="AW628" s="129"/>
      <c r="AX628" s="197"/>
      <c r="AY628" s="197"/>
      <c r="AZ628" s="197"/>
      <c r="BA628" s="197">
        <v>1</v>
      </c>
      <c r="BB628" s="129">
        <v>1</v>
      </c>
      <c r="BC628" s="129">
        <v>1</v>
      </c>
      <c r="BD628" s="129">
        <v>1</v>
      </c>
      <c r="BE628" s="129">
        <v>1</v>
      </c>
      <c r="BF628" s="129">
        <v>1</v>
      </c>
      <c r="BG628" s="129">
        <v>1</v>
      </c>
      <c r="BH628" s="129">
        <v>1</v>
      </c>
      <c r="BI628" s="129">
        <v>1</v>
      </c>
      <c r="BJ628" s="129">
        <v>1</v>
      </c>
      <c r="BK628" s="129">
        <v>1</v>
      </c>
      <c r="BL628" s="129">
        <v>1</v>
      </c>
      <c r="BM628" s="197"/>
    </row>
    <row r="629" spans="1:65" x14ac:dyDescent="0.25">
      <c r="A629" s="121" t="s">
        <v>78</v>
      </c>
      <c r="B629" s="121" t="s">
        <v>26</v>
      </c>
      <c r="C629" s="172" t="s">
        <v>222</v>
      </c>
      <c r="D629" s="161">
        <v>1</v>
      </c>
      <c r="E629" s="29" t="str">
        <f t="shared" si="162"/>
        <v>Expected nominal return (incl forecast asset revaluations)</v>
      </c>
      <c r="F629" s="54"/>
      <c r="G629" s="54"/>
      <c r="H629" s="54"/>
      <c r="I629" s="54"/>
      <c r="J629" s="54"/>
      <c r="K629" s="54"/>
      <c r="L629" s="54"/>
      <c r="M629" s="54"/>
      <c r="N629" s="54"/>
      <c r="O629" s="54"/>
      <c r="P629" s="54"/>
      <c r="Q629" s="54"/>
      <c r="R629" s="54"/>
      <c r="S629" s="54"/>
      <c r="T629" s="54"/>
      <c r="U629" s="54"/>
      <c r="V629" s="54"/>
      <c r="W629" s="54"/>
      <c r="X629" s="54"/>
      <c r="Y629" s="54"/>
      <c r="Z629" s="54"/>
      <c r="AA629" s="54"/>
      <c r="AB629" s="54"/>
      <c r="AC629" s="54"/>
      <c r="AD629" s="54"/>
      <c r="AE629" s="54"/>
      <c r="AF629" s="54"/>
      <c r="AG629" s="54"/>
      <c r="AH629" s="54"/>
      <c r="AI629" s="117">
        <f t="shared" si="163"/>
        <v>0</v>
      </c>
      <c r="AJ629" s="117">
        <f t="shared" si="164"/>
        <v>0</v>
      </c>
      <c r="AK629" s="117">
        <f t="shared" si="165"/>
        <v>0</v>
      </c>
      <c r="AL629" s="23"/>
      <c r="AM629" s="127" t="b">
        <f t="shared" si="166"/>
        <v>0</v>
      </c>
      <c r="AN629" s="127" t="str">
        <f t="shared" si="167"/>
        <v/>
      </c>
      <c r="AO629" s="129">
        <v>1</v>
      </c>
      <c r="AP629" s="129">
        <v>1</v>
      </c>
      <c r="AQ629" s="129">
        <v>1</v>
      </c>
      <c r="AR629" s="129">
        <v>1</v>
      </c>
      <c r="AS629" s="129">
        <v>1</v>
      </c>
      <c r="AT629" s="129">
        <v>1</v>
      </c>
      <c r="AU629" s="129">
        <v>1</v>
      </c>
      <c r="AV629" s="129">
        <v>1</v>
      </c>
      <c r="AW629" s="129"/>
      <c r="AX629" s="197"/>
      <c r="AY629" s="197"/>
      <c r="AZ629" s="197"/>
      <c r="BA629" s="197">
        <v>1</v>
      </c>
      <c r="BB629" s="129">
        <v>1</v>
      </c>
      <c r="BC629" s="129">
        <v>1</v>
      </c>
      <c r="BD629" s="129">
        <v>1</v>
      </c>
      <c r="BE629" s="129">
        <v>1</v>
      </c>
      <c r="BF629" s="129">
        <v>1</v>
      </c>
      <c r="BG629" s="129">
        <v>1</v>
      </c>
      <c r="BH629" s="129">
        <v>1</v>
      </c>
      <c r="BI629" s="129">
        <v>1</v>
      </c>
      <c r="BJ629" s="129">
        <v>1</v>
      </c>
      <c r="BK629" s="129">
        <v>1</v>
      </c>
      <c r="BL629" s="129">
        <v>1</v>
      </c>
      <c r="BM629" s="197"/>
    </row>
    <row r="630" spans="1:65" x14ac:dyDescent="0.25">
      <c r="A630" s="121" t="s">
        <v>78</v>
      </c>
      <c r="B630" s="121" t="s">
        <v>27</v>
      </c>
      <c r="C630" s="172" t="s">
        <v>222</v>
      </c>
      <c r="D630" s="161">
        <v>1</v>
      </c>
      <c r="E630" s="29" t="str">
        <f t="shared" si="162"/>
        <v>Expected nominal return (incl forecast asset revaluations)</v>
      </c>
      <c r="F630" s="54"/>
      <c r="G630" s="54"/>
      <c r="H630" s="54"/>
      <c r="I630" s="54"/>
      <c r="J630" s="54"/>
      <c r="K630" s="54"/>
      <c r="L630" s="54"/>
      <c r="M630" s="54"/>
      <c r="N630" s="54"/>
      <c r="O630" s="54"/>
      <c r="P630" s="54"/>
      <c r="Q630" s="54"/>
      <c r="R630" s="54"/>
      <c r="S630" s="54"/>
      <c r="T630" s="54"/>
      <c r="U630" s="54"/>
      <c r="V630" s="54"/>
      <c r="W630" s="54"/>
      <c r="X630" s="54"/>
      <c r="Y630" s="54"/>
      <c r="Z630" s="54"/>
      <c r="AA630" s="54"/>
      <c r="AB630" s="54"/>
      <c r="AC630" s="54"/>
      <c r="AD630" s="54"/>
      <c r="AE630" s="54"/>
      <c r="AF630" s="54"/>
      <c r="AG630" s="54"/>
      <c r="AH630" s="54"/>
      <c r="AI630" s="117">
        <f t="shared" si="163"/>
        <v>0</v>
      </c>
      <c r="AJ630" s="117">
        <f t="shared" si="164"/>
        <v>0</v>
      </c>
      <c r="AK630" s="117">
        <f t="shared" si="165"/>
        <v>0</v>
      </c>
      <c r="AL630" s="23"/>
      <c r="AM630" s="127" t="b">
        <f t="shared" si="166"/>
        <v>0</v>
      </c>
      <c r="AN630" s="127" t="str">
        <f t="shared" si="167"/>
        <v/>
      </c>
      <c r="AO630" s="129">
        <v>1</v>
      </c>
      <c r="AP630" s="129">
        <v>1</v>
      </c>
      <c r="AQ630" s="129">
        <v>1</v>
      </c>
      <c r="AR630" s="129">
        <v>1</v>
      </c>
      <c r="AS630" s="129">
        <v>1</v>
      </c>
      <c r="AT630" s="129">
        <v>1</v>
      </c>
      <c r="AU630" s="129">
        <v>1</v>
      </c>
      <c r="AV630" s="129">
        <v>1</v>
      </c>
      <c r="AW630" s="129"/>
      <c r="AX630" s="197"/>
      <c r="AY630" s="197"/>
      <c r="AZ630" s="197"/>
      <c r="BA630" s="197">
        <v>1</v>
      </c>
      <c r="BB630" s="129">
        <v>1</v>
      </c>
      <c r="BC630" s="129">
        <v>1</v>
      </c>
      <c r="BD630" s="129">
        <v>1</v>
      </c>
      <c r="BE630" s="129">
        <v>1</v>
      </c>
      <c r="BF630" s="129">
        <v>1</v>
      </c>
      <c r="BG630" s="129">
        <v>1</v>
      </c>
      <c r="BH630" s="129">
        <v>1</v>
      </c>
      <c r="BI630" s="129">
        <v>1</v>
      </c>
      <c r="BJ630" s="129">
        <v>1</v>
      </c>
      <c r="BK630" s="129">
        <v>1</v>
      </c>
      <c r="BL630" s="129">
        <v>1</v>
      </c>
      <c r="BM630" s="197"/>
    </row>
    <row r="631" spans="1:65" x14ac:dyDescent="0.25">
      <c r="A631" s="121"/>
      <c r="B631" s="121"/>
      <c r="C631" s="172"/>
      <c r="D631" s="25"/>
      <c r="E631" s="25"/>
      <c r="F631" s="25"/>
      <c r="G631" s="25"/>
      <c r="H631" s="25"/>
      <c r="I631" s="25"/>
      <c r="J631" s="25"/>
      <c r="K631" s="25"/>
      <c r="L631" s="25"/>
      <c r="M631" s="26"/>
      <c r="N631" s="26"/>
      <c r="O631" s="26"/>
      <c r="P631" s="26"/>
      <c r="Q631" s="26"/>
      <c r="R631" s="26"/>
      <c r="S631" s="26"/>
      <c r="T631" s="26"/>
      <c r="U631" s="26"/>
      <c r="V631" s="25"/>
      <c r="W631" s="23"/>
      <c r="X631" s="23"/>
      <c r="Y631" s="23"/>
      <c r="Z631" s="23"/>
      <c r="AA631" s="23"/>
      <c r="AB631" s="23"/>
      <c r="AC631" s="23"/>
      <c r="AD631" s="23"/>
      <c r="AE631" s="23"/>
      <c r="AF631" s="23"/>
      <c r="AG631" s="23"/>
      <c r="AH631" s="23"/>
      <c r="AI631" s="54"/>
      <c r="AJ631" s="54"/>
      <c r="AK631" s="54"/>
      <c r="AL631" s="23"/>
      <c r="AM631" s="127"/>
      <c r="AN631" s="127"/>
      <c r="AO631" s="129"/>
      <c r="AP631" s="129"/>
      <c r="AQ631" s="129"/>
      <c r="AR631" s="129"/>
      <c r="AS631" s="129"/>
      <c r="AT631" s="129"/>
      <c r="AU631" s="129"/>
      <c r="AV631" s="129"/>
      <c r="AW631" s="129"/>
      <c r="AX631" s="197"/>
      <c r="AY631" s="197"/>
      <c r="AZ631" s="197"/>
      <c r="BA631" s="197"/>
      <c r="BB631" s="129"/>
      <c r="BC631" s="129"/>
      <c r="BD631" s="129"/>
      <c r="BE631" s="129"/>
      <c r="BF631" s="129"/>
      <c r="BG631" s="129"/>
      <c r="BH631" s="129"/>
      <c r="BI631" s="129"/>
      <c r="BJ631" s="129"/>
      <c r="BK631" s="129"/>
      <c r="BL631" s="129"/>
      <c r="BM631" s="197"/>
    </row>
    <row r="632" spans="1:65" x14ac:dyDescent="0.25">
      <c r="A632" s="121"/>
      <c r="B632" s="121"/>
      <c r="C632" s="172"/>
      <c r="D632" s="46"/>
      <c r="E632" s="46"/>
      <c r="F632" s="54"/>
      <c r="G632" s="54"/>
      <c r="H632" s="54"/>
      <c r="I632" s="54"/>
      <c r="J632" s="54"/>
      <c r="K632" s="54"/>
      <c r="L632" s="54"/>
      <c r="M632" s="54"/>
      <c r="N632" s="54"/>
      <c r="O632" s="54"/>
      <c r="P632" s="54"/>
      <c r="Q632" s="54"/>
      <c r="R632" s="54"/>
      <c r="S632" s="54"/>
      <c r="T632" s="54"/>
      <c r="U632" s="54"/>
      <c r="V632" s="54"/>
      <c r="W632" s="55"/>
      <c r="X632" s="55"/>
      <c r="Y632" s="55"/>
      <c r="Z632" s="55"/>
      <c r="AA632" s="55"/>
      <c r="AB632" s="55"/>
      <c r="AC632" s="55"/>
      <c r="AD632" s="55"/>
      <c r="AE632" s="55"/>
      <c r="AF632" s="55"/>
      <c r="AG632" s="55"/>
      <c r="AH632" s="55"/>
      <c r="AI632" s="54"/>
      <c r="AJ632" s="54"/>
      <c r="AK632" s="54"/>
      <c r="AL632" s="23"/>
      <c r="AM632" s="127"/>
      <c r="AN632" s="127"/>
      <c r="AO632" s="129"/>
      <c r="AP632" s="129"/>
      <c r="AQ632" s="129"/>
      <c r="AR632" s="129"/>
      <c r="AS632" s="129"/>
      <c r="AT632" s="129"/>
      <c r="AU632" s="129"/>
      <c r="AV632" s="129"/>
      <c r="AW632" s="129"/>
      <c r="AX632" s="197"/>
      <c r="AY632" s="197"/>
      <c r="AZ632" s="197"/>
      <c r="BA632" s="197"/>
      <c r="BB632" s="129"/>
      <c r="BC632" s="129"/>
      <c r="BD632" s="129"/>
      <c r="BE632" s="129"/>
      <c r="BF632" s="129"/>
      <c r="BG632" s="129"/>
      <c r="BH632" s="129"/>
      <c r="BI632" s="129"/>
      <c r="BJ632" s="129"/>
      <c r="BK632" s="129"/>
      <c r="BL632" s="129"/>
      <c r="BM632" s="197"/>
    </row>
    <row r="633" spans="1:65" x14ac:dyDescent="0.25">
      <c r="A633" s="121" t="s">
        <v>78</v>
      </c>
      <c r="B633" s="121" t="s">
        <v>22</v>
      </c>
      <c r="C633" s="172" t="s">
        <v>211</v>
      </c>
      <c r="D633" s="161">
        <v>10</v>
      </c>
      <c r="E633" s="29" t="str">
        <f t="shared" ref="E633:E638" si="168">INDEX(ra_ScName,MATCH(D633,ra_ScNumber,0))</f>
        <v>Disclosed nominal return (incl actual asset revaluations)</v>
      </c>
      <c r="F633" s="122">
        <v>0</v>
      </c>
      <c r="G633" s="122">
        <v>0</v>
      </c>
      <c r="H633" s="122">
        <v>0</v>
      </c>
      <c r="I633" s="122">
        <v>0</v>
      </c>
      <c r="J633" s="122">
        <v>0</v>
      </c>
      <c r="K633" s="122">
        <v>0</v>
      </c>
      <c r="L633" s="122">
        <v>0</v>
      </c>
      <c r="M633" s="122">
        <v>0</v>
      </c>
      <c r="N633" s="122">
        <v>0</v>
      </c>
      <c r="O633" s="122">
        <v>199</v>
      </c>
      <c r="P633" s="122">
        <v>0</v>
      </c>
      <c r="Q633" s="122">
        <v>0</v>
      </c>
      <c r="R633" s="122">
        <v>0</v>
      </c>
      <c r="S633" s="122">
        <v>0</v>
      </c>
      <c r="T633" s="122">
        <v>0</v>
      </c>
      <c r="U633" s="122">
        <v>0</v>
      </c>
      <c r="V633" s="122">
        <v>0</v>
      </c>
      <c r="W633" s="122">
        <v>0</v>
      </c>
      <c r="X633" s="122">
        <v>0</v>
      </c>
      <c r="Y633" s="122">
        <v>-1103</v>
      </c>
      <c r="Z633" s="122">
        <v>0</v>
      </c>
      <c r="AA633" s="122">
        <v>0</v>
      </c>
      <c r="AB633" s="122">
        <v>0</v>
      </c>
      <c r="AC633" s="122">
        <v>0</v>
      </c>
      <c r="AD633" s="122">
        <v>0</v>
      </c>
      <c r="AE633" s="122">
        <v>0</v>
      </c>
      <c r="AF633" s="122">
        <v>0</v>
      </c>
      <c r="AG633" s="122">
        <v>0</v>
      </c>
      <c r="AH633" s="122">
        <v>0</v>
      </c>
      <c r="AI633" s="117">
        <f t="shared" ref="AI633:AI638" si="169">SUM(F633:AH633)</f>
        <v>-904</v>
      </c>
      <c r="AJ633" s="117">
        <f t="shared" ref="AJ633:AJ638" si="170">SUM(F633:U633)</f>
        <v>199</v>
      </c>
      <c r="AK633" s="117">
        <f t="shared" ref="AK633:AK638" si="171">SUM(W633:AH633)</f>
        <v>-1103</v>
      </c>
      <c r="AL633" s="23"/>
      <c r="AM633" s="127" t="b">
        <f t="shared" ref="AM633:AM638" si="172">IF(INDEX($AO633:$BM633,0,$F$14)=1,TRUE,FALSE)</f>
        <v>1</v>
      </c>
      <c r="AN633" s="127" t="str">
        <f t="shared" ref="AN633:AN638" si="173">IF(AM633,A633&amp;", "&amp;B633,"")</f>
        <v>Lost and found asset adjustments, 2009/10</v>
      </c>
      <c r="AO633" s="129"/>
      <c r="AP633" s="129"/>
      <c r="AQ633" s="129"/>
      <c r="AR633" s="129"/>
      <c r="AS633" s="129"/>
      <c r="AT633" s="129"/>
      <c r="AU633" s="129"/>
      <c r="AV633" s="129"/>
      <c r="AW633" s="129">
        <v>1</v>
      </c>
      <c r="AX633" s="197">
        <v>1</v>
      </c>
      <c r="AY633" s="197">
        <v>1</v>
      </c>
      <c r="AZ633" s="197">
        <v>1</v>
      </c>
      <c r="BA633" s="197"/>
      <c r="BB633" s="129"/>
      <c r="BC633" s="129"/>
      <c r="BD633" s="129"/>
      <c r="BE633" s="129"/>
      <c r="BF633" s="129"/>
      <c r="BG633" s="129"/>
      <c r="BH633" s="129"/>
      <c r="BI633" s="129"/>
      <c r="BJ633" s="129"/>
      <c r="BK633" s="129"/>
      <c r="BL633" s="129"/>
      <c r="BM633" s="197">
        <v>1</v>
      </c>
    </row>
    <row r="634" spans="1:65" x14ac:dyDescent="0.25">
      <c r="A634" s="121" t="s">
        <v>78</v>
      </c>
      <c r="B634" s="121" t="s">
        <v>23</v>
      </c>
      <c r="C634" s="172" t="s">
        <v>211</v>
      </c>
      <c r="D634" s="161">
        <v>10</v>
      </c>
      <c r="E634" s="29" t="str">
        <f t="shared" si="168"/>
        <v>Disclosed nominal return (incl actual asset revaluations)</v>
      </c>
      <c r="F634" s="122">
        <v>0</v>
      </c>
      <c r="G634" s="122">
        <v>0</v>
      </c>
      <c r="H634" s="122">
        <v>0</v>
      </c>
      <c r="I634" s="122">
        <v>0</v>
      </c>
      <c r="J634" s="122">
        <v>0</v>
      </c>
      <c r="K634" s="122">
        <v>0</v>
      </c>
      <c r="L634" s="122">
        <v>0</v>
      </c>
      <c r="M634" s="122">
        <v>0</v>
      </c>
      <c r="N634" s="122">
        <v>0</v>
      </c>
      <c r="O634" s="122">
        <v>0</v>
      </c>
      <c r="P634" s="122">
        <v>0</v>
      </c>
      <c r="Q634" s="122">
        <v>0</v>
      </c>
      <c r="R634" s="122">
        <v>0</v>
      </c>
      <c r="S634" s="122">
        <v>0</v>
      </c>
      <c r="T634" s="122">
        <v>0</v>
      </c>
      <c r="U634" s="122">
        <v>803.52670708345534</v>
      </c>
      <c r="V634" s="122">
        <v>0</v>
      </c>
      <c r="W634" s="122">
        <v>0</v>
      </c>
      <c r="X634" s="122">
        <v>0</v>
      </c>
      <c r="Y634" s="122">
        <v>0</v>
      </c>
      <c r="Z634" s="122">
        <v>0</v>
      </c>
      <c r="AA634" s="122">
        <v>0</v>
      </c>
      <c r="AB634" s="122">
        <v>0</v>
      </c>
      <c r="AC634" s="122">
        <v>0</v>
      </c>
      <c r="AD634" s="122">
        <v>0</v>
      </c>
      <c r="AE634" s="122">
        <v>0</v>
      </c>
      <c r="AF634" s="122">
        <v>0</v>
      </c>
      <c r="AG634" s="122">
        <v>0</v>
      </c>
      <c r="AH634" s="122">
        <v>0</v>
      </c>
      <c r="AI634" s="117">
        <f t="shared" si="169"/>
        <v>803.52670708345534</v>
      </c>
      <c r="AJ634" s="117">
        <f t="shared" si="170"/>
        <v>803.52670708345534</v>
      </c>
      <c r="AK634" s="117">
        <f t="shared" si="171"/>
        <v>0</v>
      </c>
      <c r="AL634" s="23"/>
      <c r="AM634" s="127" t="b">
        <f t="shared" si="172"/>
        <v>1</v>
      </c>
      <c r="AN634" s="127" t="str">
        <f t="shared" si="173"/>
        <v>Lost and found asset adjustments, 2010/11</v>
      </c>
      <c r="AO634" s="129"/>
      <c r="AP634" s="129"/>
      <c r="AQ634" s="129"/>
      <c r="AR634" s="129"/>
      <c r="AS634" s="129"/>
      <c r="AT634" s="129"/>
      <c r="AU634" s="129"/>
      <c r="AV634" s="129"/>
      <c r="AW634" s="129">
        <v>1</v>
      </c>
      <c r="AX634" s="197">
        <v>1</v>
      </c>
      <c r="AY634" s="197">
        <v>1</v>
      </c>
      <c r="AZ634" s="197">
        <v>1</v>
      </c>
      <c r="BA634" s="197"/>
      <c r="BB634" s="129"/>
      <c r="BC634" s="129"/>
      <c r="BD634" s="129"/>
      <c r="BE634" s="129"/>
      <c r="BF634" s="129"/>
      <c r="BG634" s="129"/>
      <c r="BH634" s="129"/>
      <c r="BI634" s="129"/>
      <c r="BJ634" s="129"/>
      <c r="BK634" s="129"/>
      <c r="BL634" s="129"/>
      <c r="BM634" s="197">
        <v>1</v>
      </c>
    </row>
    <row r="635" spans="1:65" x14ac:dyDescent="0.25">
      <c r="A635" s="121" t="s">
        <v>78</v>
      </c>
      <c r="B635" s="121" t="s">
        <v>24</v>
      </c>
      <c r="C635" s="172" t="s">
        <v>211</v>
      </c>
      <c r="D635" s="161">
        <v>10</v>
      </c>
      <c r="E635" s="29" t="str">
        <f t="shared" si="168"/>
        <v>Disclosed nominal return (incl actual asset revaluations)</v>
      </c>
      <c r="F635" s="122">
        <v>0</v>
      </c>
      <c r="G635" s="122">
        <v>0</v>
      </c>
      <c r="H635" s="122">
        <v>0</v>
      </c>
      <c r="I635" s="122">
        <v>0</v>
      </c>
      <c r="J635" s="122">
        <v>0</v>
      </c>
      <c r="K635" s="122">
        <v>0</v>
      </c>
      <c r="L635" s="122">
        <v>0</v>
      </c>
      <c r="M635" s="122">
        <v>0</v>
      </c>
      <c r="N635" s="122">
        <v>0</v>
      </c>
      <c r="O635" s="122">
        <v>0</v>
      </c>
      <c r="P635" s="122">
        <v>0</v>
      </c>
      <c r="Q635" s="122">
        <v>0</v>
      </c>
      <c r="R635" s="122">
        <v>0</v>
      </c>
      <c r="S635" s="122">
        <v>0</v>
      </c>
      <c r="T635" s="122">
        <v>0</v>
      </c>
      <c r="U635" s="122">
        <v>295</v>
      </c>
      <c r="V635" s="122">
        <v>0</v>
      </c>
      <c r="W635" s="122">
        <v>0</v>
      </c>
      <c r="X635" s="122">
        <v>0</v>
      </c>
      <c r="Y635" s="122">
        <v>0</v>
      </c>
      <c r="Z635" s="122">
        <v>0</v>
      </c>
      <c r="AA635" s="122">
        <v>0</v>
      </c>
      <c r="AB635" s="122">
        <v>0</v>
      </c>
      <c r="AC635" s="122">
        <v>0</v>
      </c>
      <c r="AD635" s="122">
        <v>0</v>
      </c>
      <c r="AE635" s="122">
        <v>0</v>
      </c>
      <c r="AF635" s="122">
        <v>0</v>
      </c>
      <c r="AG635" s="122">
        <v>0</v>
      </c>
      <c r="AH635" s="122">
        <v>0</v>
      </c>
      <c r="AI635" s="117">
        <f t="shared" si="169"/>
        <v>295</v>
      </c>
      <c r="AJ635" s="117">
        <f t="shared" si="170"/>
        <v>295</v>
      </c>
      <c r="AK635" s="117">
        <f t="shared" si="171"/>
        <v>0</v>
      </c>
      <c r="AL635" s="23"/>
      <c r="AM635" s="127" t="b">
        <f t="shared" si="172"/>
        <v>1</v>
      </c>
      <c r="AN635" s="127" t="str">
        <f t="shared" si="173"/>
        <v>Lost and found asset adjustments, 2011/12</v>
      </c>
      <c r="AO635" s="129"/>
      <c r="AP635" s="129"/>
      <c r="AQ635" s="129"/>
      <c r="AR635" s="129"/>
      <c r="AS635" s="129"/>
      <c r="AT635" s="129"/>
      <c r="AU635" s="129"/>
      <c r="AV635" s="129"/>
      <c r="AW635" s="129">
        <v>1</v>
      </c>
      <c r="AX635" s="197">
        <v>1</v>
      </c>
      <c r="AY635" s="197">
        <v>1</v>
      </c>
      <c r="AZ635" s="197">
        <v>1</v>
      </c>
      <c r="BA635" s="197"/>
      <c r="BB635" s="129"/>
      <c r="BC635" s="129"/>
      <c r="BD635" s="129"/>
      <c r="BE635" s="129"/>
      <c r="BF635" s="129"/>
      <c r="BG635" s="129"/>
      <c r="BH635" s="129"/>
      <c r="BI635" s="129"/>
      <c r="BJ635" s="129"/>
      <c r="BK635" s="129"/>
      <c r="BL635" s="129"/>
      <c r="BM635" s="197">
        <v>1</v>
      </c>
    </row>
    <row r="636" spans="1:65" x14ac:dyDescent="0.25">
      <c r="A636" s="121" t="s">
        <v>78</v>
      </c>
      <c r="B636" s="121" t="s">
        <v>25</v>
      </c>
      <c r="C636" s="172" t="s">
        <v>211</v>
      </c>
      <c r="D636" s="161">
        <v>10</v>
      </c>
      <c r="E636" s="29" t="str">
        <f t="shared" si="168"/>
        <v>Disclosed nominal return (incl actual asset revaluations)</v>
      </c>
      <c r="F636" s="122">
        <v>0</v>
      </c>
      <c r="G636" s="122">
        <v>0</v>
      </c>
      <c r="H636" s="122">
        <v>0</v>
      </c>
      <c r="I636" s="122">
        <v>0</v>
      </c>
      <c r="J636" s="122">
        <v>0</v>
      </c>
      <c r="K636" s="122">
        <v>0</v>
      </c>
      <c r="L636" s="122">
        <v>0</v>
      </c>
      <c r="M636" s="122">
        <v>0</v>
      </c>
      <c r="N636" s="122">
        <v>0</v>
      </c>
      <c r="O636" s="122">
        <v>0</v>
      </c>
      <c r="P636" s="122">
        <v>0</v>
      </c>
      <c r="Q636" s="122">
        <v>0</v>
      </c>
      <c r="R636" s="122">
        <v>0</v>
      </c>
      <c r="S636" s="122">
        <v>0</v>
      </c>
      <c r="T636" s="122">
        <v>0</v>
      </c>
      <c r="U636" s="122">
        <v>0</v>
      </c>
      <c r="V636" s="122">
        <v>0</v>
      </c>
      <c r="W636" s="122">
        <v>0</v>
      </c>
      <c r="X636" s="122">
        <v>0</v>
      </c>
      <c r="Y636" s="122">
        <v>0</v>
      </c>
      <c r="Z636" s="122">
        <v>0</v>
      </c>
      <c r="AA636" s="122">
        <v>0</v>
      </c>
      <c r="AB636" s="122">
        <v>0</v>
      </c>
      <c r="AC636" s="122">
        <v>0</v>
      </c>
      <c r="AD636" s="122">
        <v>0</v>
      </c>
      <c r="AE636" s="122">
        <v>0</v>
      </c>
      <c r="AF636" s="122">
        <v>0</v>
      </c>
      <c r="AG636" s="122">
        <v>0</v>
      </c>
      <c r="AH636" s="122">
        <v>0</v>
      </c>
      <c r="AI636" s="117">
        <f t="shared" si="169"/>
        <v>0</v>
      </c>
      <c r="AJ636" s="117">
        <f t="shared" si="170"/>
        <v>0</v>
      </c>
      <c r="AK636" s="117">
        <f t="shared" si="171"/>
        <v>0</v>
      </c>
      <c r="AL636" s="23"/>
      <c r="AM636" s="127" t="b">
        <f t="shared" si="172"/>
        <v>1</v>
      </c>
      <c r="AN636" s="127" t="str">
        <f t="shared" si="173"/>
        <v>Lost and found asset adjustments, 2012/13</v>
      </c>
      <c r="AO636" s="129"/>
      <c r="AP636" s="129"/>
      <c r="AQ636" s="129"/>
      <c r="AR636" s="129"/>
      <c r="AS636" s="129"/>
      <c r="AT636" s="129"/>
      <c r="AU636" s="129"/>
      <c r="AV636" s="129"/>
      <c r="AW636" s="129">
        <v>1</v>
      </c>
      <c r="AX636" s="197">
        <v>1</v>
      </c>
      <c r="AY636" s="197">
        <v>1</v>
      </c>
      <c r="AZ636" s="197">
        <v>1</v>
      </c>
      <c r="BA636" s="197"/>
      <c r="BB636" s="129"/>
      <c r="BC636" s="129"/>
      <c r="BD636" s="129"/>
      <c r="BE636" s="129"/>
      <c r="BF636" s="129"/>
      <c r="BG636" s="129"/>
      <c r="BH636" s="129"/>
      <c r="BI636" s="129"/>
      <c r="BJ636" s="129"/>
      <c r="BK636" s="129"/>
      <c r="BL636" s="129"/>
      <c r="BM636" s="197">
        <v>1</v>
      </c>
    </row>
    <row r="637" spans="1:65" x14ac:dyDescent="0.25">
      <c r="A637" s="121" t="s">
        <v>78</v>
      </c>
      <c r="B637" s="121" t="s">
        <v>26</v>
      </c>
      <c r="C637" s="172" t="s">
        <v>211</v>
      </c>
      <c r="D637" s="161">
        <v>10</v>
      </c>
      <c r="E637" s="29" t="str">
        <f t="shared" si="168"/>
        <v>Disclosed nominal return (incl actual asset revaluations)</v>
      </c>
      <c r="F637" s="122">
        <v>0</v>
      </c>
      <c r="G637" s="122">
        <v>0</v>
      </c>
      <c r="H637" s="122">
        <v>0</v>
      </c>
      <c r="I637" s="122">
        <v>0</v>
      </c>
      <c r="J637" s="122">
        <v>0</v>
      </c>
      <c r="K637" s="122">
        <v>0</v>
      </c>
      <c r="L637" s="122">
        <v>0</v>
      </c>
      <c r="M637" s="122">
        <v>0</v>
      </c>
      <c r="N637" s="122">
        <v>0</v>
      </c>
      <c r="O637" s="122">
        <v>0</v>
      </c>
      <c r="P637" s="122">
        <v>0</v>
      </c>
      <c r="Q637" s="122">
        <v>0</v>
      </c>
      <c r="R637" s="122">
        <v>-0.47</v>
      </c>
      <c r="S637" s="122">
        <v>0</v>
      </c>
      <c r="T637" s="122">
        <v>0</v>
      </c>
      <c r="U637" s="122">
        <v>0</v>
      </c>
      <c r="V637" s="122">
        <v>0</v>
      </c>
      <c r="W637" s="122">
        <v>0</v>
      </c>
      <c r="X637" s="122">
        <v>0</v>
      </c>
      <c r="Y637" s="122">
        <v>0</v>
      </c>
      <c r="Z637" s="122">
        <v>0</v>
      </c>
      <c r="AA637" s="122">
        <v>0</v>
      </c>
      <c r="AB637" s="122">
        <v>0</v>
      </c>
      <c r="AC637" s="122">
        <v>0</v>
      </c>
      <c r="AD637" s="122">
        <v>0</v>
      </c>
      <c r="AE637" s="122">
        <v>0</v>
      </c>
      <c r="AF637" s="122">
        <v>0</v>
      </c>
      <c r="AG637" s="122">
        <v>0</v>
      </c>
      <c r="AH637" s="122">
        <v>0</v>
      </c>
      <c r="AI637" s="117">
        <f t="shared" si="169"/>
        <v>-0.47</v>
      </c>
      <c r="AJ637" s="117">
        <f t="shared" si="170"/>
        <v>-0.47</v>
      </c>
      <c r="AK637" s="117">
        <f t="shared" si="171"/>
        <v>0</v>
      </c>
      <c r="AL637" s="23"/>
      <c r="AM637" s="127" t="b">
        <f t="shared" si="172"/>
        <v>1</v>
      </c>
      <c r="AN637" s="127" t="str">
        <f t="shared" si="173"/>
        <v>Lost and found asset adjustments, 2013/14</v>
      </c>
      <c r="AO637" s="129"/>
      <c r="AP637" s="129"/>
      <c r="AQ637" s="129"/>
      <c r="AR637" s="129"/>
      <c r="AS637" s="129"/>
      <c r="AT637" s="129"/>
      <c r="AU637" s="129"/>
      <c r="AV637" s="129"/>
      <c r="AW637" s="129">
        <v>1</v>
      </c>
      <c r="AX637" s="197">
        <v>1</v>
      </c>
      <c r="AY637" s="197">
        <v>1</v>
      </c>
      <c r="AZ637" s="197">
        <v>1</v>
      </c>
      <c r="BA637" s="197"/>
      <c r="BB637" s="129"/>
      <c r="BC637" s="129"/>
      <c r="BD637" s="129"/>
      <c r="BE637" s="129"/>
      <c r="BF637" s="129"/>
      <c r="BG637" s="129"/>
      <c r="BH637" s="129"/>
      <c r="BI637" s="129"/>
      <c r="BJ637" s="129"/>
      <c r="BK637" s="129"/>
      <c r="BL637" s="129"/>
      <c r="BM637" s="197">
        <v>1</v>
      </c>
    </row>
    <row r="638" spans="1:65" x14ac:dyDescent="0.25">
      <c r="A638" s="121" t="s">
        <v>78</v>
      </c>
      <c r="B638" s="121" t="s">
        <v>27</v>
      </c>
      <c r="C638" s="172" t="s">
        <v>211</v>
      </c>
      <c r="D638" s="161">
        <v>10</v>
      </c>
      <c r="E638" s="29" t="str">
        <f t="shared" si="168"/>
        <v>Disclosed nominal return (incl actual asset revaluations)</v>
      </c>
      <c r="F638" s="122">
        <v>817</v>
      </c>
      <c r="G638" s="122">
        <v>0</v>
      </c>
      <c r="H638" s="122">
        <v>0</v>
      </c>
      <c r="I638" s="122">
        <v>0</v>
      </c>
      <c r="J638" s="122">
        <v>0</v>
      </c>
      <c r="K638" s="122">
        <v>0</v>
      </c>
      <c r="L638" s="122">
        <v>0</v>
      </c>
      <c r="M638" s="122">
        <v>0</v>
      </c>
      <c r="N638" s="122">
        <v>0</v>
      </c>
      <c r="O638" s="122">
        <v>0</v>
      </c>
      <c r="P638" s="122">
        <v>0</v>
      </c>
      <c r="Q638" s="122">
        <v>0</v>
      </c>
      <c r="R638" s="122">
        <v>0</v>
      </c>
      <c r="S638" s="122">
        <v>0</v>
      </c>
      <c r="T638" s="122">
        <v>0</v>
      </c>
      <c r="U638" s="122">
        <v>0</v>
      </c>
      <c r="V638" s="122">
        <v>0</v>
      </c>
      <c r="W638" s="122">
        <v>0</v>
      </c>
      <c r="X638" s="122">
        <v>0</v>
      </c>
      <c r="Y638" s="122">
        <v>0</v>
      </c>
      <c r="Z638" s="122">
        <v>0</v>
      </c>
      <c r="AA638" s="122">
        <v>0</v>
      </c>
      <c r="AB638" s="122">
        <v>-43</v>
      </c>
      <c r="AC638" s="122">
        <v>0</v>
      </c>
      <c r="AD638" s="122">
        <v>312</v>
      </c>
      <c r="AE638" s="122">
        <v>0</v>
      </c>
      <c r="AF638" s="122">
        <v>0</v>
      </c>
      <c r="AG638" s="122">
        <v>0</v>
      </c>
      <c r="AH638" s="122">
        <v>0</v>
      </c>
      <c r="AI638" s="117">
        <f t="shared" si="169"/>
        <v>1086</v>
      </c>
      <c r="AJ638" s="117">
        <f t="shared" si="170"/>
        <v>817</v>
      </c>
      <c r="AK638" s="117">
        <f t="shared" si="171"/>
        <v>269</v>
      </c>
      <c r="AL638" s="23"/>
      <c r="AM638" s="127" t="b">
        <f t="shared" si="172"/>
        <v>1</v>
      </c>
      <c r="AN638" s="127" t="str">
        <f t="shared" si="173"/>
        <v>Lost and found asset adjustments, 2014/15</v>
      </c>
      <c r="AO638" s="129"/>
      <c r="AP638" s="129"/>
      <c r="AQ638" s="129"/>
      <c r="AR638" s="129"/>
      <c r="AS638" s="129"/>
      <c r="AT638" s="129"/>
      <c r="AU638" s="129"/>
      <c r="AV638" s="129"/>
      <c r="AW638" s="129">
        <v>1</v>
      </c>
      <c r="AX638" s="197">
        <v>1</v>
      </c>
      <c r="AY638" s="197">
        <v>1</v>
      </c>
      <c r="AZ638" s="197">
        <v>1</v>
      </c>
      <c r="BA638" s="197"/>
      <c r="BB638" s="129"/>
      <c r="BC638" s="129"/>
      <c r="BD638" s="129"/>
      <c r="BE638" s="129"/>
      <c r="BF638" s="129"/>
      <c r="BG638" s="129"/>
      <c r="BH638" s="129"/>
      <c r="BI638" s="129"/>
      <c r="BJ638" s="129"/>
      <c r="BK638" s="129"/>
      <c r="BL638" s="129"/>
      <c r="BM638" s="197">
        <v>1</v>
      </c>
    </row>
    <row r="639" spans="1:65" x14ac:dyDescent="0.25">
      <c r="A639" s="157"/>
      <c r="B639" s="157"/>
      <c r="C639" s="172"/>
      <c r="D639" s="25"/>
      <c r="E639" s="25"/>
      <c r="F639" s="25"/>
      <c r="G639" s="25"/>
      <c r="H639" s="25"/>
      <c r="I639" s="25"/>
      <c r="J639" s="25"/>
      <c r="K639" s="25"/>
      <c r="L639" s="25"/>
      <c r="M639" s="26"/>
      <c r="N639" s="26"/>
      <c r="O639" s="26"/>
      <c r="P639" s="26"/>
      <c r="Q639" s="26"/>
      <c r="R639" s="26"/>
      <c r="S639" s="26"/>
      <c r="T639" s="26"/>
      <c r="U639" s="26"/>
      <c r="V639" s="25"/>
      <c r="W639" s="23"/>
      <c r="X639" s="23"/>
      <c r="Y639" s="23"/>
      <c r="Z639" s="23"/>
      <c r="AA639" s="23"/>
      <c r="AB639" s="23"/>
      <c r="AC639" s="23"/>
      <c r="AD639" s="23"/>
      <c r="AE639" s="23"/>
      <c r="AF639" s="23"/>
      <c r="AG639" s="23"/>
      <c r="AH639" s="23"/>
      <c r="AI639" s="54"/>
      <c r="AJ639" s="54"/>
      <c r="AK639" s="54"/>
      <c r="AL639" s="23"/>
      <c r="AM639" s="127"/>
      <c r="AN639" s="127"/>
      <c r="AO639" s="129"/>
      <c r="AP639" s="129"/>
      <c r="AQ639" s="129"/>
      <c r="AR639" s="129"/>
      <c r="AS639" s="129"/>
      <c r="AT639" s="129"/>
      <c r="AU639" s="129"/>
      <c r="AV639" s="129"/>
      <c r="AW639" s="129"/>
      <c r="AX639" s="197"/>
      <c r="AY639" s="197"/>
      <c r="AZ639" s="197"/>
      <c r="BA639" s="197"/>
      <c r="BB639" s="129"/>
      <c r="BC639" s="129"/>
      <c r="BD639" s="129"/>
      <c r="BE639" s="129"/>
      <c r="BF639" s="129"/>
      <c r="BG639" s="129"/>
      <c r="BH639" s="129"/>
      <c r="BI639" s="129"/>
      <c r="BJ639" s="129"/>
      <c r="BK639" s="129"/>
      <c r="BL639" s="129"/>
      <c r="BM639" s="197"/>
    </row>
    <row r="640" spans="1:65" x14ac:dyDescent="0.25">
      <c r="A640" s="157"/>
      <c r="B640" s="157"/>
      <c r="C640" s="172"/>
      <c r="D640" s="46"/>
      <c r="E640" s="46"/>
      <c r="F640" s="54"/>
      <c r="G640" s="54"/>
      <c r="H640" s="54"/>
      <c r="I640" s="54"/>
      <c r="J640" s="54"/>
      <c r="K640" s="54"/>
      <c r="L640" s="54"/>
      <c r="M640" s="54"/>
      <c r="N640" s="54"/>
      <c r="O640" s="54"/>
      <c r="P640" s="54"/>
      <c r="Q640" s="54"/>
      <c r="R640" s="54"/>
      <c r="S640" s="54"/>
      <c r="T640" s="54"/>
      <c r="U640" s="54"/>
      <c r="V640" s="54"/>
      <c r="W640" s="55"/>
      <c r="X640" s="55"/>
      <c r="Y640" s="55"/>
      <c r="Z640" s="55"/>
      <c r="AA640" s="55"/>
      <c r="AB640" s="55"/>
      <c r="AC640" s="55"/>
      <c r="AD640" s="55"/>
      <c r="AE640" s="55"/>
      <c r="AF640" s="55"/>
      <c r="AG640" s="55"/>
      <c r="AH640" s="55"/>
      <c r="AI640" s="54"/>
      <c r="AJ640" s="54"/>
      <c r="AK640" s="54"/>
      <c r="AL640" s="23"/>
      <c r="AM640" s="127"/>
      <c r="AN640" s="127"/>
      <c r="AO640" s="129"/>
      <c r="AP640" s="129"/>
      <c r="AQ640" s="129"/>
      <c r="AR640" s="129"/>
      <c r="AS640" s="129"/>
      <c r="AT640" s="129"/>
      <c r="AU640" s="129"/>
      <c r="AV640" s="129"/>
      <c r="AW640" s="129"/>
      <c r="AX640" s="197"/>
      <c r="AY640" s="197"/>
      <c r="AZ640" s="197"/>
      <c r="BA640" s="197"/>
      <c r="BB640" s="129"/>
      <c r="BC640" s="129"/>
      <c r="BD640" s="129"/>
      <c r="BE640" s="129"/>
      <c r="BF640" s="129"/>
      <c r="BG640" s="129"/>
      <c r="BH640" s="129"/>
      <c r="BI640" s="129"/>
      <c r="BJ640" s="129"/>
      <c r="BK640" s="129"/>
      <c r="BL640" s="129"/>
      <c r="BM640" s="197"/>
    </row>
    <row r="641" spans="1:65" x14ac:dyDescent="0.25">
      <c r="A641" s="157" t="s">
        <v>351</v>
      </c>
      <c r="B641" s="157" t="s">
        <v>22</v>
      </c>
      <c r="C641" s="172" t="s">
        <v>222</v>
      </c>
      <c r="D641" s="161">
        <v>1</v>
      </c>
      <c r="E641" s="29" t="str">
        <f t="shared" ref="E641:E646" si="174">INDEX(ra_ScName,MATCH(D641,ra_ScNumber,0))</f>
        <v>Expected nominal return (incl forecast asset revaluations)</v>
      </c>
      <c r="F641" s="122">
        <v>0</v>
      </c>
      <c r="G641" s="122">
        <v>0</v>
      </c>
      <c r="H641" s="122">
        <v>0</v>
      </c>
      <c r="I641" s="122">
        <v>0</v>
      </c>
      <c r="J641" s="122">
        <v>0</v>
      </c>
      <c r="K641" s="122">
        <v>0</v>
      </c>
      <c r="L641" s="122">
        <v>0</v>
      </c>
      <c r="M641" s="122">
        <v>0</v>
      </c>
      <c r="N641" s="122">
        <v>0</v>
      </c>
      <c r="O641" s="122">
        <v>0</v>
      </c>
      <c r="P641" s="122">
        <v>0</v>
      </c>
      <c r="Q641" s="122">
        <v>0</v>
      </c>
      <c r="R641" s="122">
        <v>0</v>
      </c>
      <c r="S641" s="122">
        <v>0</v>
      </c>
      <c r="T641" s="122">
        <v>0</v>
      </c>
      <c r="U641" s="122">
        <v>0</v>
      </c>
      <c r="V641" s="54"/>
      <c r="W641" s="54"/>
      <c r="X641" s="54"/>
      <c r="Y641" s="54"/>
      <c r="Z641" s="54"/>
      <c r="AA641" s="54"/>
      <c r="AB641" s="54"/>
      <c r="AC641" s="54"/>
      <c r="AD641" s="54"/>
      <c r="AE641" s="54"/>
      <c r="AF641" s="54"/>
      <c r="AG641" s="54"/>
      <c r="AH641" s="54"/>
      <c r="AI641" s="117">
        <f t="shared" ref="AI641:AI646" si="175">SUM(F641:AH641)</f>
        <v>0</v>
      </c>
      <c r="AJ641" s="117">
        <f t="shared" ref="AJ641:AJ646" si="176">SUM(F641:U641)</f>
        <v>0</v>
      </c>
      <c r="AK641" s="117">
        <f t="shared" ref="AK641:AK646" si="177">SUM(W641:AH641)</f>
        <v>0</v>
      </c>
      <c r="AL641" s="23"/>
      <c r="AM641" s="127" t="b">
        <f t="shared" ref="AM641:AM646" si="178">IF(INDEX($AO641:$BM641,0,$F$14)=1,TRUE,FALSE)</f>
        <v>0</v>
      </c>
      <c r="AN641" s="127" t="str">
        <f t="shared" ref="AN641:AN646" si="179">IF(AM641,A641&amp;", "&amp;B641,"")</f>
        <v/>
      </c>
      <c r="AO641" s="129">
        <v>1</v>
      </c>
      <c r="AP641" s="129">
        <v>1</v>
      </c>
      <c r="AQ641" s="129">
        <v>1</v>
      </c>
      <c r="AR641" s="129"/>
      <c r="AS641" s="129"/>
      <c r="AT641" s="129"/>
      <c r="AU641" s="129"/>
      <c r="AV641" s="129"/>
      <c r="AW641" s="129"/>
      <c r="AX641" s="197"/>
      <c r="AY641" s="197"/>
      <c r="AZ641" s="197"/>
      <c r="BA641" s="197"/>
      <c r="BB641" s="129"/>
      <c r="BC641" s="129"/>
      <c r="BD641" s="129"/>
      <c r="BE641" s="129"/>
      <c r="BF641" s="129"/>
      <c r="BG641" s="129"/>
      <c r="BH641" s="129"/>
      <c r="BI641" s="129"/>
      <c r="BJ641" s="129"/>
      <c r="BK641" s="129"/>
      <c r="BL641" s="129"/>
      <c r="BM641" s="197"/>
    </row>
    <row r="642" spans="1:65" x14ac:dyDescent="0.25">
      <c r="A642" s="157" t="s">
        <v>351</v>
      </c>
      <c r="B642" s="157" t="s">
        <v>23</v>
      </c>
      <c r="C642" s="172" t="s">
        <v>222</v>
      </c>
      <c r="D642" s="161">
        <v>1</v>
      </c>
      <c r="E642" s="29" t="str">
        <f t="shared" si="174"/>
        <v>Expected nominal return (incl forecast asset revaluations)</v>
      </c>
      <c r="F642" s="122">
        <v>0</v>
      </c>
      <c r="G642" s="122">
        <v>0</v>
      </c>
      <c r="H642" s="122">
        <v>0</v>
      </c>
      <c r="I642" s="122">
        <v>0</v>
      </c>
      <c r="J642" s="122">
        <v>0</v>
      </c>
      <c r="K642" s="122">
        <v>0</v>
      </c>
      <c r="L642" s="122">
        <v>0</v>
      </c>
      <c r="M642" s="122">
        <v>0</v>
      </c>
      <c r="N642" s="122">
        <v>0</v>
      </c>
      <c r="O642" s="122">
        <v>0</v>
      </c>
      <c r="P642" s="122">
        <v>0</v>
      </c>
      <c r="Q642" s="122">
        <v>0</v>
      </c>
      <c r="R642" s="122">
        <v>0</v>
      </c>
      <c r="S642" s="122">
        <v>0</v>
      </c>
      <c r="T642" s="122">
        <v>0</v>
      </c>
      <c r="U642" s="122">
        <v>0</v>
      </c>
      <c r="V642" s="54"/>
      <c r="W642" s="54"/>
      <c r="X642" s="54"/>
      <c r="Y642" s="54"/>
      <c r="Z642" s="54"/>
      <c r="AA642" s="54"/>
      <c r="AB642" s="54"/>
      <c r="AC642" s="54"/>
      <c r="AD642" s="54"/>
      <c r="AE642" s="54"/>
      <c r="AF642" s="54"/>
      <c r="AG642" s="54"/>
      <c r="AH642" s="54"/>
      <c r="AI642" s="117">
        <f t="shared" si="175"/>
        <v>0</v>
      </c>
      <c r="AJ642" s="117">
        <f t="shared" si="176"/>
        <v>0</v>
      </c>
      <c r="AK642" s="117">
        <f t="shared" si="177"/>
        <v>0</v>
      </c>
      <c r="AL642" s="23"/>
      <c r="AM642" s="127" t="b">
        <f t="shared" si="178"/>
        <v>0</v>
      </c>
      <c r="AN642" s="127" t="str">
        <f t="shared" si="179"/>
        <v/>
      </c>
      <c r="AO642" s="129">
        <v>1</v>
      </c>
      <c r="AP642" s="129">
        <v>1</v>
      </c>
      <c r="AQ642" s="129">
        <v>1</v>
      </c>
      <c r="AR642" s="129"/>
      <c r="AS642" s="129"/>
      <c r="AT642" s="129"/>
      <c r="AU642" s="129"/>
      <c r="AV642" s="129"/>
      <c r="AW642" s="129"/>
      <c r="AX642" s="197"/>
      <c r="AY642" s="197"/>
      <c r="AZ642" s="197"/>
      <c r="BA642" s="197"/>
      <c r="BB642" s="129"/>
      <c r="BC642" s="129"/>
      <c r="BD642" s="129"/>
      <c r="BE642" s="129"/>
      <c r="BF642" s="129"/>
      <c r="BG642" s="129"/>
      <c r="BH642" s="129"/>
      <c r="BI642" s="129"/>
      <c r="BJ642" s="129"/>
      <c r="BK642" s="129"/>
      <c r="BL642" s="129"/>
      <c r="BM642" s="197"/>
    </row>
    <row r="643" spans="1:65" x14ac:dyDescent="0.25">
      <c r="A643" s="157" t="s">
        <v>351</v>
      </c>
      <c r="B643" s="157" t="s">
        <v>24</v>
      </c>
      <c r="C643" s="172" t="s">
        <v>222</v>
      </c>
      <c r="D643" s="161">
        <v>1</v>
      </c>
      <c r="E643" s="29" t="str">
        <f t="shared" si="174"/>
        <v>Expected nominal return (incl forecast asset revaluations)</v>
      </c>
      <c r="F643" s="122">
        <v>0</v>
      </c>
      <c r="G643" s="122">
        <v>0</v>
      </c>
      <c r="H643" s="122">
        <v>0</v>
      </c>
      <c r="I643" s="122">
        <v>0</v>
      </c>
      <c r="J643" s="122">
        <v>0</v>
      </c>
      <c r="K643" s="122">
        <v>0</v>
      </c>
      <c r="L643" s="122">
        <v>0</v>
      </c>
      <c r="M643" s="122">
        <v>0</v>
      </c>
      <c r="N643" s="122">
        <v>0</v>
      </c>
      <c r="O643" s="122">
        <v>0</v>
      </c>
      <c r="P643" s="122">
        <v>0</v>
      </c>
      <c r="Q643" s="122">
        <v>0</v>
      </c>
      <c r="R643" s="122">
        <v>0</v>
      </c>
      <c r="S643" s="122">
        <v>0</v>
      </c>
      <c r="T643" s="122">
        <v>0</v>
      </c>
      <c r="U643" s="122">
        <v>0</v>
      </c>
      <c r="V643" s="54"/>
      <c r="W643" s="54"/>
      <c r="X643" s="54"/>
      <c r="Y643" s="54"/>
      <c r="Z643" s="54"/>
      <c r="AA643" s="54"/>
      <c r="AB643" s="54"/>
      <c r="AC643" s="54"/>
      <c r="AD643" s="54"/>
      <c r="AE643" s="54"/>
      <c r="AF643" s="54"/>
      <c r="AG643" s="54"/>
      <c r="AH643" s="54"/>
      <c r="AI643" s="117">
        <f t="shared" si="175"/>
        <v>0</v>
      </c>
      <c r="AJ643" s="117">
        <f t="shared" si="176"/>
        <v>0</v>
      </c>
      <c r="AK643" s="117">
        <f t="shared" si="177"/>
        <v>0</v>
      </c>
      <c r="AL643" s="23"/>
      <c r="AM643" s="127" t="b">
        <f t="shared" si="178"/>
        <v>0</v>
      </c>
      <c r="AN643" s="127" t="str">
        <f t="shared" si="179"/>
        <v/>
      </c>
      <c r="AO643" s="129">
        <v>1</v>
      </c>
      <c r="AP643" s="129">
        <v>1</v>
      </c>
      <c r="AQ643" s="129">
        <v>1</v>
      </c>
      <c r="AR643" s="129"/>
      <c r="AS643" s="129"/>
      <c r="AT643" s="129"/>
      <c r="AU643" s="129"/>
      <c r="AV643" s="129"/>
      <c r="AW643" s="129"/>
      <c r="AX643" s="197"/>
      <c r="AY643" s="197"/>
      <c r="AZ643" s="197"/>
      <c r="BA643" s="197"/>
      <c r="BB643" s="129"/>
      <c r="BC643" s="129"/>
      <c r="BD643" s="129"/>
      <c r="BE643" s="129"/>
      <c r="BF643" s="129"/>
      <c r="BG643" s="129"/>
      <c r="BH643" s="129"/>
      <c r="BI643" s="129"/>
      <c r="BJ643" s="129"/>
      <c r="BK643" s="129"/>
      <c r="BL643" s="129"/>
      <c r="BM643" s="197"/>
    </row>
    <row r="644" spans="1:65" x14ac:dyDescent="0.25">
      <c r="A644" s="157" t="s">
        <v>351</v>
      </c>
      <c r="B644" s="157" t="s">
        <v>25</v>
      </c>
      <c r="C644" s="172" t="s">
        <v>222</v>
      </c>
      <c r="D644" s="161">
        <v>1</v>
      </c>
      <c r="E644" s="29" t="str">
        <f t="shared" si="174"/>
        <v>Expected nominal return (incl forecast asset revaluations)</v>
      </c>
      <c r="F644" s="122">
        <v>0</v>
      </c>
      <c r="G644" s="122">
        <v>0</v>
      </c>
      <c r="H644" s="122">
        <v>0</v>
      </c>
      <c r="I644" s="122">
        <v>0</v>
      </c>
      <c r="J644" s="122">
        <v>0</v>
      </c>
      <c r="K644" s="122">
        <v>0</v>
      </c>
      <c r="L644" s="122">
        <v>0</v>
      </c>
      <c r="M644" s="122">
        <v>0</v>
      </c>
      <c r="N644" s="122">
        <v>0</v>
      </c>
      <c r="O644" s="122">
        <v>0</v>
      </c>
      <c r="P644" s="122">
        <v>0</v>
      </c>
      <c r="Q644" s="122">
        <v>0</v>
      </c>
      <c r="R644" s="122">
        <v>0</v>
      </c>
      <c r="S644" s="122">
        <v>0</v>
      </c>
      <c r="T644" s="122">
        <v>0</v>
      </c>
      <c r="U644" s="122">
        <v>0</v>
      </c>
      <c r="V644" s="54"/>
      <c r="W644" s="54"/>
      <c r="X644" s="54"/>
      <c r="Y644" s="54"/>
      <c r="Z644" s="54"/>
      <c r="AA644" s="54"/>
      <c r="AB644" s="54"/>
      <c r="AC644" s="54"/>
      <c r="AD644" s="54"/>
      <c r="AE644" s="54"/>
      <c r="AF644" s="54"/>
      <c r="AG644" s="54"/>
      <c r="AH644" s="54"/>
      <c r="AI644" s="117">
        <f t="shared" si="175"/>
        <v>0</v>
      </c>
      <c r="AJ644" s="117">
        <f t="shared" si="176"/>
        <v>0</v>
      </c>
      <c r="AK644" s="117">
        <f t="shared" si="177"/>
        <v>0</v>
      </c>
      <c r="AL644" s="23"/>
      <c r="AM644" s="127" t="b">
        <f t="shared" si="178"/>
        <v>0</v>
      </c>
      <c r="AN644" s="127" t="str">
        <f t="shared" si="179"/>
        <v/>
      </c>
      <c r="AO644" s="129">
        <v>1</v>
      </c>
      <c r="AP644" s="129">
        <v>1</v>
      </c>
      <c r="AQ644" s="129">
        <v>1</v>
      </c>
      <c r="AR644" s="129"/>
      <c r="AS644" s="129"/>
      <c r="AT644" s="129"/>
      <c r="AU644" s="129"/>
      <c r="AV644" s="129"/>
      <c r="AW644" s="129"/>
      <c r="AX644" s="197"/>
      <c r="AY644" s="197"/>
      <c r="AZ644" s="197"/>
      <c r="BA644" s="197"/>
      <c r="BB644" s="129"/>
      <c r="BC644" s="129"/>
      <c r="BD644" s="129"/>
      <c r="BE644" s="129"/>
      <c r="BF644" s="129"/>
      <c r="BG644" s="129"/>
      <c r="BH644" s="129"/>
      <c r="BI644" s="129"/>
      <c r="BJ644" s="129"/>
      <c r="BK644" s="129"/>
      <c r="BL644" s="129"/>
      <c r="BM644" s="197"/>
    </row>
    <row r="645" spans="1:65" x14ac:dyDescent="0.25">
      <c r="A645" s="157" t="s">
        <v>351</v>
      </c>
      <c r="B645" s="157" t="s">
        <v>26</v>
      </c>
      <c r="C645" s="172" t="s">
        <v>222</v>
      </c>
      <c r="D645" s="161">
        <v>1</v>
      </c>
      <c r="E645" s="29" t="str">
        <f t="shared" si="174"/>
        <v>Expected nominal return (incl forecast asset revaluations)</v>
      </c>
      <c r="F645" s="122">
        <v>0</v>
      </c>
      <c r="G645" s="122">
        <v>0</v>
      </c>
      <c r="H645" s="122">
        <v>0</v>
      </c>
      <c r="I645" s="122">
        <v>0</v>
      </c>
      <c r="J645" s="122">
        <v>0</v>
      </c>
      <c r="K645" s="122">
        <v>0</v>
      </c>
      <c r="L645" s="122">
        <v>0</v>
      </c>
      <c r="M645" s="122">
        <v>0</v>
      </c>
      <c r="N645" s="122">
        <v>0</v>
      </c>
      <c r="O645" s="122">
        <v>0</v>
      </c>
      <c r="P645" s="122">
        <v>0</v>
      </c>
      <c r="Q645" s="122">
        <v>0</v>
      </c>
      <c r="R645" s="122">
        <v>0</v>
      </c>
      <c r="S645" s="122">
        <v>0</v>
      </c>
      <c r="T645" s="122">
        <v>0</v>
      </c>
      <c r="U645" s="122">
        <v>0</v>
      </c>
      <c r="V645" s="54"/>
      <c r="W645" s="54"/>
      <c r="X645" s="54"/>
      <c r="Y645" s="54"/>
      <c r="Z645" s="54"/>
      <c r="AA645" s="54"/>
      <c r="AB645" s="54"/>
      <c r="AC645" s="54"/>
      <c r="AD645" s="54"/>
      <c r="AE645" s="54"/>
      <c r="AF645" s="54"/>
      <c r="AG645" s="54"/>
      <c r="AH645" s="54"/>
      <c r="AI645" s="117">
        <f t="shared" si="175"/>
        <v>0</v>
      </c>
      <c r="AJ645" s="117">
        <f t="shared" si="176"/>
        <v>0</v>
      </c>
      <c r="AK645" s="117">
        <f t="shared" si="177"/>
        <v>0</v>
      </c>
      <c r="AL645" s="23"/>
      <c r="AM645" s="127" t="b">
        <f t="shared" si="178"/>
        <v>0</v>
      </c>
      <c r="AN645" s="127" t="str">
        <f t="shared" si="179"/>
        <v/>
      </c>
      <c r="AO645" s="129">
        <v>1</v>
      </c>
      <c r="AP645" s="129">
        <v>1</v>
      </c>
      <c r="AQ645" s="129">
        <v>1</v>
      </c>
      <c r="AR645" s="129"/>
      <c r="AS645" s="129"/>
      <c r="AT645" s="129"/>
      <c r="AU645" s="129"/>
      <c r="AV645" s="129"/>
      <c r="AW645" s="129"/>
      <c r="AX645" s="197"/>
      <c r="AY645" s="197"/>
      <c r="AZ645" s="197"/>
      <c r="BA645" s="197"/>
      <c r="BB645" s="129"/>
      <c r="BC645" s="129"/>
      <c r="BD645" s="129"/>
      <c r="BE645" s="129"/>
      <c r="BF645" s="129"/>
      <c r="BG645" s="129"/>
      <c r="BH645" s="129"/>
      <c r="BI645" s="129"/>
      <c r="BJ645" s="129"/>
      <c r="BK645" s="129"/>
      <c r="BL645" s="129"/>
      <c r="BM645" s="197"/>
    </row>
    <row r="646" spans="1:65" x14ac:dyDescent="0.25">
      <c r="A646" s="157" t="s">
        <v>351</v>
      </c>
      <c r="B646" s="157" t="s">
        <v>27</v>
      </c>
      <c r="C646" s="172" t="s">
        <v>222</v>
      </c>
      <c r="D646" s="161">
        <v>1</v>
      </c>
      <c r="E646" s="29" t="str">
        <f t="shared" si="174"/>
        <v>Expected nominal return (incl forecast asset revaluations)</v>
      </c>
      <c r="F646" s="122">
        <v>0</v>
      </c>
      <c r="G646" s="122">
        <v>0</v>
      </c>
      <c r="H646" s="122">
        <v>0</v>
      </c>
      <c r="I646" s="122">
        <v>0</v>
      </c>
      <c r="J646" s="122">
        <v>0</v>
      </c>
      <c r="K646" s="122">
        <v>0</v>
      </c>
      <c r="L646" s="122">
        <v>0</v>
      </c>
      <c r="M646" s="122">
        <v>0</v>
      </c>
      <c r="N646" s="122">
        <v>0</v>
      </c>
      <c r="O646" s="122">
        <v>0</v>
      </c>
      <c r="P646" s="122">
        <v>0</v>
      </c>
      <c r="Q646" s="122">
        <v>0</v>
      </c>
      <c r="R646" s="122">
        <v>0</v>
      </c>
      <c r="S646" s="122">
        <v>0</v>
      </c>
      <c r="T646" s="122">
        <v>0</v>
      </c>
      <c r="U646" s="122">
        <v>0</v>
      </c>
      <c r="V646" s="54"/>
      <c r="W646" s="54"/>
      <c r="X646" s="54"/>
      <c r="Y646" s="54"/>
      <c r="Z646" s="54"/>
      <c r="AA646" s="54"/>
      <c r="AB646" s="54"/>
      <c r="AC646" s="54"/>
      <c r="AD646" s="54"/>
      <c r="AE646" s="54"/>
      <c r="AF646" s="54"/>
      <c r="AG646" s="54"/>
      <c r="AH646" s="54"/>
      <c r="AI646" s="117">
        <f t="shared" si="175"/>
        <v>0</v>
      </c>
      <c r="AJ646" s="117">
        <f t="shared" si="176"/>
        <v>0</v>
      </c>
      <c r="AK646" s="117">
        <f t="shared" si="177"/>
        <v>0</v>
      </c>
      <c r="AL646" s="23"/>
      <c r="AM646" s="127" t="b">
        <f t="shared" si="178"/>
        <v>0</v>
      </c>
      <c r="AN646" s="127" t="str">
        <f t="shared" si="179"/>
        <v/>
      </c>
      <c r="AO646" s="129">
        <v>1</v>
      </c>
      <c r="AP646" s="129">
        <v>1</v>
      </c>
      <c r="AQ646" s="129">
        <v>1</v>
      </c>
      <c r="AR646" s="129"/>
      <c r="AS646" s="129"/>
      <c r="AT646" s="129"/>
      <c r="AU646" s="129"/>
      <c r="AV646" s="129"/>
      <c r="AW646" s="129"/>
      <c r="AX646" s="197"/>
      <c r="AY646" s="197"/>
      <c r="AZ646" s="197"/>
      <c r="BA646" s="197"/>
      <c r="BB646" s="129"/>
      <c r="BC646" s="129"/>
      <c r="BD646" s="129"/>
      <c r="BE646" s="129"/>
      <c r="BF646" s="129"/>
      <c r="BG646" s="129"/>
      <c r="BH646" s="129"/>
      <c r="BI646" s="129"/>
      <c r="BJ646" s="129"/>
      <c r="BK646" s="129"/>
      <c r="BL646" s="129"/>
      <c r="BM646" s="197"/>
    </row>
    <row r="647" spans="1:65" x14ac:dyDescent="0.25">
      <c r="A647" s="157"/>
      <c r="B647" s="157"/>
      <c r="C647" s="172"/>
      <c r="D647" s="25"/>
      <c r="E647" s="25"/>
      <c r="F647" s="25"/>
      <c r="G647" s="25"/>
      <c r="H647" s="25"/>
      <c r="I647" s="25"/>
      <c r="J647" s="25"/>
      <c r="K647" s="25"/>
      <c r="L647" s="25"/>
      <c r="M647" s="26"/>
      <c r="N647" s="26"/>
      <c r="O647" s="26"/>
      <c r="P647" s="26"/>
      <c r="Q647" s="26"/>
      <c r="R647" s="26"/>
      <c r="S647" s="26"/>
      <c r="T647" s="26"/>
      <c r="U647" s="26"/>
      <c r="V647" s="25"/>
      <c r="W647" s="23"/>
      <c r="X647" s="23"/>
      <c r="Y647" s="23"/>
      <c r="Z647" s="23"/>
      <c r="AA647" s="23"/>
      <c r="AB647" s="23"/>
      <c r="AC647" s="23"/>
      <c r="AD647" s="23"/>
      <c r="AE647" s="23"/>
      <c r="AF647" s="23"/>
      <c r="AG647" s="23"/>
      <c r="AH647" s="23"/>
      <c r="AI647" s="54"/>
      <c r="AJ647" s="54"/>
      <c r="AK647" s="54"/>
      <c r="AL647" s="23"/>
      <c r="AM647" s="127"/>
      <c r="AN647" s="127"/>
      <c r="AO647" s="129"/>
      <c r="AP647" s="129"/>
      <c r="AQ647" s="129"/>
      <c r="AR647" s="129"/>
      <c r="AS647" s="129"/>
      <c r="AT647" s="129"/>
      <c r="AU647" s="129"/>
      <c r="AV647" s="129"/>
      <c r="AW647" s="129"/>
      <c r="AX647" s="197"/>
      <c r="AY647" s="197"/>
      <c r="AZ647" s="197"/>
      <c r="BA647" s="197"/>
      <c r="BB647" s="129"/>
      <c r="BC647" s="129"/>
      <c r="BD647" s="129"/>
      <c r="BE647" s="129"/>
      <c r="BF647" s="129"/>
      <c r="BG647" s="129"/>
      <c r="BH647" s="129"/>
      <c r="BI647" s="129"/>
      <c r="BJ647" s="129"/>
      <c r="BK647" s="129"/>
      <c r="BL647" s="129"/>
      <c r="BM647" s="197"/>
    </row>
    <row r="648" spans="1:65" x14ac:dyDescent="0.25">
      <c r="A648" s="157"/>
      <c r="B648" s="157"/>
      <c r="C648" s="172"/>
      <c r="D648" s="46"/>
      <c r="E648" s="46"/>
      <c r="F648" s="54"/>
      <c r="G648" s="54"/>
      <c r="H648" s="54"/>
      <c r="I648" s="54"/>
      <c r="J648" s="54"/>
      <c r="K648" s="54"/>
      <c r="L648" s="54"/>
      <c r="M648" s="54"/>
      <c r="N648" s="54"/>
      <c r="O648" s="54"/>
      <c r="P648" s="54"/>
      <c r="Q648" s="54"/>
      <c r="R648" s="54"/>
      <c r="S648" s="54"/>
      <c r="T648" s="54"/>
      <c r="U648" s="54"/>
      <c r="V648" s="54"/>
      <c r="W648" s="55"/>
      <c r="X648" s="55"/>
      <c r="Y648" s="55"/>
      <c r="Z648" s="55"/>
      <c r="AA648" s="55"/>
      <c r="AB648" s="55"/>
      <c r="AC648" s="55"/>
      <c r="AD648" s="55"/>
      <c r="AE648" s="55"/>
      <c r="AF648" s="55"/>
      <c r="AG648" s="55"/>
      <c r="AH648" s="55"/>
      <c r="AI648" s="54"/>
      <c r="AJ648" s="54"/>
      <c r="AK648" s="54"/>
      <c r="AL648" s="23"/>
      <c r="AM648" s="127"/>
      <c r="AN648" s="127"/>
      <c r="AO648" s="129"/>
      <c r="AP648" s="129"/>
      <c r="AQ648" s="129"/>
      <c r="AR648" s="129"/>
      <c r="AS648" s="129"/>
      <c r="AT648" s="129"/>
      <c r="AU648" s="129"/>
      <c r="AV648" s="129"/>
      <c r="AW648" s="129"/>
      <c r="AX648" s="197"/>
      <c r="AY648" s="197"/>
      <c r="AZ648" s="197"/>
      <c r="BA648" s="197"/>
      <c r="BB648" s="129"/>
      <c r="BC648" s="129"/>
      <c r="BD648" s="129"/>
      <c r="BE648" s="129"/>
      <c r="BF648" s="129"/>
      <c r="BG648" s="129"/>
      <c r="BH648" s="129"/>
      <c r="BI648" s="129"/>
      <c r="BJ648" s="129"/>
      <c r="BK648" s="129"/>
      <c r="BL648" s="129"/>
      <c r="BM648" s="197"/>
    </row>
    <row r="649" spans="1:65" x14ac:dyDescent="0.25">
      <c r="A649" s="157" t="s">
        <v>351</v>
      </c>
      <c r="B649" s="157" t="s">
        <v>22</v>
      </c>
      <c r="C649" s="172" t="s">
        <v>222</v>
      </c>
      <c r="D649" s="161">
        <v>4</v>
      </c>
      <c r="E649" s="29" t="str">
        <f t="shared" ref="E649:E654" si="180">INDEX(ra_ScName,MATCH(D649,ra_ScNumber,0))</f>
        <v>Net additions prior to 1 April 2012</v>
      </c>
      <c r="F649" s="122">
        <v>0</v>
      </c>
      <c r="G649" s="122">
        <v>0</v>
      </c>
      <c r="H649" s="122">
        <v>0</v>
      </c>
      <c r="I649" s="122">
        <v>0</v>
      </c>
      <c r="J649" s="122">
        <v>0</v>
      </c>
      <c r="K649" s="122">
        <v>0</v>
      </c>
      <c r="L649" s="122">
        <v>0</v>
      </c>
      <c r="M649" s="122">
        <v>0</v>
      </c>
      <c r="N649" s="122">
        <v>0</v>
      </c>
      <c r="O649" s="122">
        <v>0</v>
      </c>
      <c r="P649" s="122">
        <v>0</v>
      </c>
      <c r="Q649" s="122">
        <v>0</v>
      </c>
      <c r="R649" s="122">
        <v>0</v>
      </c>
      <c r="S649" s="122">
        <v>0</v>
      </c>
      <c r="T649" s="122">
        <v>0</v>
      </c>
      <c r="U649" s="122">
        <v>0</v>
      </c>
      <c r="V649" s="54"/>
      <c r="W649" s="54"/>
      <c r="X649" s="54"/>
      <c r="Y649" s="54"/>
      <c r="Z649" s="54"/>
      <c r="AA649" s="54"/>
      <c r="AB649" s="54"/>
      <c r="AC649" s="54"/>
      <c r="AD649" s="54"/>
      <c r="AE649" s="54"/>
      <c r="AF649" s="54"/>
      <c r="AG649" s="54"/>
      <c r="AH649" s="54"/>
      <c r="AI649" s="117">
        <f t="shared" ref="AI649:AI654" si="181">SUM(F649:AH649)</f>
        <v>0</v>
      </c>
      <c r="AJ649" s="117">
        <f t="shared" ref="AJ649:AJ654" si="182">SUM(F649:U649)</f>
        <v>0</v>
      </c>
      <c r="AK649" s="117">
        <f t="shared" ref="AK649:AK654" si="183">SUM(W649:AH649)</f>
        <v>0</v>
      </c>
      <c r="AL649" s="23"/>
      <c r="AM649" s="127" t="b">
        <f t="shared" ref="AM649:AM654" si="184">IF(INDEX($AO649:$BM649,0,$F$14)=1,TRUE,FALSE)</f>
        <v>0</v>
      </c>
      <c r="AN649" s="127" t="str">
        <f t="shared" ref="AN649:AN654" si="185">IF(AM649,A649&amp;", "&amp;B649,"")</f>
        <v/>
      </c>
      <c r="AO649" s="129"/>
      <c r="AP649" s="129"/>
      <c r="AQ649" s="129"/>
      <c r="AR649" s="129">
        <v>1</v>
      </c>
      <c r="AS649" s="129">
        <v>1</v>
      </c>
      <c r="AT649" s="129">
        <v>1</v>
      </c>
      <c r="AU649" s="129">
        <v>1</v>
      </c>
      <c r="AV649" s="129">
        <v>1</v>
      </c>
      <c r="AW649" s="129"/>
      <c r="AX649" s="197"/>
      <c r="AY649" s="197"/>
      <c r="AZ649" s="197"/>
      <c r="BA649" s="197"/>
      <c r="BB649" s="129"/>
      <c r="BC649" s="129"/>
      <c r="BD649" s="129"/>
      <c r="BE649" s="129"/>
      <c r="BF649" s="129"/>
      <c r="BG649" s="129"/>
      <c r="BH649" s="129"/>
      <c r="BI649" s="129"/>
      <c r="BJ649" s="129"/>
      <c r="BK649" s="129"/>
      <c r="BL649" s="129">
        <v>1</v>
      </c>
      <c r="BM649" s="197"/>
    </row>
    <row r="650" spans="1:65" x14ac:dyDescent="0.25">
      <c r="A650" s="157" t="s">
        <v>351</v>
      </c>
      <c r="B650" s="157" t="s">
        <v>23</v>
      </c>
      <c r="C650" s="172" t="s">
        <v>222</v>
      </c>
      <c r="D650" s="161">
        <v>4</v>
      </c>
      <c r="E650" s="29" t="str">
        <f t="shared" si="180"/>
        <v>Net additions prior to 1 April 2012</v>
      </c>
      <c r="F650" s="122">
        <v>0</v>
      </c>
      <c r="G650" s="122">
        <v>0</v>
      </c>
      <c r="H650" s="122">
        <v>0</v>
      </c>
      <c r="I650" s="122">
        <v>0</v>
      </c>
      <c r="J650" s="122">
        <v>0</v>
      </c>
      <c r="K650" s="122">
        <v>0</v>
      </c>
      <c r="L650" s="122">
        <v>0</v>
      </c>
      <c r="M650" s="122">
        <v>0</v>
      </c>
      <c r="N650" s="122">
        <v>0</v>
      </c>
      <c r="O650" s="122">
        <v>0</v>
      </c>
      <c r="P650" s="122">
        <v>0</v>
      </c>
      <c r="Q650" s="122">
        <v>0</v>
      </c>
      <c r="R650" s="122">
        <v>0</v>
      </c>
      <c r="S650" s="122">
        <v>0</v>
      </c>
      <c r="T650" s="122">
        <v>0</v>
      </c>
      <c r="U650" s="122">
        <v>0</v>
      </c>
      <c r="V650" s="54"/>
      <c r="W650" s="54"/>
      <c r="X650" s="54"/>
      <c r="Y650" s="54"/>
      <c r="Z650" s="54"/>
      <c r="AA650" s="54"/>
      <c r="AB650" s="54"/>
      <c r="AC650" s="54"/>
      <c r="AD650" s="54"/>
      <c r="AE650" s="54"/>
      <c r="AF650" s="54"/>
      <c r="AG650" s="54"/>
      <c r="AH650" s="54"/>
      <c r="AI650" s="117">
        <f t="shared" si="181"/>
        <v>0</v>
      </c>
      <c r="AJ650" s="117">
        <f t="shared" si="182"/>
        <v>0</v>
      </c>
      <c r="AK650" s="117">
        <f t="shared" si="183"/>
        <v>0</v>
      </c>
      <c r="AL650" s="23"/>
      <c r="AM650" s="127" t="b">
        <f t="shared" si="184"/>
        <v>0</v>
      </c>
      <c r="AN650" s="127" t="str">
        <f t="shared" si="185"/>
        <v/>
      </c>
      <c r="AO650" s="129"/>
      <c r="AP650" s="129"/>
      <c r="AQ650" s="129"/>
      <c r="AR650" s="129">
        <v>1</v>
      </c>
      <c r="AS650" s="129">
        <v>1</v>
      </c>
      <c r="AT650" s="129">
        <v>1</v>
      </c>
      <c r="AU650" s="129">
        <v>1</v>
      </c>
      <c r="AV650" s="129">
        <v>1</v>
      </c>
      <c r="AW650" s="129"/>
      <c r="AX650" s="197"/>
      <c r="AY650" s="197"/>
      <c r="AZ650" s="197"/>
      <c r="BA650" s="197"/>
      <c r="BB650" s="129"/>
      <c r="BC650" s="129"/>
      <c r="BD650" s="129"/>
      <c r="BE650" s="129"/>
      <c r="BF650" s="129"/>
      <c r="BG650" s="129"/>
      <c r="BH650" s="129"/>
      <c r="BI650" s="129"/>
      <c r="BJ650" s="129"/>
      <c r="BK650" s="129"/>
      <c r="BL650" s="129">
        <v>1</v>
      </c>
      <c r="BM650" s="197"/>
    </row>
    <row r="651" spans="1:65" x14ac:dyDescent="0.25">
      <c r="A651" s="157" t="s">
        <v>351</v>
      </c>
      <c r="B651" s="157" t="s">
        <v>24</v>
      </c>
      <c r="C651" s="172" t="s">
        <v>222</v>
      </c>
      <c r="D651" s="161">
        <v>4</v>
      </c>
      <c r="E651" s="29" t="str">
        <f t="shared" si="180"/>
        <v>Net additions prior to 1 April 2012</v>
      </c>
      <c r="F651" s="122">
        <v>0</v>
      </c>
      <c r="G651" s="122">
        <v>0</v>
      </c>
      <c r="H651" s="122">
        <v>0</v>
      </c>
      <c r="I651" s="122">
        <v>0</v>
      </c>
      <c r="J651" s="122">
        <v>0</v>
      </c>
      <c r="K651" s="122">
        <v>0</v>
      </c>
      <c r="L651" s="122">
        <v>0</v>
      </c>
      <c r="M651" s="122">
        <v>0</v>
      </c>
      <c r="N651" s="122">
        <v>0</v>
      </c>
      <c r="O651" s="122">
        <v>0</v>
      </c>
      <c r="P651" s="122">
        <v>0</v>
      </c>
      <c r="Q651" s="122">
        <v>0</v>
      </c>
      <c r="R651" s="122">
        <v>0</v>
      </c>
      <c r="S651" s="122">
        <v>0</v>
      </c>
      <c r="T651" s="122">
        <v>0</v>
      </c>
      <c r="U651" s="122">
        <v>0</v>
      </c>
      <c r="V651" s="54"/>
      <c r="W651" s="54"/>
      <c r="X651" s="54"/>
      <c r="Y651" s="54"/>
      <c r="Z651" s="54"/>
      <c r="AA651" s="54"/>
      <c r="AB651" s="54"/>
      <c r="AC651" s="54"/>
      <c r="AD651" s="54"/>
      <c r="AE651" s="54"/>
      <c r="AF651" s="54"/>
      <c r="AG651" s="54"/>
      <c r="AH651" s="54"/>
      <c r="AI651" s="117">
        <f t="shared" si="181"/>
        <v>0</v>
      </c>
      <c r="AJ651" s="117">
        <f t="shared" si="182"/>
        <v>0</v>
      </c>
      <c r="AK651" s="117">
        <f t="shared" si="183"/>
        <v>0</v>
      </c>
      <c r="AL651" s="23"/>
      <c r="AM651" s="127" t="b">
        <f t="shared" si="184"/>
        <v>0</v>
      </c>
      <c r="AN651" s="127" t="str">
        <f t="shared" si="185"/>
        <v/>
      </c>
      <c r="AO651" s="129"/>
      <c r="AP651" s="129"/>
      <c r="AQ651" s="129"/>
      <c r="AR651" s="129">
        <v>1</v>
      </c>
      <c r="AS651" s="129">
        <v>1</v>
      </c>
      <c r="AT651" s="129">
        <v>1</v>
      </c>
      <c r="AU651" s="129">
        <v>1</v>
      </c>
      <c r="AV651" s="129">
        <v>1</v>
      </c>
      <c r="AW651" s="129"/>
      <c r="AX651" s="197"/>
      <c r="AY651" s="197"/>
      <c r="AZ651" s="197"/>
      <c r="BA651" s="197"/>
      <c r="BB651" s="129"/>
      <c r="BC651" s="129"/>
      <c r="BD651" s="129"/>
      <c r="BE651" s="129"/>
      <c r="BF651" s="129"/>
      <c r="BG651" s="129"/>
      <c r="BH651" s="129"/>
      <c r="BI651" s="129"/>
      <c r="BJ651" s="129"/>
      <c r="BK651" s="129"/>
      <c r="BL651" s="129">
        <v>1</v>
      </c>
      <c r="BM651" s="197"/>
    </row>
    <row r="652" spans="1:65" x14ac:dyDescent="0.25">
      <c r="A652" s="157" t="s">
        <v>351</v>
      </c>
      <c r="B652" s="157" t="s">
        <v>25</v>
      </c>
      <c r="C652" s="172" t="s">
        <v>222</v>
      </c>
      <c r="D652" s="161">
        <v>4</v>
      </c>
      <c r="E652" s="29" t="str">
        <f t="shared" si="180"/>
        <v>Net additions prior to 1 April 2012</v>
      </c>
      <c r="F652" s="122">
        <v>0</v>
      </c>
      <c r="G652" s="122">
        <v>0</v>
      </c>
      <c r="H652" s="122">
        <v>0</v>
      </c>
      <c r="I652" s="122">
        <v>0</v>
      </c>
      <c r="J652" s="122">
        <v>0</v>
      </c>
      <c r="K652" s="122">
        <v>0</v>
      </c>
      <c r="L652" s="122">
        <v>0</v>
      </c>
      <c r="M652" s="122">
        <v>0</v>
      </c>
      <c r="N652" s="122">
        <v>0</v>
      </c>
      <c r="O652" s="122">
        <v>0</v>
      </c>
      <c r="P652" s="122">
        <v>0</v>
      </c>
      <c r="Q652" s="122">
        <v>0</v>
      </c>
      <c r="R652" s="122">
        <v>0</v>
      </c>
      <c r="S652" s="122">
        <v>0</v>
      </c>
      <c r="T652" s="122">
        <v>0</v>
      </c>
      <c r="U652" s="122">
        <v>0</v>
      </c>
      <c r="V652" s="54"/>
      <c r="W652" s="54"/>
      <c r="X652" s="54"/>
      <c r="Y652" s="54"/>
      <c r="Z652" s="54"/>
      <c r="AA652" s="54"/>
      <c r="AB652" s="54"/>
      <c r="AC652" s="54"/>
      <c r="AD652" s="54"/>
      <c r="AE652" s="54"/>
      <c r="AF652" s="54"/>
      <c r="AG652" s="54"/>
      <c r="AH652" s="54"/>
      <c r="AI652" s="117">
        <f t="shared" si="181"/>
        <v>0</v>
      </c>
      <c r="AJ652" s="117">
        <f t="shared" si="182"/>
        <v>0</v>
      </c>
      <c r="AK652" s="117">
        <f t="shared" si="183"/>
        <v>0</v>
      </c>
      <c r="AL652" s="23"/>
      <c r="AM652" s="127" t="b">
        <f t="shared" si="184"/>
        <v>0</v>
      </c>
      <c r="AN652" s="127" t="str">
        <f t="shared" si="185"/>
        <v/>
      </c>
      <c r="AO652" s="129"/>
      <c r="AP652" s="129"/>
      <c r="AQ652" s="129"/>
      <c r="AR652" s="129">
        <v>1</v>
      </c>
      <c r="AS652" s="129">
        <v>1</v>
      </c>
      <c r="AT652" s="129">
        <v>1</v>
      </c>
      <c r="AU652" s="129">
        <v>1</v>
      </c>
      <c r="AV652" s="129">
        <v>1</v>
      </c>
      <c r="AW652" s="129"/>
      <c r="AX652" s="197"/>
      <c r="AY652" s="197"/>
      <c r="AZ652" s="197"/>
      <c r="BA652" s="197"/>
      <c r="BB652" s="129"/>
      <c r="BC652" s="129"/>
      <c r="BD652" s="129"/>
      <c r="BE652" s="129"/>
      <c r="BF652" s="129"/>
      <c r="BG652" s="129"/>
      <c r="BH652" s="129"/>
      <c r="BI652" s="129"/>
      <c r="BJ652" s="129"/>
      <c r="BK652" s="129"/>
      <c r="BL652" s="129">
        <v>1</v>
      </c>
      <c r="BM652" s="197"/>
    </row>
    <row r="653" spans="1:65" x14ac:dyDescent="0.25">
      <c r="A653" s="157" t="s">
        <v>351</v>
      </c>
      <c r="B653" s="157" t="s">
        <v>26</v>
      </c>
      <c r="C653" s="172" t="s">
        <v>222</v>
      </c>
      <c r="D653" s="161">
        <v>4</v>
      </c>
      <c r="E653" s="29" t="str">
        <f t="shared" si="180"/>
        <v>Net additions prior to 1 April 2012</v>
      </c>
      <c r="F653" s="122">
        <v>0</v>
      </c>
      <c r="G653" s="122">
        <v>0</v>
      </c>
      <c r="H653" s="122">
        <v>0</v>
      </c>
      <c r="I653" s="122">
        <v>0</v>
      </c>
      <c r="J653" s="122">
        <v>0</v>
      </c>
      <c r="K653" s="122">
        <v>0</v>
      </c>
      <c r="L653" s="122">
        <v>0</v>
      </c>
      <c r="M653" s="122">
        <v>0</v>
      </c>
      <c r="N653" s="122">
        <v>0</v>
      </c>
      <c r="O653" s="122">
        <v>0</v>
      </c>
      <c r="P653" s="122">
        <v>0</v>
      </c>
      <c r="Q653" s="122">
        <v>0</v>
      </c>
      <c r="R653" s="122">
        <v>0</v>
      </c>
      <c r="S653" s="122">
        <v>0</v>
      </c>
      <c r="T653" s="122">
        <v>0</v>
      </c>
      <c r="U653" s="122">
        <v>0</v>
      </c>
      <c r="V653" s="54"/>
      <c r="W653" s="54"/>
      <c r="X653" s="54"/>
      <c r="Y653" s="54"/>
      <c r="Z653" s="54"/>
      <c r="AA653" s="54"/>
      <c r="AB653" s="54"/>
      <c r="AC653" s="54"/>
      <c r="AD653" s="54"/>
      <c r="AE653" s="54"/>
      <c r="AF653" s="54"/>
      <c r="AG653" s="54"/>
      <c r="AH653" s="54"/>
      <c r="AI653" s="117">
        <f t="shared" si="181"/>
        <v>0</v>
      </c>
      <c r="AJ653" s="117">
        <f t="shared" si="182"/>
        <v>0</v>
      </c>
      <c r="AK653" s="117">
        <f t="shared" si="183"/>
        <v>0</v>
      </c>
      <c r="AL653" s="23"/>
      <c r="AM653" s="127" t="b">
        <f t="shared" si="184"/>
        <v>0</v>
      </c>
      <c r="AN653" s="127" t="str">
        <f t="shared" si="185"/>
        <v/>
      </c>
      <c r="AO653" s="129"/>
      <c r="AP653" s="129"/>
      <c r="AQ653" s="129"/>
      <c r="AR653" s="129">
        <v>1</v>
      </c>
      <c r="AS653" s="129">
        <v>1</v>
      </c>
      <c r="AT653" s="129">
        <v>1</v>
      </c>
      <c r="AU653" s="129">
        <v>1</v>
      </c>
      <c r="AV653" s="129">
        <v>1</v>
      </c>
      <c r="AW653" s="129"/>
      <c r="AX653" s="197"/>
      <c r="AY653" s="197"/>
      <c r="AZ653" s="197"/>
      <c r="BA653" s="197"/>
      <c r="BB653" s="129"/>
      <c r="BC653" s="129"/>
      <c r="BD653" s="129"/>
      <c r="BE653" s="129"/>
      <c r="BF653" s="129"/>
      <c r="BG653" s="129"/>
      <c r="BH653" s="129"/>
      <c r="BI653" s="129"/>
      <c r="BJ653" s="129"/>
      <c r="BK653" s="129"/>
      <c r="BL653" s="129">
        <v>1</v>
      </c>
      <c r="BM653" s="197"/>
    </row>
    <row r="654" spans="1:65" x14ac:dyDescent="0.25">
      <c r="A654" s="157" t="s">
        <v>351</v>
      </c>
      <c r="B654" s="157" t="s">
        <v>27</v>
      </c>
      <c r="C654" s="172" t="s">
        <v>222</v>
      </c>
      <c r="D654" s="161">
        <v>4</v>
      </c>
      <c r="E654" s="29" t="str">
        <f t="shared" si="180"/>
        <v>Net additions prior to 1 April 2012</v>
      </c>
      <c r="F654" s="122">
        <v>0</v>
      </c>
      <c r="G654" s="122">
        <v>0</v>
      </c>
      <c r="H654" s="122">
        <v>0</v>
      </c>
      <c r="I654" s="122">
        <v>0</v>
      </c>
      <c r="J654" s="122">
        <v>0</v>
      </c>
      <c r="K654" s="122">
        <v>0</v>
      </c>
      <c r="L654" s="122">
        <v>0</v>
      </c>
      <c r="M654" s="122">
        <v>0</v>
      </c>
      <c r="N654" s="122">
        <v>0</v>
      </c>
      <c r="O654" s="122">
        <v>0</v>
      </c>
      <c r="P654" s="122">
        <v>0</v>
      </c>
      <c r="Q654" s="122">
        <v>0</v>
      </c>
      <c r="R654" s="122">
        <v>0</v>
      </c>
      <c r="S654" s="122">
        <v>0</v>
      </c>
      <c r="T654" s="122">
        <v>0</v>
      </c>
      <c r="U654" s="122">
        <v>0</v>
      </c>
      <c r="V654" s="54"/>
      <c r="W654" s="54"/>
      <c r="X654" s="54"/>
      <c r="Y654" s="54"/>
      <c r="Z654" s="54"/>
      <c r="AA654" s="54"/>
      <c r="AB654" s="54"/>
      <c r="AC654" s="54"/>
      <c r="AD654" s="54"/>
      <c r="AE654" s="54"/>
      <c r="AF654" s="54"/>
      <c r="AG654" s="54"/>
      <c r="AH654" s="54"/>
      <c r="AI654" s="117">
        <f t="shared" si="181"/>
        <v>0</v>
      </c>
      <c r="AJ654" s="117">
        <f t="shared" si="182"/>
        <v>0</v>
      </c>
      <c r="AK654" s="117">
        <f t="shared" si="183"/>
        <v>0</v>
      </c>
      <c r="AL654" s="23"/>
      <c r="AM654" s="127" t="b">
        <f t="shared" si="184"/>
        <v>0</v>
      </c>
      <c r="AN654" s="127" t="str">
        <f t="shared" si="185"/>
        <v/>
      </c>
      <c r="AO654" s="129"/>
      <c r="AP654" s="129"/>
      <c r="AQ654" s="129"/>
      <c r="AR654" s="129">
        <v>1</v>
      </c>
      <c r="AS654" s="129">
        <v>1</v>
      </c>
      <c r="AT654" s="129">
        <v>1</v>
      </c>
      <c r="AU654" s="129">
        <v>1</v>
      </c>
      <c r="AV654" s="129">
        <v>1</v>
      </c>
      <c r="AW654" s="129"/>
      <c r="AX654" s="197"/>
      <c r="AY654" s="197"/>
      <c r="AZ654" s="197"/>
      <c r="BA654" s="197"/>
      <c r="BB654" s="129"/>
      <c r="BC654" s="129"/>
      <c r="BD654" s="129"/>
      <c r="BE654" s="129"/>
      <c r="BF654" s="129"/>
      <c r="BG654" s="129"/>
      <c r="BH654" s="129"/>
      <c r="BI654" s="129"/>
      <c r="BJ654" s="129"/>
      <c r="BK654" s="129"/>
      <c r="BL654" s="129">
        <v>1</v>
      </c>
      <c r="BM654" s="197"/>
    </row>
    <row r="655" spans="1:65" s="4" customFormat="1" x14ac:dyDescent="0.25">
      <c r="A655" s="180"/>
      <c r="B655" s="180"/>
      <c r="C655" s="180"/>
      <c r="D655" s="25"/>
      <c r="E655" s="25"/>
      <c r="F655" s="25"/>
      <c r="G655" s="25"/>
      <c r="H655" s="25"/>
      <c r="I655" s="25"/>
      <c r="J655" s="25"/>
      <c r="K655" s="25"/>
      <c r="L655" s="25"/>
      <c r="M655" s="26"/>
      <c r="N655" s="26"/>
      <c r="O655" s="26"/>
      <c r="P655" s="26"/>
      <c r="Q655" s="26"/>
      <c r="R655" s="26"/>
      <c r="S655" s="26"/>
      <c r="T655" s="26"/>
      <c r="U655" s="26"/>
      <c r="V655" s="25"/>
      <c r="W655" s="23"/>
      <c r="X655" s="23"/>
      <c r="Y655" s="23"/>
      <c r="Z655" s="23"/>
      <c r="AA655" s="23"/>
      <c r="AB655" s="23"/>
      <c r="AC655" s="23"/>
      <c r="AD655" s="23"/>
      <c r="AE655" s="23"/>
      <c r="AF655" s="23"/>
      <c r="AG655" s="23"/>
      <c r="AH655" s="23"/>
      <c r="AI655" s="54"/>
      <c r="AJ655" s="54"/>
      <c r="AK655" s="54"/>
      <c r="AL655" s="23"/>
      <c r="AM655" s="127"/>
      <c r="AN655" s="127"/>
      <c r="AO655" s="129"/>
      <c r="AP655" s="129"/>
      <c r="AQ655" s="129"/>
      <c r="AR655" s="129"/>
      <c r="AS655" s="129"/>
      <c r="AT655" s="129"/>
      <c r="AU655" s="129"/>
      <c r="AV655" s="129"/>
      <c r="AW655" s="129"/>
      <c r="AX655" s="197"/>
      <c r="AY655" s="197"/>
      <c r="AZ655" s="197"/>
      <c r="BA655" s="197"/>
      <c r="BB655" s="129"/>
      <c r="BC655" s="129"/>
      <c r="BD655" s="129"/>
      <c r="BE655" s="129"/>
      <c r="BF655" s="129"/>
      <c r="BG655" s="129"/>
      <c r="BH655" s="129"/>
      <c r="BI655" s="129"/>
      <c r="BJ655" s="129"/>
      <c r="BK655" s="129"/>
      <c r="BL655" s="129"/>
      <c r="BM655" s="197"/>
    </row>
    <row r="656" spans="1:65" s="4" customFormat="1" x14ac:dyDescent="0.25">
      <c r="A656" s="180"/>
      <c r="B656" s="180"/>
      <c r="C656" s="180"/>
      <c r="D656" s="46"/>
      <c r="E656" s="46"/>
      <c r="F656" s="54"/>
      <c r="G656" s="54"/>
      <c r="H656" s="54"/>
      <c r="I656" s="54"/>
      <c r="J656" s="54"/>
      <c r="K656" s="54"/>
      <c r="L656" s="54"/>
      <c r="M656" s="54"/>
      <c r="N656" s="54"/>
      <c r="O656" s="54"/>
      <c r="P656" s="54"/>
      <c r="Q656" s="54"/>
      <c r="R656" s="54"/>
      <c r="S656" s="54"/>
      <c r="T656" s="54"/>
      <c r="U656" s="54"/>
      <c r="V656" s="54"/>
      <c r="W656" s="55"/>
      <c r="X656" s="55"/>
      <c r="Y656" s="55"/>
      <c r="Z656" s="55"/>
      <c r="AA656" s="55"/>
      <c r="AB656" s="55"/>
      <c r="AC656" s="55"/>
      <c r="AD656" s="55"/>
      <c r="AE656" s="55"/>
      <c r="AF656" s="55"/>
      <c r="AG656" s="55"/>
      <c r="AH656" s="55"/>
      <c r="AI656" s="54"/>
      <c r="AJ656" s="54"/>
      <c r="AK656" s="54"/>
      <c r="AL656" s="23"/>
      <c r="AM656" s="127"/>
      <c r="AN656" s="127"/>
      <c r="AO656" s="129"/>
      <c r="AP656" s="129"/>
      <c r="AQ656" s="129"/>
      <c r="AR656" s="129"/>
      <c r="AS656" s="129"/>
      <c r="AT656" s="129"/>
      <c r="AU656" s="129"/>
      <c r="AV656" s="129"/>
      <c r="AW656" s="129"/>
      <c r="AX656" s="197"/>
      <c r="AY656" s="197"/>
      <c r="AZ656" s="197"/>
      <c r="BA656" s="197"/>
      <c r="BB656" s="129"/>
      <c r="BC656" s="129"/>
      <c r="BD656" s="129"/>
      <c r="BE656" s="129"/>
      <c r="BF656" s="129"/>
      <c r="BG656" s="129"/>
      <c r="BH656" s="129"/>
      <c r="BI656" s="129"/>
      <c r="BJ656" s="129"/>
      <c r="BK656" s="129"/>
      <c r="BL656" s="129"/>
      <c r="BM656" s="197"/>
    </row>
    <row r="657" spans="1:65" s="4" customFormat="1" x14ac:dyDescent="0.25">
      <c r="A657" s="180" t="s">
        <v>428</v>
      </c>
      <c r="B657" s="180" t="s">
        <v>22</v>
      </c>
      <c r="C657" s="180" t="s">
        <v>222</v>
      </c>
      <c r="D657" s="161">
        <v>1</v>
      </c>
      <c r="E657" s="29" t="str">
        <f t="shared" ref="E657:E662" si="186">INDEX(ra_ScName,MATCH(D657,ra_ScNumber,0))</f>
        <v>Expected nominal return (incl forecast asset revaluations)</v>
      </c>
      <c r="F657" s="122">
        <v>0</v>
      </c>
      <c r="G657" s="122">
        <v>0</v>
      </c>
      <c r="H657" s="122">
        <v>0</v>
      </c>
      <c r="I657" s="122">
        <v>0</v>
      </c>
      <c r="J657" s="122">
        <v>0</v>
      </c>
      <c r="K657" s="122">
        <v>0</v>
      </c>
      <c r="L657" s="122">
        <v>0</v>
      </c>
      <c r="M657" s="122">
        <v>0</v>
      </c>
      <c r="N657" s="122">
        <v>0</v>
      </c>
      <c r="O657" s="122">
        <v>0</v>
      </c>
      <c r="P657" s="122">
        <v>0</v>
      </c>
      <c r="Q657" s="122">
        <v>0</v>
      </c>
      <c r="R657" s="122">
        <v>0</v>
      </c>
      <c r="S657" s="122">
        <v>0</v>
      </c>
      <c r="T657" s="122">
        <v>0</v>
      </c>
      <c r="U657" s="122">
        <v>0</v>
      </c>
      <c r="V657" s="54"/>
      <c r="W657" s="54"/>
      <c r="X657" s="54"/>
      <c r="Y657" s="54"/>
      <c r="Z657" s="54"/>
      <c r="AA657" s="54"/>
      <c r="AB657" s="54"/>
      <c r="AC657" s="54"/>
      <c r="AD657" s="54"/>
      <c r="AE657" s="54"/>
      <c r="AF657" s="54"/>
      <c r="AG657" s="54"/>
      <c r="AH657" s="54"/>
      <c r="AI657" s="117">
        <f t="shared" ref="AI657:AI662" si="187">SUM(F657:AH657)</f>
        <v>0</v>
      </c>
      <c r="AJ657" s="117">
        <f t="shared" ref="AJ657:AJ662" si="188">SUM(F657:U657)</f>
        <v>0</v>
      </c>
      <c r="AK657" s="117">
        <f t="shared" ref="AK657:AK662" si="189">SUM(W657:AH657)</f>
        <v>0</v>
      </c>
      <c r="AL657" s="23"/>
      <c r="AM657" s="127" t="b">
        <f t="shared" ref="AM657:AM662" si="190">IF(INDEX($AO657:$BM657,0,$F$14)=1,TRUE,FALSE)</f>
        <v>0</v>
      </c>
      <c r="AN657" s="127" t="str">
        <f t="shared" ref="AN657:AN662" si="191">IF(AM657,A657&amp;", "&amp;B657,"")</f>
        <v/>
      </c>
      <c r="AO657" s="129">
        <v>1</v>
      </c>
      <c r="AP657" s="129">
        <v>1</v>
      </c>
      <c r="AQ657" s="129">
        <v>1</v>
      </c>
      <c r="AR657" s="129"/>
      <c r="AS657" s="129"/>
      <c r="AT657" s="129"/>
      <c r="AU657" s="129"/>
      <c r="AV657" s="129"/>
      <c r="AW657" s="129"/>
      <c r="AX657" s="197"/>
      <c r="AY657" s="197"/>
      <c r="AZ657" s="197"/>
      <c r="BA657" s="197"/>
      <c r="BB657" s="129"/>
      <c r="BC657" s="129"/>
      <c r="BD657" s="129"/>
      <c r="BE657" s="129"/>
      <c r="BF657" s="129"/>
      <c r="BG657" s="129"/>
      <c r="BH657" s="129"/>
      <c r="BI657" s="129"/>
      <c r="BJ657" s="129"/>
      <c r="BK657" s="129"/>
      <c r="BL657" s="129"/>
      <c r="BM657" s="197"/>
    </row>
    <row r="658" spans="1:65" s="4" customFormat="1" x14ac:dyDescent="0.25">
      <c r="A658" s="180" t="s">
        <v>428</v>
      </c>
      <c r="B658" s="180" t="s">
        <v>23</v>
      </c>
      <c r="C658" s="180" t="s">
        <v>222</v>
      </c>
      <c r="D658" s="161">
        <v>1</v>
      </c>
      <c r="E658" s="29" t="str">
        <f t="shared" si="186"/>
        <v>Expected nominal return (incl forecast asset revaluations)</v>
      </c>
      <c r="F658" s="122">
        <v>0</v>
      </c>
      <c r="G658" s="122">
        <v>0</v>
      </c>
      <c r="H658" s="122">
        <v>0</v>
      </c>
      <c r="I658" s="122">
        <v>0</v>
      </c>
      <c r="J658" s="122">
        <v>0</v>
      </c>
      <c r="K658" s="122">
        <v>0</v>
      </c>
      <c r="L658" s="122">
        <v>0</v>
      </c>
      <c r="M658" s="122">
        <v>0</v>
      </c>
      <c r="N658" s="122">
        <v>0</v>
      </c>
      <c r="O658" s="122">
        <v>0</v>
      </c>
      <c r="P658" s="122">
        <v>0</v>
      </c>
      <c r="Q658" s="122">
        <v>0</v>
      </c>
      <c r="R658" s="122">
        <v>0</v>
      </c>
      <c r="S658" s="122">
        <v>0</v>
      </c>
      <c r="T658" s="122">
        <v>0</v>
      </c>
      <c r="U658" s="122">
        <v>0</v>
      </c>
      <c r="V658" s="54"/>
      <c r="W658" s="54"/>
      <c r="X658" s="54"/>
      <c r="Y658" s="54"/>
      <c r="Z658" s="54"/>
      <c r="AA658" s="54"/>
      <c r="AB658" s="54"/>
      <c r="AC658" s="54"/>
      <c r="AD658" s="54"/>
      <c r="AE658" s="54"/>
      <c r="AF658" s="54"/>
      <c r="AG658" s="54"/>
      <c r="AH658" s="54"/>
      <c r="AI658" s="117">
        <f t="shared" si="187"/>
        <v>0</v>
      </c>
      <c r="AJ658" s="117">
        <f t="shared" si="188"/>
        <v>0</v>
      </c>
      <c r="AK658" s="117">
        <f t="shared" si="189"/>
        <v>0</v>
      </c>
      <c r="AL658" s="23"/>
      <c r="AM658" s="127" t="b">
        <f t="shared" si="190"/>
        <v>0</v>
      </c>
      <c r="AN658" s="127" t="str">
        <f t="shared" si="191"/>
        <v/>
      </c>
      <c r="AO658" s="129">
        <v>1</v>
      </c>
      <c r="AP658" s="129">
        <v>1</v>
      </c>
      <c r="AQ658" s="129">
        <v>1</v>
      </c>
      <c r="AR658" s="129"/>
      <c r="AS658" s="129"/>
      <c r="AT658" s="129"/>
      <c r="AU658" s="129"/>
      <c r="AV658" s="129"/>
      <c r="AW658" s="129"/>
      <c r="AX658" s="197"/>
      <c r="AY658" s="197"/>
      <c r="AZ658" s="197"/>
      <c r="BA658" s="197"/>
      <c r="BB658" s="129"/>
      <c r="BC658" s="129"/>
      <c r="BD658" s="129"/>
      <c r="BE658" s="129"/>
      <c r="BF658" s="129"/>
      <c r="BG658" s="129"/>
      <c r="BH658" s="129"/>
      <c r="BI658" s="129"/>
      <c r="BJ658" s="129"/>
      <c r="BK658" s="129"/>
      <c r="BL658" s="129"/>
      <c r="BM658" s="197"/>
    </row>
    <row r="659" spans="1:65" s="4" customFormat="1" x14ac:dyDescent="0.25">
      <c r="A659" s="180" t="s">
        <v>428</v>
      </c>
      <c r="B659" s="180" t="s">
        <v>24</v>
      </c>
      <c r="C659" s="180" t="s">
        <v>222</v>
      </c>
      <c r="D659" s="161">
        <v>1</v>
      </c>
      <c r="E659" s="29" t="str">
        <f t="shared" si="186"/>
        <v>Expected nominal return (incl forecast asset revaluations)</v>
      </c>
      <c r="F659" s="122">
        <v>0</v>
      </c>
      <c r="G659" s="122">
        <v>0</v>
      </c>
      <c r="H659" s="122">
        <v>0</v>
      </c>
      <c r="I659" s="122">
        <v>0</v>
      </c>
      <c r="J659" s="122">
        <v>0</v>
      </c>
      <c r="K659" s="122">
        <v>0</v>
      </c>
      <c r="L659" s="122">
        <v>0</v>
      </c>
      <c r="M659" s="122">
        <v>0</v>
      </c>
      <c r="N659" s="122">
        <v>0</v>
      </c>
      <c r="O659" s="122">
        <v>0</v>
      </c>
      <c r="P659" s="122">
        <v>0</v>
      </c>
      <c r="Q659" s="122">
        <v>0</v>
      </c>
      <c r="R659" s="122">
        <v>0</v>
      </c>
      <c r="S659" s="122">
        <v>0</v>
      </c>
      <c r="T659" s="122">
        <v>0</v>
      </c>
      <c r="U659" s="122">
        <v>0</v>
      </c>
      <c r="V659" s="54"/>
      <c r="W659" s="54"/>
      <c r="X659" s="54"/>
      <c r="Y659" s="54"/>
      <c r="Z659" s="54"/>
      <c r="AA659" s="54"/>
      <c r="AB659" s="54"/>
      <c r="AC659" s="54"/>
      <c r="AD659" s="54"/>
      <c r="AE659" s="54"/>
      <c r="AF659" s="54"/>
      <c r="AG659" s="54"/>
      <c r="AH659" s="54"/>
      <c r="AI659" s="117">
        <f t="shared" si="187"/>
        <v>0</v>
      </c>
      <c r="AJ659" s="117">
        <f t="shared" si="188"/>
        <v>0</v>
      </c>
      <c r="AK659" s="117">
        <f t="shared" si="189"/>
        <v>0</v>
      </c>
      <c r="AL659" s="23"/>
      <c r="AM659" s="127" t="b">
        <f t="shared" si="190"/>
        <v>0</v>
      </c>
      <c r="AN659" s="127" t="str">
        <f t="shared" si="191"/>
        <v/>
      </c>
      <c r="AO659" s="129">
        <v>1</v>
      </c>
      <c r="AP659" s="129">
        <v>1</v>
      </c>
      <c r="AQ659" s="129">
        <v>1</v>
      </c>
      <c r="AR659" s="129"/>
      <c r="AS659" s="129"/>
      <c r="AT659" s="129"/>
      <c r="AU659" s="129"/>
      <c r="AV659" s="129"/>
      <c r="AW659" s="129"/>
      <c r="AX659" s="197"/>
      <c r="AY659" s="197"/>
      <c r="AZ659" s="197"/>
      <c r="BA659" s="197"/>
      <c r="BB659" s="129"/>
      <c r="BC659" s="129"/>
      <c r="BD659" s="129"/>
      <c r="BE659" s="129"/>
      <c r="BF659" s="129"/>
      <c r="BG659" s="129"/>
      <c r="BH659" s="129"/>
      <c r="BI659" s="129"/>
      <c r="BJ659" s="129"/>
      <c r="BK659" s="129"/>
      <c r="BL659" s="129"/>
      <c r="BM659" s="197"/>
    </row>
    <row r="660" spans="1:65" s="4" customFormat="1" x14ac:dyDescent="0.25">
      <c r="A660" s="180" t="s">
        <v>428</v>
      </c>
      <c r="B660" s="180" t="s">
        <v>25</v>
      </c>
      <c r="C660" s="180" t="s">
        <v>222</v>
      </c>
      <c r="D660" s="161">
        <v>1</v>
      </c>
      <c r="E660" s="29" t="str">
        <f t="shared" si="186"/>
        <v>Expected nominal return (incl forecast asset revaluations)</v>
      </c>
      <c r="F660" s="122">
        <v>0</v>
      </c>
      <c r="G660" s="122">
        <v>0</v>
      </c>
      <c r="H660" s="122">
        <v>0</v>
      </c>
      <c r="I660" s="122">
        <v>0</v>
      </c>
      <c r="J660" s="122">
        <v>0</v>
      </c>
      <c r="K660" s="122">
        <v>0</v>
      </c>
      <c r="L660" s="122">
        <v>0</v>
      </c>
      <c r="M660" s="122">
        <v>0</v>
      </c>
      <c r="N660" s="122">
        <v>0</v>
      </c>
      <c r="O660" s="122">
        <v>0</v>
      </c>
      <c r="P660" s="122">
        <v>0</v>
      </c>
      <c r="Q660" s="122">
        <v>0</v>
      </c>
      <c r="R660" s="122">
        <v>0</v>
      </c>
      <c r="S660" s="122">
        <v>0</v>
      </c>
      <c r="T660" s="122">
        <v>0</v>
      </c>
      <c r="U660" s="122">
        <v>0</v>
      </c>
      <c r="V660" s="54"/>
      <c r="W660" s="54"/>
      <c r="X660" s="54"/>
      <c r="Y660" s="54"/>
      <c r="Z660" s="54"/>
      <c r="AA660" s="54"/>
      <c r="AB660" s="54"/>
      <c r="AC660" s="54"/>
      <c r="AD660" s="54"/>
      <c r="AE660" s="54"/>
      <c r="AF660" s="54"/>
      <c r="AG660" s="54"/>
      <c r="AH660" s="54"/>
      <c r="AI660" s="117">
        <f t="shared" si="187"/>
        <v>0</v>
      </c>
      <c r="AJ660" s="117">
        <f t="shared" si="188"/>
        <v>0</v>
      </c>
      <c r="AK660" s="117">
        <f t="shared" si="189"/>
        <v>0</v>
      </c>
      <c r="AL660" s="23"/>
      <c r="AM660" s="127" t="b">
        <f t="shared" si="190"/>
        <v>0</v>
      </c>
      <c r="AN660" s="127" t="str">
        <f t="shared" si="191"/>
        <v/>
      </c>
      <c r="AO660" s="129">
        <v>1</v>
      </c>
      <c r="AP660" s="129">
        <v>1</v>
      </c>
      <c r="AQ660" s="129">
        <v>1</v>
      </c>
      <c r="AR660" s="129"/>
      <c r="AS660" s="129"/>
      <c r="AT660" s="129"/>
      <c r="AU660" s="129"/>
      <c r="AV660" s="129"/>
      <c r="AW660" s="129"/>
      <c r="AX660" s="197"/>
      <c r="AY660" s="197"/>
      <c r="AZ660" s="197"/>
      <c r="BA660" s="197"/>
      <c r="BB660" s="129"/>
      <c r="BC660" s="129"/>
      <c r="BD660" s="129"/>
      <c r="BE660" s="129"/>
      <c r="BF660" s="129"/>
      <c r="BG660" s="129"/>
      <c r="BH660" s="129"/>
      <c r="BI660" s="129"/>
      <c r="BJ660" s="129"/>
      <c r="BK660" s="129"/>
      <c r="BL660" s="129"/>
      <c r="BM660" s="197"/>
    </row>
    <row r="661" spans="1:65" s="4" customFormat="1" x14ac:dyDescent="0.25">
      <c r="A661" s="180" t="s">
        <v>428</v>
      </c>
      <c r="B661" s="180" t="s">
        <v>26</v>
      </c>
      <c r="C661" s="180" t="s">
        <v>222</v>
      </c>
      <c r="D661" s="161">
        <v>1</v>
      </c>
      <c r="E661" s="29" t="str">
        <f t="shared" si="186"/>
        <v>Expected nominal return (incl forecast asset revaluations)</v>
      </c>
      <c r="F661" s="122">
        <v>0</v>
      </c>
      <c r="G661" s="122">
        <v>0</v>
      </c>
      <c r="H661" s="122">
        <v>0</v>
      </c>
      <c r="I661" s="122">
        <v>0</v>
      </c>
      <c r="J661" s="122">
        <v>0</v>
      </c>
      <c r="K661" s="122">
        <v>0</v>
      </c>
      <c r="L661" s="122">
        <v>0</v>
      </c>
      <c r="M661" s="122">
        <v>0</v>
      </c>
      <c r="N661" s="122">
        <v>0</v>
      </c>
      <c r="O661" s="122">
        <v>0</v>
      </c>
      <c r="P661" s="122">
        <v>0</v>
      </c>
      <c r="Q661" s="122">
        <v>0</v>
      </c>
      <c r="R661" s="122">
        <v>0</v>
      </c>
      <c r="S661" s="122">
        <v>0</v>
      </c>
      <c r="T661" s="122">
        <v>0</v>
      </c>
      <c r="U661" s="122">
        <v>0</v>
      </c>
      <c r="V661" s="54"/>
      <c r="W661" s="54"/>
      <c r="X661" s="54"/>
      <c r="Y661" s="54"/>
      <c r="Z661" s="54"/>
      <c r="AA661" s="54"/>
      <c r="AB661" s="54"/>
      <c r="AC661" s="54"/>
      <c r="AD661" s="54"/>
      <c r="AE661" s="54"/>
      <c r="AF661" s="54"/>
      <c r="AG661" s="54"/>
      <c r="AH661" s="54"/>
      <c r="AI661" s="117">
        <f t="shared" si="187"/>
        <v>0</v>
      </c>
      <c r="AJ661" s="117">
        <f t="shared" si="188"/>
        <v>0</v>
      </c>
      <c r="AK661" s="117">
        <f t="shared" si="189"/>
        <v>0</v>
      </c>
      <c r="AL661" s="23"/>
      <c r="AM661" s="127" t="b">
        <f t="shared" si="190"/>
        <v>0</v>
      </c>
      <c r="AN661" s="127" t="str">
        <f t="shared" si="191"/>
        <v/>
      </c>
      <c r="AO661" s="129">
        <v>1</v>
      </c>
      <c r="AP661" s="129">
        <v>1</v>
      </c>
      <c r="AQ661" s="129">
        <v>1</v>
      </c>
      <c r="AR661" s="129"/>
      <c r="AS661" s="129"/>
      <c r="AT661" s="129"/>
      <c r="AU661" s="129"/>
      <c r="AV661" s="129"/>
      <c r="AW661" s="129"/>
      <c r="AX661" s="197"/>
      <c r="AY661" s="197"/>
      <c r="AZ661" s="197"/>
      <c r="BA661" s="197"/>
      <c r="BB661" s="129"/>
      <c r="BC661" s="129"/>
      <c r="BD661" s="129"/>
      <c r="BE661" s="129"/>
      <c r="BF661" s="129"/>
      <c r="BG661" s="129"/>
      <c r="BH661" s="129"/>
      <c r="BI661" s="129"/>
      <c r="BJ661" s="129"/>
      <c r="BK661" s="129"/>
      <c r="BL661" s="129"/>
      <c r="BM661" s="197"/>
    </row>
    <row r="662" spans="1:65" s="4" customFormat="1" x14ac:dyDescent="0.25">
      <c r="A662" s="180" t="s">
        <v>428</v>
      </c>
      <c r="B662" s="180" t="s">
        <v>27</v>
      </c>
      <c r="C662" s="180" t="s">
        <v>222</v>
      </c>
      <c r="D662" s="161">
        <v>1</v>
      </c>
      <c r="E662" s="29" t="str">
        <f t="shared" si="186"/>
        <v>Expected nominal return (incl forecast asset revaluations)</v>
      </c>
      <c r="F662" s="122">
        <v>0</v>
      </c>
      <c r="G662" s="122">
        <v>0</v>
      </c>
      <c r="H662" s="122">
        <v>0</v>
      </c>
      <c r="I662" s="122">
        <v>0</v>
      </c>
      <c r="J662" s="122">
        <v>0</v>
      </c>
      <c r="K662" s="122">
        <v>0</v>
      </c>
      <c r="L662" s="122">
        <v>0</v>
      </c>
      <c r="M662" s="122">
        <v>0</v>
      </c>
      <c r="N662" s="122">
        <v>0</v>
      </c>
      <c r="O662" s="122">
        <v>0</v>
      </c>
      <c r="P662" s="122">
        <v>0</v>
      </c>
      <c r="Q662" s="122">
        <v>0</v>
      </c>
      <c r="R662" s="122">
        <v>0</v>
      </c>
      <c r="S662" s="122">
        <v>0</v>
      </c>
      <c r="T662" s="122">
        <v>0</v>
      </c>
      <c r="U662" s="122">
        <v>0</v>
      </c>
      <c r="V662" s="54"/>
      <c r="W662" s="54"/>
      <c r="X662" s="54"/>
      <c r="Y662" s="54"/>
      <c r="Z662" s="54"/>
      <c r="AA662" s="54"/>
      <c r="AB662" s="54"/>
      <c r="AC662" s="54"/>
      <c r="AD662" s="54"/>
      <c r="AE662" s="54"/>
      <c r="AF662" s="54"/>
      <c r="AG662" s="54"/>
      <c r="AH662" s="54"/>
      <c r="AI662" s="117">
        <f t="shared" si="187"/>
        <v>0</v>
      </c>
      <c r="AJ662" s="117">
        <f t="shared" si="188"/>
        <v>0</v>
      </c>
      <c r="AK662" s="117">
        <f t="shared" si="189"/>
        <v>0</v>
      </c>
      <c r="AL662" s="23"/>
      <c r="AM662" s="127" t="b">
        <f t="shared" si="190"/>
        <v>0</v>
      </c>
      <c r="AN662" s="127" t="str">
        <f t="shared" si="191"/>
        <v/>
      </c>
      <c r="AO662" s="129">
        <v>1</v>
      </c>
      <c r="AP662" s="129">
        <v>1</v>
      </c>
      <c r="AQ662" s="129">
        <v>1</v>
      </c>
      <c r="AR662" s="129"/>
      <c r="AS662" s="129"/>
      <c r="AT662" s="129"/>
      <c r="AU662" s="129"/>
      <c r="AV662" s="129"/>
      <c r="AW662" s="129"/>
      <c r="AX662" s="197"/>
      <c r="AY662" s="197"/>
      <c r="AZ662" s="197"/>
      <c r="BA662" s="197"/>
      <c r="BB662" s="129"/>
      <c r="BC662" s="129"/>
      <c r="BD662" s="129"/>
      <c r="BE662" s="129"/>
      <c r="BF662" s="129"/>
      <c r="BG662" s="129"/>
      <c r="BH662" s="129"/>
      <c r="BI662" s="129"/>
      <c r="BJ662" s="129"/>
      <c r="BK662" s="129"/>
      <c r="BL662" s="129"/>
      <c r="BM662" s="197"/>
    </row>
    <row r="663" spans="1:65" s="4" customFormat="1" x14ac:dyDescent="0.25">
      <c r="A663" s="180"/>
      <c r="B663" s="180"/>
      <c r="C663" s="180"/>
      <c r="D663" s="25"/>
      <c r="E663" s="25"/>
      <c r="F663" s="25"/>
      <c r="G663" s="25"/>
      <c r="H663" s="25"/>
      <c r="I663" s="25"/>
      <c r="J663" s="25"/>
      <c r="K663" s="25"/>
      <c r="L663" s="25"/>
      <c r="M663" s="26"/>
      <c r="N663" s="26"/>
      <c r="O663" s="26"/>
      <c r="P663" s="26"/>
      <c r="Q663" s="26"/>
      <c r="R663" s="26"/>
      <c r="S663" s="26"/>
      <c r="T663" s="26"/>
      <c r="U663" s="26"/>
      <c r="V663" s="25"/>
      <c r="W663" s="23"/>
      <c r="X663" s="23"/>
      <c r="Y663" s="23"/>
      <c r="Z663" s="23"/>
      <c r="AA663" s="23"/>
      <c r="AB663" s="23"/>
      <c r="AC663" s="23"/>
      <c r="AD663" s="23"/>
      <c r="AE663" s="23"/>
      <c r="AF663" s="23"/>
      <c r="AG663" s="23"/>
      <c r="AH663" s="23"/>
      <c r="AI663" s="54"/>
      <c r="AJ663" s="54"/>
      <c r="AK663" s="54"/>
      <c r="AL663" s="23"/>
      <c r="AM663" s="127"/>
      <c r="AN663" s="127"/>
      <c r="AO663" s="129"/>
      <c r="AP663" s="129"/>
      <c r="AQ663" s="129"/>
      <c r="AR663" s="129"/>
      <c r="AS663" s="129"/>
      <c r="AT663" s="129"/>
      <c r="AU663" s="129"/>
      <c r="AV663" s="129"/>
      <c r="AW663" s="129"/>
      <c r="AX663" s="197"/>
      <c r="AY663" s="197"/>
      <c r="AZ663" s="197"/>
      <c r="BA663" s="197"/>
      <c r="BB663" s="129"/>
      <c r="BC663" s="129"/>
      <c r="BD663" s="129"/>
      <c r="BE663" s="129"/>
      <c r="BF663" s="129"/>
      <c r="BG663" s="129"/>
      <c r="BH663" s="129"/>
      <c r="BI663" s="129"/>
      <c r="BJ663" s="129"/>
      <c r="BK663" s="129"/>
      <c r="BL663" s="129"/>
      <c r="BM663" s="197"/>
    </row>
    <row r="664" spans="1:65" s="4" customFormat="1" x14ac:dyDescent="0.25">
      <c r="A664" s="180"/>
      <c r="B664" s="180"/>
      <c r="C664" s="180"/>
      <c r="D664" s="46"/>
      <c r="E664" s="46"/>
      <c r="F664" s="54"/>
      <c r="G664" s="54"/>
      <c r="H664" s="54"/>
      <c r="I664" s="54"/>
      <c r="J664" s="54"/>
      <c r="K664" s="54"/>
      <c r="L664" s="54"/>
      <c r="M664" s="54"/>
      <c r="N664" s="54"/>
      <c r="O664" s="54"/>
      <c r="P664" s="54"/>
      <c r="Q664" s="54"/>
      <c r="R664" s="54"/>
      <c r="S664" s="54"/>
      <c r="T664" s="54"/>
      <c r="U664" s="54"/>
      <c r="V664" s="54"/>
      <c r="W664" s="55"/>
      <c r="X664" s="55"/>
      <c r="Y664" s="55"/>
      <c r="Z664" s="55"/>
      <c r="AA664" s="55"/>
      <c r="AB664" s="55"/>
      <c r="AC664" s="55"/>
      <c r="AD664" s="55"/>
      <c r="AE664" s="55"/>
      <c r="AF664" s="55"/>
      <c r="AG664" s="55"/>
      <c r="AH664" s="55"/>
      <c r="AI664" s="54"/>
      <c r="AJ664" s="54"/>
      <c r="AK664" s="54"/>
      <c r="AL664" s="23"/>
      <c r="AM664" s="127"/>
      <c r="AN664" s="127"/>
      <c r="AO664" s="129"/>
      <c r="AP664" s="129"/>
      <c r="AQ664" s="129"/>
      <c r="AR664" s="129"/>
      <c r="AS664" s="129"/>
      <c r="AT664" s="129"/>
      <c r="AU664" s="129"/>
      <c r="AV664" s="129"/>
      <c r="AW664" s="129"/>
      <c r="AX664" s="197"/>
      <c r="AY664" s="197"/>
      <c r="AZ664" s="197"/>
      <c r="BA664" s="197"/>
      <c r="BB664" s="129"/>
      <c r="BC664" s="129"/>
      <c r="BD664" s="129"/>
      <c r="BE664" s="129"/>
      <c r="BF664" s="129"/>
      <c r="BG664" s="129"/>
      <c r="BH664" s="129"/>
      <c r="BI664" s="129"/>
      <c r="BJ664" s="129"/>
      <c r="BK664" s="129"/>
      <c r="BL664" s="129"/>
      <c r="BM664" s="197"/>
    </row>
    <row r="665" spans="1:65" s="4" customFormat="1" x14ac:dyDescent="0.25">
      <c r="A665" s="180" t="s">
        <v>428</v>
      </c>
      <c r="B665" s="180" t="s">
        <v>22</v>
      </c>
      <c r="C665" s="180" t="s">
        <v>222</v>
      </c>
      <c r="D665" s="161">
        <v>4</v>
      </c>
      <c r="E665" s="29" t="str">
        <f t="shared" ref="E665:E670" si="192">INDEX(ra_ScName,MATCH(D665,ra_ScNumber,0))</f>
        <v>Net additions prior to 1 April 2012</v>
      </c>
      <c r="F665" s="122">
        <v>0</v>
      </c>
      <c r="G665" s="122">
        <v>0</v>
      </c>
      <c r="H665" s="122">
        <v>0</v>
      </c>
      <c r="I665" s="122">
        <v>0</v>
      </c>
      <c r="J665" s="122">
        <v>0</v>
      </c>
      <c r="K665" s="122">
        <v>0</v>
      </c>
      <c r="L665" s="122">
        <v>0</v>
      </c>
      <c r="M665" s="122">
        <v>0</v>
      </c>
      <c r="N665" s="122">
        <v>0</v>
      </c>
      <c r="O665" s="122">
        <v>0</v>
      </c>
      <c r="P665" s="122">
        <v>0</v>
      </c>
      <c r="Q665" s="122">
        <v>0</v>
      </c>
      <c r="R665" s="122">
        <v>0</v>
      </c>
      <c r="S665" s="122">
        <v>0</v>
      </c>
      <c r="T665" s="122">
        <v>0</v>
      </c>
      <c r="U665" s="122">
        <v>0</v>
      </c>
      <c r="V665" s="54"/>
      <c r="W665" s="54"/>
      <c r="X665" s="54"/>
      <c r="Y665" s="54"/>
      <c r="Z665" s="54"/>
      <c r="AA665" s="54"/>
      <c r="AB665" s="54"/>
      <c r="AC665" s="54"/>
      <c r="AD665" s="54"/>
      <c r="AE665" s="54"/>
      <c r="AF665" s="54"/>
      <c r="AG665" s="54"/>
      <c r="AH665" s="54"/>
      <c r="AI665" s="117">
        <f t="shared" ref="AI665:AI670" si="193">SUM(F665:AH665)</f>
        <v>0</v>
      </c>
      <c r="AJ665" s="117">
        <f t="shared" ref="AJ665:AJ670" si="194">SUM(F665:U665)</f>
        <v>0</v>
      </c>
      <c r="AK665" s="117">
        <f t="shared" ref="AK665:AK670" si="195">SUM(W665:AH665)</f>
        <v>0</v>
      </c>
      <c r="AL665" s="23"/>
      <c r="AM665" s="127" t="b">
        <f t="shared" ref="AM665:AM670" si="196">IF(INDEX($AO665:$BM665,0,$F$14)=1,TRUE,FALSE)</f>
        <v>0</v>
      </c>
      <c r="AN665" s="127" t="str">
        <f t="shared" ref="AN665:AN670" si="197">IF(AM665,A665&amp;", "&amp;B665,"")</f>
        <v/>
      </c>
      <c r="AO665" s="129"/>
      <c r="AP665" s="129"/>
      <c r="AQ665" s="129"/>
      <c r="AR665" s="129">
        <v>1</v>
      </c>
      <c r="AS665" s="129">
        <v>1</v>
      </c>
      <c r="AT665" s="129">
        <v>1</v>
      </c>
      <c r="AU665" s="129">
        <v>1</v>
      </c>
      <c r="AV665" s="129">
        <v>1</v>
      </c>
      <c r="AW665" s="129"/>
      <c r="AX665" s="197"/>
      <c r="AY665" s="197"/>
      <c r="AZ665" s="197"/>
      <c r="BA665" s="197"/>
      <c r="BB665" s="129"/>
      <c r="BC665" s="129"/>
      <c r="BD665" s="129"/>
      <c r="BE665" s="129"/>
      <c r="BF665" s="129"/>
      <c r="BG665" s="129"/>
      <c r="BH665" s="129"/>
      <c r="BI665" s="129"/>
      <c r="BJ665" s="129"/>
      <c r="BK665" s="129"/>
      <c r="BL665" s="129">
        <v>1</v>
      </c>
      <c r="BM665" s="197"/>
    </row>
    <row r="666" spans="1:65" s="4" customFormat="1" x14ac:dyDescent="0.25">
      <c r="A666" s="180" t="s">
        <v>428</v>
      </c>
      <c r="B666" s="180" t="s">
        <v>23</v>
      </c>
      <c r="C666" s="180" t="s">
        <v>222</v>
      </c>
      <c r="D666" s="161">
        <v>4</v>
      </c>
      <c r="E666" s="29" t="str">
        <f t="shared" si="192"/>
        <v>Net additions prior to 1 April 2012</v>
      </c>
      <c r="F666" s="122">
        <v>0</v>
      </c>
      <c r="G666" s="122">
        <v>0</v>
      </c>
      <c r="H666" s="122">
        <v>0</v>
      </c>
      <c r="I666" s="122">
        <v>0</v>
      </c>
      <c r="J666" s="122">
        <v>0</v>
      </c>
      <c r="K666" s="122">
        <v>0</v>
      </c>
      <c r="L666" s="122">
        <v>0</v>
      </c>
      <c r="M666" s="122">
        <v>0</v>
      </c>
      <c r="N666" s="122">
        <v>0</v>
      </c>
      <c r="O666" s="122">
        <v>0</v>
      </c>
      <c r="P666" s="122">
        <v>0</v>
      </c>
      <c r="Q666" s="122">
        <v>0</v>
      </c>
      <c r="R666" s="122">
        <v>0</v>
      </c>
      <c r="S666" s="122">
        <v>0</v>
      </c>
      <c r="T666" s="122">
        <v>0</v>
      </c>
      <c r="U666" s="122">
        <v>0</v>
      </c>
      <c r="V666" s="54"/>
      <c r="W666" s="54"/>
      <c r="X666" s="54"/>
      <c r="Y666" s="54"/>
      <c r="Z666" s="54"/>
      <c r="AA666" s="54"/>
      <c r="AB666" s="54"/>
      <c r="AC666" s="54"/>
      <c r="AD666" s="54"/>
      <c r="AE666" s="54"/>
      <c r="AF666" s="54"/>
      <c r="AG666" s="54"/>
      <c r="AH666" s="54"/>
      <c r="AI666" s="117">
        <f t="shared" si="193"/>
        <v>0</v>
      </c>
      <c r="AJ666" s="117">
        <f t="shared" si="194"/>
        <v>0</v>
      </c>
      <c r="AK666" s="117">
        <f t="shared" si="195"/>
        <v>0</v>
      </c>
      <c r="AL666" s="23"/>
      <c r="AM666" s="127" t="b">
        <f t="shared" si="196"/>
        <v>0</v>
      </c>
      <c r="AN666" s="127" t="str">
        <f t="shared" si="197"/>
        <v/>
      </c>
      <c r="AO666" s="129"/>
      <c r="AP666" s="129"/>
      <c r="AQ666" s="129"/>
      <c r="AR666" s="129">
        <v>1</v>
      </c>
      <c r="AS666" s="129">
        <v>1</v>
      </c>
      <c r="AT666" s="129">
        <v>1</v>
      </c>
      <c r="AU666" s="129">
        <v>1</v>
      </c>
      <c r="AV666" s="129">
        <v>1</v>
      </c>
      <c r="AW666" s="129"/>
      <c r="AX666" s="197"/>
      <c r="AY666" s="197"/>
      <c r="AZ666" s="197"/>
      <c r="BA666" s="197"/>
      <c r="BB666" s="129"/>
      <c r="BC666" s="129"/>
      <c r="BD666" s="129"/>
      <c r="BE666" s="129"/>
      <c r="BF666" s="129"/>
      <c r="BG666" s="129"/>
      <c r="BH666" s="129"/>
      <c r="BI666" s="129"/>
      <c r="BJ666" s="129"/>
      <c r="BK666" s="129"/>
      <c r="BL666" s="129">
        <v>1</v>
      </c>
      <c r="BM666" s="197"/>
    </row>
    <row r="667" spans="1:65" s="4" customFormat="1" x14ac:dyDescent="0.25">
      <c r="A667" s="180" t="s">
        <v>428</v>
      </c>
      <c r="B667" s="180" t="s">
        <v>24</v>
      </c>
      <c r="C667" s="180" t="s">
        <v>222</v>
      </c>
      <c r="D667" s="161">
        <v>4</v>
      </c>
      <c r="E667" s="29" t="str">
        <f t="shared" si="192"/>
        <v>Net additions prior to 1 April 2012</v>
      </c>
      <c r="F667" s="122">
        <v>0</v>
      </c>
      <c r="G667" s="122">
        <v>0</v>
      </c>
      <c r="H667" s="122">
        <v>0</v>
      </c>
      <c r="I667" s="122">
        <v>0</v>
      </c>
      <c r="J667" s="122">
        <v>0</v>
      </c>
      <c r="K667" s="122">
        <v>0</v>
      </c>
      <c r="L667" s="122">
        <v>0</v>
      </c>
      <c r="M667" s="122">
        <v>0</v>
      </c>
      <c r="N667" s="122">
        <v>0</v>
      </c>
      <c r="O667" s="122">
        <v>0</v>
      </c>
      <c r="P667" s="122">
        <v>0</v>
      </c>
      <c r="Q667" s="122">
        <v>0</v>
      </c>
      <c r="R667" s="122">
        <v>0</v>
      </c>
      <c r="S667" s="122">
        <v>0</v>
      </c>
      <c r="T667" s="122">
        <v>0</v>
      </c>
      <c r="U667" s="122">
        <v>0</v>
      </c>
      <c r="V667" s="54"/>
      <c r="W667" s="54"/>
      <c r="X667" s="54"/>
      <c r="Y667" s="54"/>
      <c r="Z667" s="54"/>
      <c r="AA667" s="54"/>
      <c r="AB667" s="54"/>
      <c r="AC667" s="54"/>
      <c r="AD667" s="54"/>
      <c r="AE667" s="54"/>
      <c r="AF667" s="54"/>
      <c r="AG667" s="54"/>
      <c r="AH667" s="54"/>
      <c r="AI667" s="117">
        <f t="shared" si="193"/>
        <v>0</v>
      </c>
      <c r="AJ667" s="117">
        <f t="shared" si="194"/>
        <v>0</v>
      </c>
      <c r="AK667" s="117">
        <f t="shared" si="195"/>
        <v>0</v>
      </c>
      <c r="AL667" s="23"/>
      <c r="AM667" s="127" t="b">
        <f t="shared" si="196"/>
        <v>0</v>
      </c>
      <c r="AN667" s="127" t="str">
        <f t="shared" si="197"/>
        <v/>
      </c>
      <c r="AO667" s="129"/>
      <c r="AP667" s="129"/>
      <c r="AQ667" s="129"/>
      <c r="AR667" s="129">
        <v>1</v>
      </c>
      <c r="AS667" s="129">
        <v>1</v>
      </c>
      <c r="AT667" s="129">
        <v>1</v>
      </c>
      <c r="AU667" s="129">
        <v>1</v>
      </c>
      <c r="AV667" s="129">
        <v>1</v>
      </c>
      <c r="AW667" s="129"/>
      <c r="AX667" s="197"/>
      <c r="AY667" s="197"/>
      <c r="AZ667" s="197"/>
      <c r="BA667" s="197"/>
      <c r="BB667" s="129"/>
      <c r="BC667" s="129"/>
      <c r="BD667" s="129"/>
      <c r="BE667" s="129"/>
      <c r="BF667" s="129"/>
      <c r="BG667" s="129"/>
      <c r="BH667" s="129"/>
      <c r="BI667" s="129"/>
      <c r="BJ667" s="129"/>
      <c r="BK667" s="129"/>
      <c r="BL667" s="129">
        <v>1</v>
      </c>
      <c r="BM667" s="197"/>
    </row>
    <row r="668" spans="1:65" s="4" customFormat="1" x14ac:dyDescent="0.25">
      <c r="A668" s="180" t="s">
        <v>428</v>
      </c>
      <c r="B668" s="180" t="s">
        <v>25</v>
      </c>
      <c r="C668" s="180" t="s">
        <v>222</v>
      </c>
      <c r="D668" s="161">
        <v>4</v>
      </c>
      <c r="E668" s="29" t="str">
        <f t="shared" si="192"/>
        <v>Net additions prior to 1 April 2012</v>
      </c>
      <c r="F668" s="122">
        <v>0</v>
      </c>
      <c r="G668" s="122">
        <v>0</v>
      </c>
      <c r="H668" s="122">
        <v>0</v>
      </c>
      <c r="I668" s="122">
        <v>0</v>
      </c>
      <c r="J668" s="122">
        <v>0</v>
      </c>
      <c r="K668" s="122">
        <v>0</v>
      </c>
      <c r="L668" s="122">
        <v>0</v>
      </c>
      <c r="M668" s="122">
        <v>0</v>
      </c>
      <c r="N668" s="122">
        <v>0</v>
      </c>
      <c r="O668" s="122">
        <v>0</v>
      </c>
      <c r="P668" s="122">
        <v>0</v>
      </c>
      <c r="Q668" s="122">
        <v>0</v>
      </c>
      <c r="R668" s="122">
        <v>0</v>
      </c>
      <c r="S668" s="122">
        <v>0</v>
      </c>
      <c r="T668" s="122">
        <v>0</v>
      </c>
      <c r="U668" s="122">
        <v>0</v>
      </c>
      <c r="V668" s="54"/>
      <c r="W668" s="54"/>
      <c r="X668" s="54"/>
      <c r="Y668" s="54"/>
      <c r="Z668" s="54"/>
      <c r="AA668" s="54"/>
      <c r="AB668" s="54"/>
      <c r="AC668" s="54"/>
      <c r="AD668" s="54"/>
      <c r="AE668" s="54"/>
      <c r="AF668" s="54"/>
      <c r="AG668" s="54"/>
      <c r="AH668" s="54"/>
      <c r="AI668" s="117">
        <f t="shared" si="193"/>
        <v>0</v>
      </c>
      <c r="AJ668" s="117">
        <f t="shared" si="194"/>
        <v>0</v>
      </c>
      <c r="AK668" s="117">
        <f t="shared" si="195"/>
        <v>0</v>
      </c>
      <c r="AL668" s="23"/>
      <c r="AM668" s="127" t="b">
        <f t="shared" si="196"/>
        <v>0</v>
      </c>
      <c r="AN668" s="127" t="str">
        <f t="shared" si="197"/>
        <v/>
      </c>
      <c r="AO668" s="129"/>
      <c r="AP668" s="129"/>
      <c r="AQ668" s="129"/>
      <c r="AR668" s="129">
        <v>1</v>
      </c>
      <c r="AS668" s="129">
        <v>1</v>
      </c>
      <c r="AT668" s="129">
        <v>1</v>
      </c>
      <c r="AU668" s="129">
        <v>1</v>
      </c>
      <c r="AV668" s="129">
        <v>1</v>
      </c>
      <c r="AW668" s="129"/>
      <c r="AX668" s="197"/>
      <c r="AY668" s="197"/>
      <c r="AZ668" s="197"/>
      <c r="BA668" s="197"/>
      <c r="BB668" s="129"/>
      <c r="BC668" s="129"/>
      <c r="BD668" s="129"/>
      <c r="BE668" s="129"/>
      <c r="BF668" s="129"/>
      <c r="BG668" s="129"/>
      <c r="BH668" s="129"/>
      <c r="BI668" s="129"/>
      <c r="BJ668" s="129"/>
      <c r="BK668" s="129"/>
      <c r="BL668" s="129">
        <v>1</v>
      </c>
      <c r="BM668" s="197"/>
    </row>
    <row r="669" spans="1:65" s="4" customFormat="1" x14ac:dyDescent="0.25">
      <c r="A669" s="180" t="s">
        <v>428</v>
      </c>
      <c r="B669" s="180" t="s">
        <v>26</v>
      </c>
      <c r="C669" s="180" t="s">
        <v>222</v>
      </c>
      <c r="D669" s="161">
        <v>4</v>
      </c>
      <c r="E669" s="29" t="str">
        <f t="shared" si="192"/>
        <v>Net additions prior to 1 April 2012</v>
      </c>
      <c r="F669" s="122">
        <v>0</v>
      </c>
      <c r="G669" s="122">
        <v>0</v>
      </c>
      <c r="H669" s="122">
        <v>0</v>
      </c>
      <c r="I669" s="122">
        <v>0</v>
      </c>
      <c r="J669" s="122">
        <v>0</v>
      </c>
      <c r="K669" s="122">
        <v>0</v>
      </c>
      <c r="L669" s="122">
        <v>0</v>
      </c>
      <c r="M669" s="122">
        <v>0</v>
      </c>
      <c r="N669" s="122">
        <v>0</v>
      </c>
      <c r="O669" s="122">
        <v>0</v>
      </c>
      <c r="P669" s="122">
        <v>0</v>
      </c>
      <c r="Q669" s="122">
        <v>0</v>
      </c>
      <c r="R669" s="122">
        <v>0</v>
      </c>
      <c r="S669" s="122">
        <v>0</v>
      </c>
      <c r="T669" s="122">
        <v>0</v>
      </c>
      <c r="U669" s="122">
        <v>0</v>
      </c>
      <c r="V669" s="54"/>
      <c r="W669" s="54"/>
      <c r="X669" s="54"/>
      <c r="Y669" s="54"/>
      <c r="Z669" s="54"/>
      <c r="AA669" s="54"/>
      <c r="AB669" s="54"/>
      <c r="AC669" s="54"/>
      <c r="AD669" s="54"/>
      <c r="AE669" s="54"/>
      <c r="AF669" s="54"/>
      <c r="AG669" s="54"/>
      <c r="AH669" s="54"/>
      <c r="AI669" s="117">
        <f t="shared" si="193"/>
        <v>0</v>
      </c>
      <c r="AJ669" s="117">
        <f t="shared" si="194"/>
        <v>0</v>
      </c>
      <c r="AK669" s="117">
        <f t="shared" si="195"/>
        <v>0</v>
      </c>
      <c r="AL669" s="23"/>
      <c r="AM669" s="127" t="b">
        <f t="shared" si="196"/>
        <v>0</v>
      </c>
      <c r="AN669" s="127" t="str">
        <f t="shared" si="197"/>
        <v/>
      </c>
      <c r="AO669" s="129"/>
      <c r="AP669" s="129"/>
      <c r="AQ669" s="129"/>
      <c r="AR669" s="129">
        <v>1</v>
      </c>
      <c r="AS669" s="129">
        <v>1</v>
      </c>
      <c r="AT669" s="129">
        <v>1</v>
      </c>
      <c r="AU669" s="129">
        <v>1</v>
      </c>
      <c r="AV669" s="129">
        <v>1</v>
      </c>
      <c r="AW669" s="129"/>
      <c r="AX669" s="197"/>
      <c r="AY669" s="197"/>
      <c r="AZ669" s="197"/>
      <c r="BA669" s="197"/>
      <c r="BB669" s="129"/>
      <c r="BC669" s="129"/>
      <c r="BD669" s="129"/>
      <c r="BE669" s="129"/>
      <c r="BF669" s="129"/>
      <c r="BG669" s="129"/>
      <c r="BH669" s="129"/>
      <c r="BI669" s="129"/>
      <c r="BJ669" s="129"/>
      <c r="BK669" s="129"/>
      <c r="BL669" s="129">
        <v>1</v>
      </c>
      <c r="BM669" s="197"/>
    </row>
    <row r="670" spans="1:65" s="4" customFormat="1" x14ac:dyDescent="0.25">
      <c r="A670" s="180" t="s">
        <v>428</v>
      </c>
      <c r="B670" s="180" t="s">
        <v>27</v>
      </c>
      <c r="C670" s="180" t="s">
        <v>222</v>
      </c>
      <c r="D670" s="161">
        <v>4</v>
      </c>
      <c r="E670" s="29" t="str">
        <f t="shared" si="192"/>
        <v>Net additions prior to 1 April 2012</v>
      </c>
      <c r="F670" s="122">
        <v>0</v>
      </c>
      <c r="G670" s="122">
        <v>0</v>
      </c>
      <c r="H670" s="122">
        <v>0</v>
      </c>
      <c r="I670" s="122">
        <v>0</v>
      </c>
      <c r="J670" s="122">
        <v>0</v>
      </c>
      <c r="K670" s="122">
        <v>0</v>
      </c>
      <c r="L670" s="122">
        <v>0</v>
      </c>
      <c r="M670" s="122">
        <v>0</v>
      </c>
      <c r="N670" s="122">
        <v>0</v>
      </c>
      <c r="O670" s="122">
        <v>0</v>
      </c>
      <c r="P670" s="122">
        <v>0</v>
      </c>
      <c r="Q670" s="122">
        <v>0</v>
      </c>
      <c r="R670" s="122">
        <v>0</v>
      </c>
      <c r="S670" s="122">
        <v>0</v>
      </c>
      <c r="T670" s="122">
        <v>0</v>
      </c>
      <c r="U670" s="122">
        <v>0</v>
      </c>
      <c r="V670" s="54"/>
      <c r="W670" s="54"/>
      <c r="X670" s="54"/>
      <c r="Y670" s="54"/>
      <c r="Z670" s="54"/>
      <c r="AA670" s="54"/>
      <c r="AB670" s="54"/>
      <c r="AC670" s="54"/>
      <c r="AD670" s="54"/>
      <c r="AE670" s="54"/>
      <c r="AF670" s="54"/>
      <c r="AG670" s="54"/>
      <c r="AH670" s="54"/>
      <c r="AI670" s="117">
        <f t="shared" si="193"/>
        <v>0</v>
      </c>
      <c r="AJ670" s="117">
        <f t="shared" si="194"/>
        <v>0</v>
      </c>
      <c r="AK670" s="117">
        <f t="shared" si="195"/>
        <v>0</v>
      </c>
      <c r="AL670" s="23"/>
      <c r="AM670" s="127" t="b">
        <f t="shared" si="196"/>
        <v>0</v>
      </c>
      <c r="AN670" s="127" t="str">
        <f t="shared" si="197"/>
        <v/>
      </c>
      <c r="AO670" s="129"/>
      <c r="AP670" s="129"/>
      <c r="AQ670" s="129"/>
      <c r="AR670" s="129">
        <v>1</v>
      </c>
      <c r="AS670" s="129">
        <v>1</v>
      </c>
      <c r="AT670" s="129">
        <v>1</v>
      </c>
      <c r="AU670" s="129">
        <v>1</v>
      </c>
      <c r="AV670" s="129">
        <v>1</v>
      </c>
      <c r="AW670" s="129"/>
      <c r="AX670" s="197"/>
      <c r="AY670" s="197"/>
      <c r="AZ670" s="197"/>
      <c r="BA670" s="197"/>
      <c r="BB670" s="129"/>
      <c r="BC670" s="129"/>
      <c r="BD670" s="129"/>
      <c r="BE670" s="129"/>
      <c r="BF670" s="129"/>
      <c r="BG670" s="129"/>
      <c r="BH670" s="129"/>
      <c r="BI670" s="129"/>
      <c r="BJ670" s="129"/>
      <c r="BK670" s="129"/>
      <c r="BL670" s="129">
        <v>1</v>
      </c>
      <c r="BM670" s="197"/>
    </row>
    <row r="671" spans="1:65" x14ac:dyDescent="0.25">
      <c r="A671" s="121"/>
      <c r="B671" s="121"/>
      <c r="C671" s="172"/>
      <c r="D671" s="25"/>
      <c r="E671" s="25"/>
      <c r="F671" s="25"/>
      <c r="G671" s="25"/>
      <c r="H671" s="25"/>
      <c r="I671" s="25"/>
      <c r="J671" s="25"/>
      <c r="K671" s="25"/>
      <c r="L671" s="25"/>
      <c r="M671" s="26"/>
      <c r="N671" s="26"/>
      <c r="O671" s="26"/>
      <c r="P671" s="26"/>
      <c r="Q671" s="26"/>
      <c r="R671" s="26"/>
      <c r="S671" s="26"/>
      <c r="T671" s="26"/>
      <c r="U671" s="26"/>
      <c r="V671" s="25"/>
      <c r="W671" s="23"/>
      <c r="X671" s="23"/>
      <c r="Y671" s="23"/>
      <c r="Z671" s="23"/>
      <c r="AA671" s="23"/>
      <c r="AB671" s="23"/>
      <c r="AC671" s="23"/>
      <c r="AD671" s="23"/>
      <c r="AE671" s="23"/>
      <c r="AF671" s="23"/>
      <c r="AG671" s="23"/>
      <c r="AH671" s="23"/>
      <c r="AI671" s="54"/>
      <c r="AJ671" s="54"/>
      <c r="AK671" s="54"/>
      <c r="AL671" s="23"/>
      <c r="AM671" s="127"/>
      <c r="AN671" s="127"/>
      <c r="AO671" s="129"/>
      <c r="AP671" s="129"/>
      <c r="AQ671" s="129"/>
      <c r="AR671" s="129"/>
      <c r="AS671" s="129"/>
      <c r="AT671" s="129"/>
      <c r="AU671" s="129"/>
      <c r="AV671" s="129"/>
      <c r="AW671" s="129"/>
      <c r="AX671" s="197"/>
      <c r="AY671" s="197"/>
      <c r="AZ671" s="197"/>
      <c r="BA671" s="197"/>
      <c r="BB671" s="129"/>
      <c r="BC671" s="129"/>
      <c r="BD671" s="129"/>
      <c r="BE671" s="129"/>
      <c r="BF671" s="129"/>
      <c r="BG671" s="129"/>
      <c r="BH671" s="129"/>
      <c r="BI671" s="129"/>
      <c r="BJ671" s="129"/>
      <c r="BK671" s="129"/>
      <c r="BL671" s="129"/>
      <c r="BM671" s="197"/>
    </row>
    <row r="672" spans="1:65" x14ac:dyDescent="0.25">
      <c r="A672" s="121"/>
      <c r="B672" s="121"/>
      <c r="C672" s="172"/>
      <c r="D672" s="46"/>
      <c r="E672" s="46"/>
      <c r="F672" s="54"/>
      <c r="G672" s="54"/>
      <c r="H672" s="54"/>
      <c r="I672" s="54"/>
      <c r="J672" s="54"/>
      <c r="K672" s="54"/>
      <c r="L672" s="54"/>
      <c r="M672" s="54"/>
      <c r="N672" s="54"/>
      <c r="O672" s="54"/>
      <c r="P672" s="54"/>
      <c r="Q672" s="54"/>
      <c r="R672" s="54"/>
      <c r="S672" s="54"/>
      <c r="T672" s="54"/>
      <c r="U672" s="54"/>
      <c r="V672" s="54"/>
      <c r="W672" s="55"/>
      <c r="X672" s="55"/>
      <c r="Y672" s="55"/>
      <c r="Z672" s="55"/>
      <c r="AA672" s="55"/>
      <c r="AB672" s="55"/>
      <c r="AC672" s="55"/>
      <c r="AD672" s="55"/>
      <c r="AE672" s="55"/>
      <c r="AF672" s="55"/>
      <c r="AG672" s="55"/>
      <c r="AH672" s="55"/>
      <c r="AI672" s="54"/>
      <c r="AJ672" s="54"/>
      <c r="AK672" s="54"/>
      <c r="AL672" s="23"/>
      <c r="AM672" s="127"/>
      <c r="AN672" s="127"/>
      <c r="AO672" s="129"/>
      <c r="AP672" s="129"/>
      <c r="AQ672" s="129"/>
      <c r="AR672" s="129"/>
      <c r="AS672" s="129"/>
      <c r="AT672" s="129"/>
      <c r="AU672" s="129"/>
      <c r="AV672" s="129"/>
      <c r="AW672" s="129"/>
      <c r="AX672" s="197"/>
      <c r="AY672" s="197"/>
      <c r="AZ672" s="197"/>
      <c r="BA672" s="197"/>
      <c r="BB672" s="129"/>
      <c r="BC672" s="129"/>
      <c r="BD672" s="129"/>
      <c r="BE672" s="129"/>
      <c r="BF672" s="129"/>
      <c r="BG672" s="129"/>
      <c r="BH672" s="129"/>
      <c r="BI672" s="129"/>
      <c r="BJ672" s="129"/>
      <c r="BK672" s="129"/>
      <c r="BL672" s="129"/>
      <c r="BM672" s="197"/>
    </row>
    <row r="673" spans="1:65" x14ac:dyDescent="0.25">
      <c r="A673" s="121" t="s">
        <v>65</v>
      </c>
      <c r="B673" s="121" t="s">
        <v>22</v>
      </c>
      <c r="C673" s="172" t="s">
        <v>222</v>
      </c>
      <c r="D673" s="161">
        <v>1</v>
      </c>
      <c r="E673" s="29" t="str">
        <f t="shared" ref="E673:E678" si="198">INDEX(ra_ScName,MATCH(D673,ra_ScNumber,0))</f>
        <v>Expected nominal return (incl forecast asset revaluations)</v>
      </c>
      <c r="F673" s="54"/>
      <c r="G673" s="54"/>
      <c r="H673" s="54"/>
      <c r="I673" s="54"/>
      <c r="J673" s="54"/>
      <c r="K673" s="54"/>
      <c r="L673" s="54"/>
      <c r="M673" s="54"/>
      <c r="N673" s="54"/>
      <c r="O673" s="54"/>
      <c r="P673" s="54"/>
      <c r="Q673" s="54"/>
      <c r="R673" s="54"/>
      <c r="S673" s="54"/>
      <c r="T673" s="54"/>
      <c r="U673" s="54"/>
      <c r="V673" s="54"/>
      <c r="W673" s="54"/>
      <c r="X673" s="54"/>
      <c r="Y673" s="54"/>
      <c r="Z673" s="54"/>
      <c r="AA673" s="54"/>
      <c r="AB673" s="54"/>
      <c r="AC673" s="54"/>
      <c r="AD673" s="54"/>
      <c r="AE673" s="54"/>
      <c r="AF673" s="54"/>
      <c r="AG673" s="54"/>
      <c r="AH673" s="54"/>
      <c r="AI673" s="117">
        <f t="shared" ref="AI673:AI678" si="199">SUM(F673:AH673)</f>
        <v>0</v>
      </c>
      <c r="AJ673" s="117">
        <f t="shared" ref="AJ673:AJ678" si="200">SUM(F673:U673)</f>
        <v>0</v>
      </c>
      <c r="AK673" s="117">
        <f t="shared" ref="AK673:AK678" si="201">SUM(W673:AH673)</f>
        <v>0</v>
      </c>
      <c r="AL673" s="23"/>
      <c r="AM673" s="127" t="b">
        <f t="shared" ref="AM673:AM678" si="202">IF(INDEX($AO673:$BM673,0,$F$14)=1,TRUE,FALSE)</f>
        <v>0</v>
      </c>
      <c r="AN673" s="127" t="str">
        <f t="shared" ref="AN673:AN678" si="203">IF(AM673,A673&amp;", "&amp;B673,"")</f>
        <v/>
      </c>
      <c r="AO673" s="129">
        <v>1</v>
      </c>
      <c r="AP673" s="129">
        <v>1</v>
      </c>
      <c r="AQ673" s="129">
        <v>1</v>
      </c>
      <c r="AR673" s="129">
        <v>1</v>
      </c>
      <c r="AS673" s="129">
        <v>1</v>
      </c>
      <c r="AT673" s="129">
        <v>1</v>
      </c>
      <c r="AU673" s="129">
        <v>1</v>
      </c>
      <c r="AV673" s="129">
        <v>1</v>
      </c>
      <c r="AW673" s="129"/>
      <c r="AX673" s="197"/>
      <c r="AY673" s="197"/>
      <c r="AZ673" s="197"/>
      <c r="BA673" s="197">
        <v>1</v>
      </c>
      <c r="BB673" s="129">
        <v>1</v>
      </c>
      <c r="BC673" s="129">
        <v>1</v>
      </c>
      <c r="BD673" s="129">
        <v>1</v>
      </c>
      <c r="BE673" s="129">
        <v>1</v>
      </c>
      <c r="BF673" s="129">
        <v>1</v>
      </c>
      <c r="BG673" s="129">
        <v>1</v>
      </c>
      <c r="BH673" s="129">
        <v>1</v>
      </c>
      <c r="BI673" s="129">
        <v>1</v>
      </c>
      <c r="BJ673" s="129">
        <v>1</v>
      </c>
      <c r="BK673" s="129">
        <v>1</v>
      </c>
      <c r="BL673" s="129">
        <v>1</v>
      </c>
      <c r="BM673" s="197"/>
    </row>
    <row r="674" spans="1:65" x14ac:dyDescent="0.25">
      <c r="A674" s="121" t="s">
        <v>65</v>
      </c>
      <c r="B674" s="121" t="s">
        <v>23</v>
      </c>
      <c r="C674" s="172" t="s">
        <v>222</v>
      </c>
      <c r="D674" s="161">
        <v>1</v>
      </c>
      <c r="E674" s="29" t="str">
        <f t="shared" si="198"/>
        <v>Expected nominal return (incl forecast asset revaluations)</v>
      </c>
      <c r="F674" s="54"/>
      <c r="G674" s="54"/>
      <c r="H674" s="54"/>
      <c r="I674" s="54"/>
      <c r="J674" s="54"/>
      <c r="K674" s="54"/>
      <c r="L674" s="54"/>
      <c r="M674" s="54"/>
      <c r="N674" s="54"/>
      <c r="O674" s="54"/>
      <c r="P674" s="54"/>
      <c r="Q674" s="54"/>
      <c r="R674" s="54"/>
      <c r="S674" s="54"/>
      <c r="T674" s="54"/>
      <c r="U674" s="54"/>
      <c r="V674" s="54"/>
      <c r="W674" s="54"/>
      <c r="X674" s="54"/>
      <c r="Y674" s="54"/>
      <c r="Z674" s="54"/>
      <c r="AA674" s="54"/>
      <c r="AB674" s="54"/>
      <c r="AC674" s="54"/>
      <c r="AD674" s="54"/>
      <c r="AE674" s="54"/>
      <c r="AF674" s="54"/>
      <c r="AG674" s="54"/>
      <c r="AH674" s="54"/>
      <c r="AI674" s="117">
        <f t="shared" si="199"/>
        <v>0</v>
      </c>
      <c r="AJ674" s="117">
        <f t="shared" si="200"/>
        <v>0</v>
      </c>
      <c r="AK674" s="117">
        <f t="shared" si="201"/>
        <v>0</v>
      </c>
      <c r="AL674" s="23"/>
      <c r="AM674" s="127" t="b">
        <f t="shared" si="202"/>
        <v>0</v>
      </c>
      <c r="AN674" s="127" t="str">
        <f t="shared" si="203"/>
        <v/>
      </c>
      <c r="AO674" s="129">
        <v>1</v>
      </c>
      <c r="AP674" s="129">
        <v>1</v>
      </c>
      <c r="AQ674" s="129">
        <v>1</v>
      </c>
      <c r="AR674" s="129">
        <v>1</v>
      </c>
      <c r="AS674" s="129">
        <v>1</v>
      </c>
      <c r="AT674" s="129">
        <v>1</v>
      </c>
      <c r="AU674" s="129">
        <v>1</v>
      </c>
      <c r="AV674" s="129">
        <v>1</v>
      </c>
      <c r="AW674" s="129"/>
      <c r="AX674" s="197"/>
      <c r="AY674" s="197"/>
      <c r="AZ674" s="197"/>
      <c r="BA674" s="197">
        <v>1</v>
      </c>
      <c r="BB674" s="129">
        <v>1</v>
      </c>
      <c r="BC674" s="129">
        <v>1</v>
      </c>
      <c r="BD674" s="129">
        <v>1</v>
      </c>
      <c r="BE674" s="129">
        <v>1</v>
      </c>
      <c r="BF674" s="129">
        <v>1</v>
      </c>
      <c r="BG674" s="129">
        <v>1</v>
      </c>
      <c r="BH674" s="129">
        <v>1</v>
      </c>
      <c r="BI674" s="129">
        <v>1</v>
      </c>
      <c r="BJ674" s="129">
        <v>1</v>
      </c>
      <c r="BK674" s="129">
        <v>1</v>
      </c>
      <c r="BL674" s="129">
        <v>1</v>
      </c>
      <c r="BM674" s="197"/>
    </row>
    <row r="675" spans="1:65" x14ac:dyDescent="0.25">
      <c r="A675" s="121" t="s">
        <v>65</v>
      </c>
      <c r="B675" s="121" t="s">
        <v>24</v>
      </c>
      <c r="C675" s="172" t="s">
        <v>222</v>
      </c>
      <c r="D675" s="161">
        <v>1</v>
      </c>
      <c r="E675" s="29" t="str">
        <f t="shared" si="198"/>
        <v>Expected nominal return (incl forecast asset revaluations)</v>
      </c>
      <c r="F675" s="54"/>
      <c r="G675" s="54"/>
      <c r="H675" s="54"/>
      <c r="I675" s="54"/>
      <c r="J675" s="54"/>
      <c r="K675" s="54"/>
      <c r="L675" s="54"/>
      <c r="M675" s="54"/>
      <c r="N675" s="54"/>
      <c r="O675" s="54"/>
      <c r="P675" s="54"/>
      <c r="Q675" s="54"/>
      <c r="R675" s="54"/>
      <c r="S675" s="54"/>
      <c r="T675" s="54"/>
      <c r="U675" s="54"/>
      <c r="V675" s="54"/>
      <c r="W675" s="54"/>
      <c r="X675" s="54"/>
      <c r="Y675" s="54"/>
      <c r="Z675" s="54"/>
      <c r="AA675" s="54"/>
      <c r="AB675" s="54"/>
      <c r="AC675" s="54"/>
      <c r="AD675" s="54"/>
      <c r="AE675" s="54"/>
      <c r="AF675" s="54"/>
      <c r="AG675" s="54"/>
      <c r="AH675" s="54"/>
      <c r="AI675" s="117">
        <f t="shared" si="199"/>
        <v>0</v>
      </c>
      <c r="AJ675" s="117">
        <f t="shared" si="200"/>
        <v>0</v>
      </c>
      <c r="AK675" s="117">
        <f t="shared" si="201"/>
        <v>0</v>
      </c>
      <c r="AL675" s="23"/>
      <c r="AM675" s="127" t="b">
        <f t="shared" si="202"/>
        <v>0</v>
      </c>
      <c r="AN675" s="127" t="str">
        <f t="shared" si="203"/>
        <v/>
      </c>
      <c r="AO675" s="129">
        <v>1</v>
      </c>
      <c r="AP675" s="129">
        <v>1</v>
      </c>
      <c r="AQ675" s="129">
        <v>1</v>
      </c>
      <c r="AR675" s="129">
        <v>1</v>
      </c>
      <c r="AS675" s="129">
        <v>1</v>
      </c>
      <c r="AT675" s="129">
        <v>1</v>
      </c>
      <c r="AU675" s="129">
        <v>1</v>
      </c>
      <c r="AV675" s="129">
        <v>1</v>
      </c>
      <c r="AW675" s="129"/>
      <c r="AX675" s="197"/>
      <c r="AY675" s="197"/>
      <c r="AZ675" s="197"/>
      <c r="BA675" s="197">
        <v>1</v>
      </c>
      <c r="BB675" s="129">
        <v>1</v>
      </c>
      <c r="BC675" s="129">
        <v>1</v>
      </c>
      <c r="BD675" s="129">
        <v>1</v>
      </c>
      <c r="BE675" s="129">
        <v>1</v>
      </c>
      <c r="BF675" s="129">
        <v>1</v>
      </c>
      <c r="BG675" s="129">
        <v>1</v>
      </c>
      <c r="BH675" s="129">
        <v>1</v>
      </c>
      <c r="BI675" s="129">
        <v>1</v>
      </c>
      <c r="BJ675" s="129">
        <v>1</v>
      </c>
      <c r="BK675" s="129">
        <v>1</v>
      </c>
      <c r="BL675" s="129">
        <v>1</v>
      </c>
      <c r="BM675" s="197"/>
    </row>
    <row r="676" spans="1:65" x14ac:dyDescent="0.25">
      <c r="A676" s="121" t="s">
        <v>65</v>
      </c>
      <c r="B676" s="121" t="s">
        <v>25</v>
      </c>
      <c r="C676" s="172" t="s">
        <v>222</v>
      </c>
      <c r="D676" s="161">
        <v>1</v>
      </c>
      <c r="E676" s="29" t="str">
        <f t="shared" si="198"/>
        <v>Expected nominal return (incl forecast asset revaluations)</v>
      </c>
      <c r="F676" s="54"/>
      <c r="G676" s="54"/>
      <c r="H676" s="54"/>
      <c r="I676" s="54"/>
      <c r="J676" s="54"/>
      <c r="K676" s="54"/>
      <c r="L676" s="54"/>
      <c r="M676" s="54"/>
      <c r="N676" s="54"/>
      <c r="O676" s="54"/>
      <c r="P676" s="54"/>
      <c r="Q676" s="54"/>
      <c r="R676" s="54"/>
      <c r="S676" s="54"/>
      <c r="T676" s="54"/>
      <c r="U676" s="54"/>
      <c r="V676" s="54"/>
      <c r="W676" s="54"/>
      <c r="X676" s="54"/>
      <c r="Y676" s="54"/>
      <c r="Z676" s="54"/>
      <c r="AA676" s="54"/>
      <c r="AB676" s="54"/>
      <c r="AC676" s="54"/>
      <c r="AD676" s="54"/>
      <c r="AE676" s="54"/>
      <c r="AF676" s="54"/>
      <c r="AG676" s="54"/>
      <c r="AH676" s="54"/>
      <c r="AI676" s="117">
        <f t="shared" si="199"/>
        <v>0</v>
      </c>
      <c r="AJ676" s="117">
        <f t="shared" si="200"/>
        <v>0</v>
      </c>
      <c r="AK676" s="117">
        <f t="shared" si="201"/>
        <v>0</v>
      </c>
      <c r="AL676" s="23"/>
      <c r="AM676" s="127" t="b">
        <f t="shared" si="202"/>
        <v>0</v>
      </c>
      <c r="AN676" s="127" t="str">
        <f t="shared" si="203"/>
        <v/>
      </c>
      <c r="AO676" s="129">
        <v>1</v>
      </c>
      <c r="AP676" s="129">
        <v>1</v>
      </c>
      <c r="AQ676" s="129">
        <v>1</v>
      </c>
      <c r="AR676" s="129">
        <v>1</v>
      </c>
      <c r="AS676" s="129">
        <v>1</v>
      </c>
      <c r="AT676" s="129">
        <v>1</v>
      </c>
      <c r="AU676" s="129">
        <v>1</v>
      </c>
      <c r="AV676" s="129">
        <v>1</v>
      </c>
      <c r="AW676" s="129"/>
      <c r="AX676" s="197"/>
      <c r="AY676" s="197"/>
      <c r="AZ676" s="197"/>
      <c r="BA676" s="197">
        <v>1</v>
      </c>
      <c r="BB676" s="129">
        <v>1</v>
      </c>
      <c r="BC676" s="129">
        <v>1</v>
      </c>
      <c r="BD676" s="129">
        <v>1</v>
      </c>
      <c r="BE676" s="129">
        <v>1</v>
      </c>
      <c r="BF676" s="129">
        <v>1</v>
      </c>
      <c r="BG676" s="129">
        <v>1</v>
      </c>
      <c r="BH676" s="129">
        <v>1</v>
      </c>
      <c r="BI676" s="129">
        <v>1</v>
      </c>
      <c r="BJ676" s="129">
        <v>1</v>
      </c>
      <c r="BK676" s="129">
        <v>1</v>
      </c>
      <c r="BL676" s="129">
        <v>1</v>
      </c>
      <c r="BM676" s="197"/>
    </row>
    <row r="677" spans="1:65" x14ac:dyDescent="0.25">
      <c r="A677" s="121" t="s">
        <v>65</v>
      </c>
      <c r="B677" s="121" t="s">
        <v>26</v>
      </c>
      <c r="C677" s="172" t="s">
        <v>222</v>
      </c>
      <c r="D677" s="161">
        <v>1</v>
      </c>
      <c r="E677" s="29" t="str">
        <f t="shared" si="198"/>
        <v>Expected nominal return (incl forecast asset revaluations)</v>
      </c>
      <c r="F677" s="54"/>
      <c r="G677" s="54"/>
      <c r="H677" s="54"/>
      <c r="I677" s="54"/>
      <c r="J677" s="54"/>
      <c r="K677" s="54"/>
      <c r="L677" s="54"/>
      <c r="M677" s="54"/>
      <c r="N677" s="54"/>
      <c r="O677" s="54"/>
      <c r="P677" s="54"/>
      <c r="Q677" s="54"/>
      <c r="R677" s="54"/>
      <c r="S677" s="54"/>
      <c r="T677" s="54"/>
      <c r="U677" s="54"/>
      <c r="V677" s="54"/>
      <c r="W677" s="54"/>
      <c r="X677" s="54"/>
      <c r="Y677" s="54"/>
      <c r="Z677" s="54"/>
      <c r="AA677" s="54"/>
      <c r="AB677" s="54"/>
      <c r="AC677" s="54"/>
      <c r="AD677" s="54"/>
      <c r="AE677" s="54"/>
      <c r="AF677" s="54"/>
      <c r="AG677" s="54"/>
      <c r="AH677" s="54"/>
      <c r="AI677" s="117">
        <f t="shared" si="199"/>
        <v>0</v>
      </c>
      <c r="AJ677" s="117">
        <f t="shared" si="200"/>
        <v>0</v>
      </c>
      <c r="AK677" s="117">
        <f t="shared" si="201"/>
        <v>0</v>
      </c>
      <c r="AL677" s="23"/>
      <c r="AM677" s="127" t="b">
        <f t="shared" si="202"/>
        <v>0</v>
      </c>
      <c r="AN677" s="127" t="str">
        <f t="shared" si="203"/>
        <v/>
      </c>
      <c r="AO677" s="129">
        <v>1</v>
      </c>
      <c r="AP677" s="129">
        <v>1</v>
      </c>
      <c r="AQ677" s="129">
        <v>1</v>
      </c>
      <c r="AR677" s="129">
        <v>1</v>
      </c>
      <c r="AS677" s="129">
        <v>1</v>
      </c>
      <c r="AT677" s="129">
        <v>1</v>
      </c>
      <c r="AU677" s="129">
        <v>1</v>
      </c>
      <c r="AV677" s="129">
        <v>1</v>
      </c>
      <c r="AW677" s="129"/>
      <c r="AX677" s="197"/>
      <c r="AY677" s="197"/>
      <c r="AZ677" s="197"/>
      <c r="BA677" s="197">
        <v>1</v>
      </c>
      <c r="BB677" s="129">
        <v>1</v>
      </c>
      <c r="BC677" s="129">
        <v>1</v>
      </c>
      <c r="BD677" s="129">
        <v>1</v>
      </c>
      <c r="BE677" s="129">
        <v>1</v>
      </c>
      <c r="BF677" s="129">
        <v>1</v>
      </c>
      <c r="BG677" s="129">
        <v>1</v>
      </c>
      <c r="BH677" s="129">
        <v>1</v>
      </c>
      <c r="BI677" s="129">
        <v>1</v>
      </c>
      <c r="BJ677" s="129">
        <v>1</v>
      </c>
      <c r="BK677" s="129">
        <v>1</v>
      </c>
      <c r="BL677" s="129">
        <v>1</v>
      </c>
      <c r="BM677" s="197"/>
    </row>
    <row r="678" spans="1:65" x14ac:dyDescent="0.25">
      <c r="A678" s="121" t="s">
        <v>65</v>
      </c>
      <c r="B678" s="121" t="s">
        <v>27</v>
      </c>
      <c r="C678" s="172" t="s">
        <v>222</v>
      </c>
      <c r="D678" s="161">
        <v>1</v>
      </c>
      <c r="E678" s="29" t="str">
        <f t="shared" si="198"/>
        <v>Expected nominal return (incl forecast asset revaluations)</v>
      </c>
      <c r="F678" s="54"/>
      <c r="G678" s="54"/>
      <c r="H678" s="54"/>
      <c r="I678" s="54"/>
      <c r="J678" s="54"/>
      <c r="K678" s="54"/>
      <c r="L678" s="54"/>
      <c r="M678" s="54"/>
      <c r="N678" s="54"/>
      <c r="O678" s="54"/>
      <c r="P678" s="54"/>
      <c r="Q678" s="54"/>
      <c r="R678" s="54"/>
      <c r="S678" s="54"/>
      <c r="T678" s="54"/>
      <c r="U678" s="54"/>
      <c r="V678" s="54"/>
      <c r="W678" s="54"/>
      <c r="X678" s="54"/>
      <c r="Y678" s="54"/>
      <c r="Z678" s="54"/>
      <c r="AA678" s="54"/>
      <c r="AB678" s="54"/>
      <c r="AC678" s="54"/>
      <c r="AD678" s="54"/>
      <c r="AE678" s="54"/>
      <c r="AF678" s="54"/>
      <c r="AG678" s="54"/>
      <c r="AH678" s="54"/>
      <c r="AI678" s="117">
        <f t="shared" si="199"/>
        <v>0</v>
      </c>
      <c r="AJ678" s="117">
        <f t="shared" si="200"/>
        <v>0</v>
      </c>
      <c r="AK678" s="117">
        <f t="shared" si="201"/>
        <v>0</v>
      </c>
      <c r="AL678" s="23"/>
      <c r="AM678" s="127" t="b">
        <f t="shared" si="202"/>
        <v>0</v>
      </c>
      <c r="AN678" s="127" t="str">
        <f t="shared" si="203"/>
        <v/>
      </c>
      <c r="AO678" s="129">
        <v>1</v>
      </c>
      <c r="AP678" s="129">
        <v>1</v>
      </c>
      <c r="AQ678" s="129">
        <v>1</v>
      </c>
      <c r="AR678" s="129">
        <v>1</v>
      </c>
      <c r="AS678" s="129">
        <v>1</v>
      </c>
      <c r="AT678" s="129">
        <v>1</v>
      </c>
      <c r="AU678" s="129">
        <v>1</v>
      </c>
      <c r="AV678" s="129">
        <v>1</v>
      </c>
      <c r="AW678" s="129"/>
      <c r="AX678" s="197"/>
      <c r="AY678" s="197"/>
      <c r="AZ678" s="197"/>
      <c r="BA678" s="197">
        <v>1</v>
      </c>
      <c r="BB678" s="129">
        <v>1</v>
      </c>
      <c r="BC678" s="129">
        <v>1</v>
      </c>
      <c r="BD678" s="129">
        <v>1</v>
      </c>
      <c r="BE678" s="129">
        <v>1</v>
      </c>
      <c r="BF678" s="129">
        <v>1</v>
      </c>
      <c r="BG678" s="129">
        <v>1</v>
      </c>
      <c r="BH678" s="129">
        <v>1</v>
      </c>
      <c r="BI678" s="129">
        <v>1</v>
      </c>
      <c r="BJ678" s="129">
        <v>1</v>
      </c>
      <c r="BK678" s="129">
        <v>1</v>
      </c>
      <c r="BL678" s="129">
        <v>1</v>
      </c>
      <c r="BM678" s="197"/>
    </row>
    <row r="679" spans="1:65" x14ac:dyDescent="0.25">
      <c r="A679" s="121"/>
      <c r="B679" s="121"/>
      <c r="C679" s="172"/>
      <c r="D679" s="25"/>
      <c r="E679" s="25"/>
      <c r="F679" s="25"/>
      <c r="G679" s="25"/>
      <c r="H679" s="25"/>
      <c r="I679" s="25"/>
      <c r="J679" s="25"/>
      <c r="K679" s="25"/>
      <c r="L679" s="25"/>
      <c r="M679" s="26"/>
      <c r="N679" s="26"/>
      <c r="O679" s="26"/>
      <c r="P679" s="26"/>
      <c r="Q679" s="26"/>
      <c r="R679" s="26"/>
      <c r="S679" s="26"/>
      <c r="T679" s="26"/>
      <c r="U679" s="26"/>
      <c r="V679" s="25"/>
      <c r="W679" s="23"/>
      <c r="X679" s="23"/>
      <c r="Y679" s="23"/>
      <c r="Z679" s="23"/>
      <c r="AA679" s="23"/>
      <c r="AB679" s="23"/>
      <c r="AC679" s="23"/>
      <c r="AD679" s="23"/>
      <c r="AE679" s="23"/>
      <c r="AF679" s="23"/>
      <c r="AG679" s="23"/>
      <c r="AH679" s="23"/>
      <c r="AI679" s="54"/>
      <c r="AJ679" s="54"/>
      <c r="AK679" s="54"/>
      <c r="AL679" s="23"/>
      <c r="AM679" s="127"/>
      <c r="AN679" s="127"/>
      <c r="AO679" s="129"/>
      <c r="AP679" s="129"/>
      <c r="AQ679" s="129"/>
      <c r="AR679" s="129"/>
      <c r="AS679" s="129"/>
      <c r="AT679" s="129"/>
      <c r="AU679" s="129"/>
      <c r="AV679" s="129"/>
      <c r="AW679" s="129"/>
      <c r="AX679" s="197"/>
      <c r="AY679" s="197"/>
      <c r="AZ679" s="197"/>
      <c r="BA679" s="197"/>
      <c r="BB679" s="129"/>
      <c r="BC679" s="129"/>
      <c r="BD679" s="129"/>
      <c r="BE679" s="129"/>
      <c r="BF679" s="129"/>
      <c r="BG679" s="129"/>
      <c r="BH679" s="129"/>
      <c r="BI679" s="129"/>
      <c r="BJ679" s="129"/>
      <c r="BK679" s="129"/>
      <c r="BL679" s="129"/>
      <c r="BM679" s="197"/>
    </row>
    <row r="680" spans="1:65" x14ac:dyDescent="0.25">
      <c r="A680" s="121"/>
      <c r="B680" s="121"/>
      <c r="C680" s="172"/>
      <c r="D680" s="46"/>
      <c r="E680" s="46"/>
      <c r="F680" s="54"/>
      <c r="G680" s="54"/>
      <c r="H680" s="54"/>
      <c r="I680" s="54"/>
      <c r="J680" s="54"/>
      <c r="K680" s="54"/>
      <c r="L680" s="54"/>
      <c r="M680" s="54"/>
      <c r="N680" s="54"/>
      <c r="O680" s="54"/>
      <c r="P680" s="54"/>
      <c r="Q680" s="54"/>
      <c r="R680" s="54"/>
      <c r="S680" s="54"/>
      <c r="T680" s="54"/>
      <c r="U680" s="54"/>
      <c r="V680" s="54"/>
      <c r="W680" s="55"/>
      <c r="X680" s="55"/>
      <c r="Y680" s="55"/>
      <c r="Z680" s="55"/>
      <c r="AA680" s="55"/>
      <c r="AB680" s="55"/>
      <c r="AC680" s="55"/>
      <c r="AD680" s="55"/>
      <c r="AE680" s="55"/>
      <c r="AF680" s="55"/>
      <c r="AG680" s="55"/>
      <c r="AH680" s="55"/>
      <c r="AI680" s="54"/>
      <c r="AJ680" s="54"/>
      <c r="AK680" s="54"/>
      <c r="AL680" s="23"/>
      <c r="AM680" s="127"/>
      <c r="AN680" s="127"/>
      <c r="AO680" s="129"/>
      <c r="AP680" s="129"/>
      <c r="AQ680" s="129"/>
      <c r="AR680" s="129"/>
      <c r="AS680" s="129"/>
      <c r="AT680" s="129"/>
      <c r="AU680" s="129"/>
      <c r="AV680" s="129"/>
      <c r="AW680" s="129"/>
      <c r="AX680" s="197"/>
      <c r="AY680" s="197"/>
      <c r="AZ680" s="197"/>
      <c r="BA680" s="197"/>
      <c r="BB680" s="129"/>
      <c r="BC680" s="129"/>
      <c r="BD680" s="129"/>
      <c r="BE680" s="129"/>
      <c r="BF680" s="129"/>
      <c r="BG680" s="129"/>
      <c r="BH680" s="129"/>
      <c r="BI680" s="129"/>
      <c r="BJ680" s="129"/>
      <c r="BK680" s="129"/>
      <c r="BL680" s="129"/>
      <c r="BM680" s="197"/>
    </row>
    <row r="681" spans="1:65" x14ac:dyDescent="0.25">
      <c r="A681" s="121" t="s">
        <v>65</v>
      </c>
      <c r="B681" s="121" t="s">
        <v>22</v>
      </c>
      <c r="C681" s="172" t="s">
        <v>211</v>
      </c>
      <c r="D681" s="161">
        <v>10</v>
      </c>
      <c r="E681" s="29" t="str">
        <f t="shared" ref="E681:E686" si="204">INDEX(ra_ScName,MATCH(D681,ra_ScNumber,0))</f>
        <v>Disclosed nominal return (incl actual asset revaluations)</v>
      </c>
      <c r="F681" s="122">
        <v>0</v>
      </c>
      <c r="G681" s="122">
        <v>0</v>
      </c>
      <c r="H681" s="122">
        <v>876</v>
      </c>
      <c r="I681" s="122">
        <v>0</v>
      </c>
      <c r="J681" s="122">
        <v>0</v>
      </c>
      <c r="K681" s="122">
        <v>0</v>
      </c>
      <c r="L681" s="122">
        <v>0</v>
      </c>
      <c r="M681" s="122">
        <v>0</v>
      </c>
      <c r="N681" s="122">
        <v>0</v>
      </c>
      <c r="O681" s="122">
        <v>0</v>
      </c>
      <c r="P681" s="122">
        <v>-2</v>
      </c>
      <c r="Q681" s="122">
        <v>0</v>
      </c>
      <c r="R681" s="122">
        <v>0</v>
      </c>
      <c r="S681" s="122">
        <v>0</v>
      </c>
      <c r="T681" s="122">
        <v>-40</v>
      </c>
      <c r="U681" s="122">
        <v>0</v>
      </c>
      <c r="V681" s="122">
        <v>0</v>
      </c>
      <c r="W681" s="122">
        <v>0</v>
      </c>
      <c r="X681" s="122">
        <v>0</v>
      </c>
      <c r="Y681" s="122">
        <v>0</v>
      </c>
      <c r="Z681" s="122">
        <v>0</v>
      </c>
      <c r="AA681" s="122">
        <v>0</v>
      </c>
      <c r="AB681" s="122">
        <v>0</v>
      </c>
      <c r="AC681" s="122">
        <v>0</v>
      </c>
      <c r="AD681" s="122">
        <v>0</v>
      </c>
      <c r="AE681" s="122">
        <v>0</v>
      </c>
      <c r="AF681" s="122">
        <v>0</v>
      </c>
      <c r="AG681" s="122">
        <v>0</v>
      </c>
      <c r="AH681" s="122">
        <v>0</v>
      </c>
      <c r="AI681" s="117">
        <f t="shared" ref="AI681:AI686" si="205">SUM(F681:AH681)</f>
        <v>834</v>
      </c>
      <c r="AJ681" s="117">
        <f t="shared" ref="AJ681:AJ686" si="206">SUM(F681:U681)</f>
        <v>834</v>
      </c>
      <c r="AK681" s="117">
        <f t="shared" ref="AK681:AK686" si="207">SUM(W681:AH681)</f>
        <v>0</v>
      </c>
      <c r="AL681" s="23"/>
      <c r="AM681" s="127" t="b">
        <f t="shared" ref="AM681:AM686" si="208">IF(INDEX($AO681:$BM681,0,$F$14)=1,TRUE,FALSE)</f>
        <v>1</v>
      </c>
      <c r="AN681" s="127" t="str">
        <f t="shared" ref="AN681:AN686" si="209">IF(AM681,A681&amp;", "&amp;B681,"")</f>
        <v>Adjustment resulting from asset allocation, 2009/10</v>
      </c>
      <c r="AO681" s="129"/>
      <c r="AP681" s="129"/>
      <c r="AQ681" s="129"/>
      <c r="AR681" s="129"/>
      <c r="AS681" s="129"/>
      <c r="AT681" s="129"/>
      <c r="AU681" s="129"/>
      <c r="AV681" s="129"/>
      <c r="AW681" s="129">
        <v>1</v>
      </c>
      <c r="AX681" s="197">
        <v>1</v>
      </c>
      <c r="AY681" s="197">
        <v>1</v>
      </c>
      <c r="AZ681" s="197">
        <v>1</v>
      </c>
      <c r="BA681" s="197"/>
      <c r="BB681" s="129"/>
      <c r="BC681" s="129"/>
      <c r="BD681" s="129"/>
      <c r="BE681" s="129"/>
      <c r="BF681" s="129"/>
      <c r="BG681" s="129"/>
      <c r="BH681" s="129"/>
      <c r="BI681" s="129"/>
      <c r="BJ681" s="129"/>
      <c r="BK681" s="129"/>
      <c r="BL681" s="129"/>
      <c r="BM681" s="197">
        <v>1</v>
      </c>
    </row>
    <row r="682" spans="1:65" x14ac:dyDescent="0.25">
      <c r="A682" s="121" t="s">
        <v>65</v>
      </c>
      <c r="B682" s="121" t="s">
        <v>23</v>
      </c>
      <c r="C682" s="172" t="s">
        <v>211</v>
      </c>
      <c r="D682" s="161">
        <v>10</v>
      </c>
      <c r="E682" s="29" t="str">
        <f t="shared" si="204"/>
        <v>Disclosed nominal return (incl actual asset revaluations)</v>
      </c>
      <c r="F682" s="122">
        <v>0</v>
      </c>
      <c r="G682" s="122">
        <v>0</v>
      </c>
      <c r="H682" s="122">
        <v>0</v>
      </c>
      <c r="I682" s="122">
        <v>0</v>
      </c>
      <c r="J682" s="122">
        <v>0</v>
      </c>
      <c r="K682" s="122">
        <v>0</v>
      </c>
      <c r="L682" s="122">
        <v>0</v>
      </c>
      <c r="M682" s="122">
        <v>0</v>
      </c>
      <c r="N682" s="122">
        <v>0</v>
      </c>
      <c r="O682" s="122">
        <v>0</v>
      </c>
      <c r="P682" s="122">
        <v>26</v>
      </c>
      <c r="Q682" s="122">
        <v>0</v>
      </c>
      <c r="R682" s="122">
        <v>230</v>
      </c>
      <c r="S682" s="122">
        <v>0</v>
      </c>
      <c r="T682" s="122">
        <v>856</v>
      </c>
      <c r="U682" s="122">
        <v>0</v>
      </c>
      <c r="V682" s="122">
        <v>0</v>
      </c>
      <c r="W682" s="122">
        <v>0</v>
      </c>
      <c r="X682" s="122">
        <v>0</v>
      </c>
      <c r="Y682" s="122">
        <v>0</v>
      </c>
      <c r="Z682" s="122">
        <v>0</v>
      </c>
      <c r="AA682" s="122">
        <v>0</v>
      </c>
      <c r="AB682" s="122">
        <v>0</v>
      </c>
      <c r="AC682" s="122">
        <v>0</v>
      </c>
      <c r="AD682" s="122">
        <v>0</v>
      </c>
      <c r="AE682" s="122">
        <v>0</v>
      </c>
      <c r="AF682" s="122">
        <v>0</v>
      </c>
      <c r="AG682" s="122">
        <v>0</v>
      </c>
      <c r="AH682" s="122">
        <v>0</v>
      </c>
      <c r="AI682" s="117">
        <f t="shared" si="205"/>
        <v>1112</v>
      </c>
      <c r="AJ682" s="117">
        <f t="shared" si="206"/>
        <v>1112</v>
      </c>
      <c r="AK682" s="117">
        <f t="shared" si="207"/>
        <v>0</v>
      </c>
      <c r="AL682" s="23"/>
      <c r="AM682" s="127" t="b">
        <f t="shared" si="208"/>
        <v>1</v>
      </c>
      <c r="AN682" s="127" t="str">
        <f t="shared" si="209"/>
        <v>Adjustment resulting from asset allocation, 2010/11</v>
      </c>
      <c r="AO682" s="129"/>
      <c r="AP682" s="129"/>
      <c r="AQ682" s="129"/>
      <c r="AR682" s="129"/>
      <c r="AS682" s="129"/>
      <c r="AT682" s="129"/>
      <c r="AU682" s="129"/>
      <c r="AV682" s="129"/>
      <c r="AW682" s="129">
        <v>1</v>
      </c>
      <c r="AX682" s="197">
        <v>1</v>
      </c>
      <c r="AY682" s="197">
        <v>1</v>
      </c>
      <c r="AZ682" s="197">
        <v>1</v>
      </c>
      <c r="BA682" s="197"/>
      <c r="BB682" s="129"/>
      <c r="BC682" s="129"/>
      <c r="BD682" s="129"/>
      <c r="BE682" s="129"/>
      <c r="BF682" s="129"/>
      <c r="BG682" s="129"/>
      <c r="BH682" s="129"/>
      <c r="BI682" s="129"/>
      <c r="BJ682" s="129"/>
      <c r="BK682" s="129"/>
      <c r="BL682" s="129"/>
      <c r="BM682" s="197">
        <v>1</v>
      </c>
    </row>
    <row r="683" spans="1:65" x14ac:dyDescent="0.25">
      <c r="A683" s="121" t="s">
        <v>65</v>
      </c>
      <c r="B683" s="121" t="s">
        <v>24</v>
      </c>
      <c r="C683" s="172" t="s">
        <v>211</v>
      </c>
      <c r="D683" s="161">
        <v>10</v>
      </c>
      <c r="E683" s="29" t="str">
        <f t="shared" si="204"/>
        <v>Disclosed nominal return (incl actual asset revaluations)</v>
      </c>
      <c r="F683" s="122">
        <v>0</v>
      </c>
      <c r="G683" s="122">
        <v>0</v>
      </c>
      <c r="H683" s="122">
        <v>0</v>
      </c>
      <c r="I683" s="122">
        <v>0</v>
      </c>
      <c r="J683" s="122">
        <v>0</v>
      </c>
      <c r="K683" s="122">
        <v>0</v>
      </c>
      <c r="L683" s="122">
        <v>0</v>
      </c>
      <c r="M683" s="122">
        <v>0</v>
      </c>
      <c r="N683" s="122">
        <v>0</v>
      </c>
      <c r="O683" s="122">
        <v>0</v>
      </c>
      <c r="P683" s="122">
        <v>88</v>
      </c>
      <c r="Q683" s="122">
        <v>0</v>
      </c>
      <c r="R683" s="122">
        <v>0</v>
      </c>
      <c r="S683" s="122">
        <v>0</v>
      </c>
      <c r="T683" s="122">
        <v>-122</v>
      </c>
      <c r="U683" s="122">
        <v>0</v>
      </c>
      <c r="V683" s="122">
        <v>0</v>
      </c>
      <c r="W683" s="122">
        <v>0</v>
      </c>
      <c r="X683" s="122">
        <v>0</v>
      </c>
      <c r="Y683" s="122">
        <v>0</v>
      </c>
      <c r="Z683" s="122">
        <v>0</v>
      </c>
      <c r="AA683" s="122">
        <v>0</v>
      </c>
      <c r="AB683" s="122">
        <v>0</v>
      </c>
      <c r="AC683" s="122">
        <v>0</v>
      </c>
      <c r="AD683" s="122">
        <v>0</v>
      </c>
      <c r="AE683" s="122">
        <v>0</v>
      </c>
      <c r="AF683" s="122">
        <v>0</v>
      </c>
      <c r="AG683" s="122">
        <v>0</v>
      </c>
      <c r="AH683" s="122">
        <v>0</v>
      </c>
      <c r="AI683" s="117">
        <f t="shared" si="205"/>
        <v>-34</v>
      </c>
      <c r="AJ683" s="117">
        <f t="shared" si="206"/>
        <v>-34</v>
      </c>
      <c r="AK683" s="117">
        <f t="shared" si="207"/>
        <v>0</v>
      </c>
      <c r="AL683" s="23"/>
      <c r="AM683" s="127" t="b">
        <f t="shared" si="208"/>
        <v>1</v>
      </c>
      <c r="AN683" s="127" t="str">
        <f t="shared" si="209"/>
        <v>Adjustment resulting from asset allocation, 2011/12</v>
      </c>
      <c r="AO683" s="129"/>
      <c r="AP683" s="129"/>
      <c r="AQ683" s="129"/>
      <c r="AR683" s="129"/>
      <c r="AS683" s="129"/>
      <c r="AT683" s="129"/>
      <c r="AU683" s="129"/>
      <c r="AV683" s="129"/>
      <c r="AW683" s="129">
        <v>1</v>
      </c>
      <c r="AX683" s="197">
        <v>1</v>
      </c>
      <c r="AY683" s="197">
        <v>1</v>
      </c>
      <c r="AZ683" s="197">
        <v>1</v>
      </c>
      <c r="BA683" s="197"/>
      <c r="BB683" s="129"/>
      <c r="BC683" s="129"/>
      <c r="BD683" s="129"/>
      <c r="BE683" s="129"/>
      <c r="BF683" s="129"/>
      <c r="BG683" s="129"/>
      <c r="BH683" s="129"/>
      <c r="BI683" s="129"/>
      <c r="BJ683" s="129"/>
      <c r="BK683" s="129"/>
      <c r="BL683" s="129"/>
      <c r="BM683" s="197">
        <v>1</v>
      </c>
    </row>
    <row r="684" spans="1:65" x14ac:dyDescent="0.25">
      <c r="A684" s="121" t="s">
        <v>65</v>
      </c>
      <c r="B684" s="121" t="s">
        <v>25</v>
      </c>
      <c r="C684" s="172" t="s">
        <v>211</v>
      </c>
      <c r="D684" s="161">
        <v>10</v>
      </c>
      <c r="E684" s="29" t="str">
        <f t="shared" si="204"/>
        <v>Disclosed nominal return (incl actual asset revaluations)</v>
      </c>
      <c r="F684" s="122">
        <v>0</v>
      </c>
      <c r="G684" s="122">
        <v>0</v>
      </c>
      <c r="H684" s="122">
        <v>0</v>
      </c>
      <c r="I684" s="122">
        <v>0</v>
      </c>
      <c r="J684" s="122">
        <v>-2</v>
      </c>
      <c r="K684" s="122">
        <v>0</v>
      </c>
      <c r="L684" s="122">
        <v>2.2213283038581701E-2</v>
      </c>
      <c r="M684" s="122">
        <v>0</v>
      </c>
      <c r="N684" s="122">
        <v>-0.26460481100366451</v>
      </c>
      <c r="O684" s="122">
        <v>0</v>
      </c>
      <c r="P684" s="122">
        <v>-25</v>
      </c>
      <c r="Q684" s="122">
        <v>0.1191680110641755</v>
      </c>
      <c r="R684" s="122">
        <v>0</v>
      </c>
      <c r="S684" s="122">
        <v>0</v>
      </c>
      <c r="T684" s="122">
        <v>-51</v>
      </c>
      <c r="U684" s="122">
        <v>0</v>
      </c>
      <c r="V684" s="122">
        <v>0</v>
      </c>
      <c r="W684" s="122">
        <v>0</v>
      </c>
      <c r="X684" s="122">
        <v>0</v>
      </c>
      <c r="Y684" s="122">
        <v>0</v>
      </c>
      <c r="Z684" s="122">
        <v>0</v>
      </c>
      <c r="AA684" s="122">
        <v>0</v>
      </c>
      <c r="AB684" s="122">
        <v>29</v>
      </c>
      <c r="AC684" s="122">
        <v>0</v>
      </c>
      <c r="AD684" s="122">
        <v>0</v>
      </c>
      <c r="AE684" s="122">
        <v>0</v>
      </c>
      <c r="AF684" s="122">
        <v>0.26548435295990203</v>
      </c>
      <c r="AG684" s="122">
        <v>0</v>
      </c>
      <c r="AH684" s="122">
        <v>0</v>
      </c>
      <c r="AI684" s="117">
        <f t="shared" si="205"/>
        <v>-48.857739163941005</v>
      </c>
      <c r="AJ684" s="117">
        <f t="shared" si="206"/>
        <v>-78.123223516900907</v>
      </c>
      <c r="AK684" s="117">
        <f t="shared" si="207"/>
        <v>29.265484352959902</v>
      </c>
      <c r="AL684" s="23"/>
      <c r="AM684" s="127" t="b">
        <f t="shared" si="208"/>
        <v>1</v>
      </c>
      <c r="AN684" s="127" t="str">
        <f t="shared" si="209"/>
        <v>Adjustment resulting from asset allocation, 2012/13</v>
      </c>
      <c r="AO684" s="129"/>
      <c r="AP684" s="129"/>
      <c r="AQ684" s="129"/>
      <c r="AR684" s="129"/>
      <c r="AS684" s="129"/>
      <c r="AT684" s="129"/>
      <c r="AU684" s="129"/>
      <c r="AV684" s="129"/>
      <c r="AW684" s="129">
        <v>1</v>
      </c>
      <c r="AX684" s="197">
        <v>1</v>
      </c>
      <c r="AY684" s="197">
        <v>1</v>
      </c>
      <c r="AZ684" s="197">
        <v>1</v>
      </c>
      <c r="BA684" s="197"/>
      <c r="BB684" s="129"/>
      <c r="BC684" s="129"/>
      <c r="BD684" s="129"/>
      <c r="BE684" s="129"/>
      <c r="BF684" s="129"/>
      <c r="BG684" s="129"/>
      <c r="BH684" s="129"/>
      <c r="BI684" s="129"/>
      <c r="BJ684" s="129"/>
      <c r="BK684" s="129"/>
      <c r="BL684" s="129"/>
      <c r="BM684" s="197">
        <v>1</v>
      </c>
    </row>
    <row r="685" spans="1:65" x14ac:dyDescent="0.25">
      <c r="A685" s="121" t="s">
        <v>65</v>
      </c>
      <c r="B685" s="121" t="s">
        <v>26</v>
      </c>
      <c r="C685" s="172" t="s">
        <v>211</v>
      </c>
      <c r="D685" s="161">
        <v>10</v>
      </c>
      <c r="E685" s="29" t="str">
        <f t="shared" si="204"/>
        <v>Disclosed nominal return (incl actual asset revaluations)</v>
      </c>
      <c r="F685" s="122">
        <v>0.1511521175852977</v>
      </c>
      <c r="G685" s="122">
        <v>0.49403747875476262</v>
      </c>
      <c r="H685" s="122">
        <v>8.9806962932900003E-5</v>
      </c>
      <c r="I685" s="122">
        <v>1.082626695279E-4</v>
      </c>
      <c r="J685" s="122">
        <v>-1031.0464472429589</v>
      </c>
      <c r="K685" s="122">
        <v>-634.78809217426897</v>
      </c>
      <c r="L685" s="122">
        <v>1.83014645299409E-2</v>
      </c>
      <c r="M685" s="122">
        <v>0.27509649116109358</v>
      </c>
      <c r="N685" s="122">
        <v>0.3015332197828684</v>
      </c>
      <c r="O685" s="122">
        <v>0.17134441030793821</v>
      </c>
      <c r="P685" s="122">
        <v>269.64833040349191</v>
      </c>
      <c r="Q685" s="122">
        <v>-9.0330723323859302E-2</v>
      </c>
      <c r="R685" s="122">
        <v>-0.1084807777369861</v>
      </c>
      <c r="S685" s="122">
        <v>-0.26766209932975471</v>
      </c>
      <c r="T685" s="122">
        <v>-16.715502555016428</v>
      </c>
      <c r="U685" s="122">
        <v>0.2087370672961697</v>
      </c>
      <c r="V685" s="122">
        <v>-0.38425894372630859</v>
      </c>
      <c r="W685" s="122">
        <v>0.41908006814628612</v>
      </c>
      <c r="X685" s="122">
        <v>0.1997903514711652</v>
      </c>
      <c r="Y685" s="122">
        <v>-0.41748564285808237</v>
      </c>
      <c r="Z685" s="122">
        <v>-3.4071534173599999E-5</v>
      </c>
      <c r="AA685" s="122">
        <v>-6.6507666197140004E-3</v>
      </c>
      <c r="AB685" s="122">
        <v>197.31686541737869</v>
      </c>
      <c r="AC685" s="122">
        <v>-6.2443908682325897E-2</v>
      </c>
      <c r="AD685" s="122">
        <v>707.02555366269371</v>
      </c>
      <c r="AE685" s="122">
        <v>-1300.316161839874</v>
      </c>
      <c r="AF685" s="122">
        <v>-3.9213303447468199E-2</v>
      </c>
      <c r="AG685" s="122">
        <v>0.44986097072251141</v>
      </c>
      <c r="AH685" s="122">
        <v>0.45315161840699147</v>
      </c>
      <c r="AI685" s="117">
        <f t="shared" si="205"/>
        <v>-1807.1097312380152</v>
      </c>
      <c r="AJ685" s="117">
        <f t="shared" si="206"/>
        <v>-1411.7477848500926</v>
      </c>
      <c r="AK685" s="117">
        <f t="shared" si="207"/>
        <v>-394.97768744419636</v>
      </c>
      <c r="AL685" s="23"/>
      <c r="AM685" s="127" t="b">
        <f t="shared" si="208"/>
        <v>1</v>
      </c>
      <c r="AN685" s="127" t="str">
        <f t="shared" si="209"/>
        <v>Adjustment resulting from asset allocation, 2013/14</v>
      </c>
      <c r="AO685" s="129"/>
      <c r="AP685" s="129"/>
      <c r="AQ685" s="129"/>
      <c r="AR685" s="129"/>
      <c r="AS685" s="129"/>
      <c r="AT685" s="129"/>
      <c r="AU685" s="129"/>
      <c r="AV685" s="129"/>
      <c r="AW685" s="129">
        <v>1</v>
      </c>
      <c r="AX685" s="197">
        <v>1</v>
      </c>
      <c r="AY685" s="197">
        <v>1</v>
      </c>
      <c r="AZ685" s="197">
        <v>1</v>
      </c>
      <c r="BA685" s="197"/>
      <c r="BB685" s="129"/>
      <c r="BC685" s="129"/>
      <c r="BD685" s="129"/>
      <c r="BE685" s="129"/>
      <c r="BF685" s="129"/>
      <c r="BG685" s="129"/>
      <c r="BH685" s="129"/>
      <c r="BI685" s="129"/>
      <c r="BJ685" s="129"/>
      <c r="BK685" s="129"/>
      <c r="BL685" s="129"/>
      <c r="BM685" s="197">
        <v>1</v>
      </c>
    </row>
    <row r="686" spans="1:65" x14ac:dyDescent="0.25">
      <c r="A686" s="121" t="s">
        <v>65</v>
      </c>
      <c r="B686" s="121" t="s">
        <v>27</v>
      </c>
      <c r="C686" s="172" t="s">
        <v>211</v>
      </c>
      <c r="D686" s="161">
        <v>10</v>
      </c>
      <c r="E686" s="29" t="str">
        <f t="shared" si="204"/>
        <v>Disclosed nominal return (incl actual asset revaluations)</v>
      </c>
      <c r="F686" s="122">
        <v>-0.4</v>
      </c>
      <c r="G686" s="122">
        <v>0</v>
      </c>
      <c r="H686" s="122">
        <v>0</v>
      </c>
      <c r="I686" s="122">
        <v>0</v>
      </c>
      <c r="J686" s="122">
        <v>0</v>
      </c>
      <c r="K686" s="122">
        <v>0</v>
      </c>
      <c r="L686" s="122">
        <v>0</v>
      </c>
      <c r="M686" s="122">
        <v>0</v>
      </c>
      <c r="N686" s="122">
        <v>0</v>
      </c>
      <c r="O686" s="122">
        <v>0</v>
      </c>
      <c r="P686" s="122">
        <v>342.35260631982237</v>
      </c>
      <c r="Q686" s="122">
        <v>0</v>
      </c>
      <c r="R686" s="122">
        <v>0</v>
      </c>
      <c r="S686" s="122">
        <v>0</v>
      </c>
      <c r="T686" s="122">
        <v>-195.37416107347235</v>
      </c>
      <c r="U686" s="122">
        <v>0</v>
      </c>
      <c r="V686" s="122">
        <v>0</v>
      </c>
      <c r="W686" s="122">
        <v>0</v>
      </c>
      <c r="X686" s="122">
        <v>0</v>
      </c>
      <c r="Y686" s="122">
        <v>0</v>
      </c>
      <c r="Z686" s="122">
        <v>0</v>
      </c>
      <c r="AA686" s="122">
        <v>0</v>
      </c>
      <c r="AB686" s="122">
        <v>0</v>
      </c>
      <c r="AC686" s="122">
        <v>0</v>
      </c>
      <c r="AD686" s="122">
        <v>0</v>
      </c>
      <c r="AE686" s="122">
        <v>0</v>
      </c>
      <c r="AF686" s="122">
        <v>0</v>
      </c>
      <c r="AG686" s="122">
        <v>0</v>
      </c>
      <c r="AH686" s="122">
        <v>0</v>
      </c>
      <c r="AI686" s="117">
        <f t="shared" si="205"/>
        <v>146.57844524635004</v>
      </c>
      <c r="AJ686" s="117">
        <f t="shared" si="206"/>
        <v>146.57844524635004</v>
      </c>
      <c r="AK686" s="117">
        <f t="shared" si="207"/>
        <v>0</v>
      </c>
      <c r="AL686" s="23"/>
      <c r="AM686" s="127" t="b">
        <f t="shared" si="208"/>
        <v>1</v>
      </c>
      <c r="AN686" s="127" t="str">
        <f t="shared" si="209"/>
        <v>Adjustment resulting from asset allocation, 2014/15</v>
      </c>
      <c r="AO686" s="129"/>
      <c r="AP686" s="129"/>
      <c r="AQ686" s="129"/>
      <c r="AR686" s="129"/>
      <c r="AS686" s="129"/>
      <c r="AT686" s="129"/>
      <c r="AU686" s="129"/>
      <c r="AV686" s="129"/>
      <c r="AW686" s="129">
        <v>1</v>
      </c>
      <c r="AX686" s="197">
        <v>1</v>
      </c>
      <c r="AY686" s="197">
        <v>1</v>
      </c>
      <c r="AZ686" s="197">
        <v>1</v>
      </c>
      <c r="BA686" s="197"/>
      <c r="BB686" s="129"/>
      <c r="BC686" s="129"/>
      <c r="BD686" s="129"/>
      <c r="BE686" s="129"/>
      <c r="BF686" s="129"/>
      <c r="BG686" s="129"/>
      <c r="BH686" s="129"/>
      <c r="BI686" s="129"/>
      <c r="BJ686" s="129"/>
      <c r="BK686" s="129"/>
      <c r="BL686" s="129"/>
      <c r="BM686" s="197">
        <v>1</v>
      </c>
    </row>
    <row r="687" spans="1:65" x14ac:dyDescent="0.25">
      <c r="A687" s="121"/>
      <c r="B687" s="121"/>
      <c r="C687" s="172"/>
      <c r="D687" s="49"/>
      <c r="E687" s="49"/>
      <c r="F687" s="54"/>
      <c r="G687" s="54"/>
      <c r="H687" s="54"/>
      <c r="I687" s="54"/>
      <c r="J687" s="54"/>
      <c r="K687" s="54"/>
      <c r="L687" s="54"/>
      <c r="M687" s="54"/>
      <c r="N687" s="54"/>
      <c r="O687" s="54"/>
      <c r="P687" s="54"/>
      <c r="Q687" s="54"/>
      <c r="R687" s="54"/>
      <c r="S687" s="54"/>
      <c r="T687" s="54"/>
      <c r="U687" s="54"/>
      <c r="V687" s="54"/>
      <c r="W687" s="54"/>
      <c r="X687" s="54"/>
      <c r="Y687" s="54"/>
      <c r="Z687" s="54"/>
      <c r="AA687" s="54"/>
      <c r="AB687" s="54"/>
      <c r="AC687" s="54"/>
      <c r="AD687" s="54"/>
      <c r="AE687" s="54"/>
      <c r="AF687" s="54"/>
      <c r="AG687" s="54"/>
      <c r="AH687" s="54"/>
      <c r="AI687" s="54"/>
      <c r="AJ687" s="54"/>
      <c r="AK687" s="54"/>
      <c r="AL687" s="23"/>
      <c r="AM687" s="127"/>
      <c r="AN687" s="127"/>
      <c r="AO687" s="129"/>
      <c r="AP687" s="129"/>
      <c r="AQ687" s="129"/>
      <c r="AR687" s="129"/>
      <c r="AS687" s="129"/>
      <c r="AT687" s="129"/>
      <c r="AU687" s="129"/>
      <c r="AV687" s="129"/>
      <c r="AW687" s="129"/>
      <c r="AX687" s="197"/>
      <c r="AY687" s="197"/>
      <c r="AZ687" s="197"/>
      <c r="BA687" s="197"/>
      <c r="BB687" s="129"/>
      <c r="BC687" s="129"/>
      <c r="BD687" s="129"/>
      <c r="BE687" s="129"/>
      <c r="BF687" s="129"/>
      <c r="BG687" s="129"/>
      <c r="BH687" s="129"/>
      <c r="BI687" s="129"/>
      <c r="BJ687" s="129"/>
      <c r="BK687" s="129"/>
      <c r="BL687" s="129"/>
      <c r="BM687" s="197"/>
    </row>
    <row r="688" spans="1:65" x14ac:dyDescent="0.25">
      <c r="A688" s="121"/>
      <c r="B688" s="121"/>
      <c r="C688" s="172"/>
      <c r="D688" s="46"/>
      <c r="E688" s="46"/>
      <c r="F688" s="54"/>
      <c r="G688" s="54"/>
      <c r="H688" s="54"/>
      <c r="I688" s="54"/>
      <c r="J688" s="54"/>
      <c r="K688" s="54"/>
      <c r="L688" s="54"/>
      <c r="M688" s="54"/>
      <c r="N688" s="54"/>
      <c r="O688" s="54"/>
      <c r="P688" s="54"/>
      <c r="Q688" s="54"/>
      <c r="R688" s="54"/>
      <c r="S688" s="54"/>
      <c r="T688" s="54"/>
      <c r="U688" s="54"/>
      <c r="V688" s="54"/>
      <c r="W688" s="55"/>
      <c r="X688" s="55"/>
      <c r="Y688" s="55"/>
      <c r="Z688" s="55"/>
      <c r="AA688" s="55"/>
      <c r="AB688" s="55"/>
      <c r="AC688" s="55"/>
      <c r="AD688" s="55"/>
      <c r="AE688" s="55"/>
      <c r="AF688" s="55"/>
      <c r="AG688" s="55"/>
      <c r="AH688" s="55"/>
      <c r="AI688" s="54"/>
      <c r="AJ688" s="54"/>
      <c r="AK688" s="54"/>
      <c r="AL688" s="23"/>
      <c r="AM688" s="127"/>
      <c r="AN688" s="127"/>
      <c r="AO688" s="129"/>
      <c r="AP688" s="129"/>
      <c r="AQ688" s="129"/>
      <c r="AR688" s="129"/>
      <c r="AS688" s="129"/>
      <c r="AT688" s="129"/>
      <c r="AU688" s="129"/>
      <c r="AV688" s="129"/>
      <c r="AW688" s="129"/>
      <c r="AX688" s="197"/>
      <c r="AY688" s="197"/>
      <c r="AZ688" s="197"/>
      <c r="BA688" s="197"/>
      <c r="BB688" s="129"/>
      <c r="BC688" s="129"/>
      <c r="BD688" s="129"/>
      <c r="BE688" s="129"/>
      <c r="BF688" s="129"/>
      <c r="BG688" s="129"/>
      <c r="BH688" s="129"/>
      <c r="BI688" s="129"/>
      <c r="BJ688" s="129"/>
      <c r="BK688" s="129"/>
      <c r="BL688" s="129"/>
      <c r="BM688" s="197"/>
    </row>
    <row r="689" spans="1:66" x14ac:dyDescent="0.25">
      <c r="A689" s="121" t="s">
        <v>50</v>
      </c>
      <c r="B689" s="121" t="s">
        <v>23</v>
      </c>
      <c r="C689" s="172" t="s">
        <v>397</v>
      </c>
      <c r="D689" s="161">
        <v>1</v>
      </c>
      <c r="E689" s="29" t="str">
        <f>INDEX(ra_ScName,MATCH(D689,ra_ScNumber,0))</f>
        <v>Expected nominal return (incl forecast asset revaluations)</v>
      </c>
      <c r="F689" s="122">
        <v>0</v>
      </c>
      <c r="G689" s="122">
        <v>10.334553600320408</v>
      </c>
      <c r="H689" s="122">
        <v>0</v>
      </c>
      <c r="I689" s="122">
        <v>0</v>
      </c>
      <c r="J689" s="122">
        <v>0</v>
      </c>
      <c r="K689" s="122">
        <v>0</v>
      </c>
      <c r="L689" s="122">
        <v>0</v>
      </c>
      <c r="M689" s="122">
        <v>0</v>
      </c>
      <c r="N689" s="122">
        <v>0</v>
      </c>
      <c r="O689" s="122">
        <v>0</v>
      </c>
      <c r="P689" s="122">
        <v>0</v>
      </c>
      <c r="Q689" s="122">
        <v>0</v>
      </c>
      <c r="R689" s="122">
        <v>0</v>
      </c>
      <c r="S689" s="122">
        <v>0</v>
      </c>
      <c r="T689" s="122">
        <v>496.91418177813614</v>
      </c>
      <c r="U689" s="122">
        <v>0</v>
      </c>
      <c r="V689" s="122">
        <v>0</v>
      </c>
      <c r="W689" s="54"/>
      <c r="X689" s="54"/>
      <c r="Y689" s="54"/>
      <c r="Z689" s="54"/>
      <c r="AA689" s="54"/>
      <c r="AB689" s="54"/>
      <c r="AC689" s="54"/>
      <c r="AD689" s="54"/>
      <c r="AE689" s="54"/>
      <c r="AF689" s="54"/>
      <c r="AG689" s="54"/>
      <c r="AH689" s="54"/>
      <c r="AI689" s="117">
        <f>SUM(F689:AH689)</f>
        <v>507.24873537845656</v>
      </c>
      <c r="AJ689" s="117">
        <f>SUM(F689:U689)</f>
        <v>507.24873537845656</v>
      </c>
      <c r="AK689" s="117">
        <f>SUM(W689:AH689)</f>
        <v>0</v>
      </c>
      <c r="AL689" s="23"/>
      <c r="AM689" s="127" t="b">
        <f>IF(INDEX($AO689:$BM689,0,$F$14)=1,TRUE,FALSE)</f>
        <v>0</v>
      </c>
      <c r="AN689" s="127" t="str">
        <f>IF(AM689,A689&amp;", "&amp;B689,"")</f>
        <v/>
      </c>
      <c r="AO689" s="129">
        <v>1</v>
      </c>
      <c r="AP689" s="129"/>
      <c r="AQ689" s="129"/>
      <c r="AR689" s="129"/>
      <c r="AS689" s="129"/>
      <c r="AT689" s="129"/>
      <c r="AU689" s="129"/>
      <c r="AV689" s="129"/>
      <c r="AW689" s="129"/>
      <c r="AX689" s="197"/>
      <c r="AY689" s="197"/>
      <c r="AZ689" s="197"/>
      <c r="BA689" s="197"/>
      <c r="BB689" s="129"/>
      <c r="BC689" s="129"/>
      <c r="BD689" s="129"/>
      <c r="BE689" s="129"/>
      <c r="BF689" s="129"/>
      <c r="BG689" s="129"/>
      <c r="BH689" s="129"/>
      <c r="BI689" s="129"/>
      <c r="BJ689" s="129"/>
      <c r="BK689" s="129"/>
      <c r="BL689" s="129"/>
      <c r="BM689" s="197"/>
    </row>
    <row r="690" spans="1:66" x14ac:dyDescent="0.25">
      <c r="A690" s="121" t="s">
        <v>50</v>
      </c>
      <c r="B690" s="121" t="s">
        <v>24</v>
      </c>
      <c r="C690" s="172" t="s">
        <v>397</v>
      </c>
      <c r="D690" s="161">
        <v>1</v>
      </c>
      <c r="E690" s="29" t="str">
        <f>INDEX(ra_ScName,MATCH(D690,ra_ScNumber,0))</f>
        <v>Expected nominal return (incl forecast asset revaluations)</v>
      </c>
      <c r="F690" s="122">
        <v>0</v>
      </c>
      <c r="G690" s="122">
        <v>10.947737926460167</v>
      </c>
      <c r="H690" s="122">
        <v>0</v>
      </c>
      <c r="I690" s="122">
        <v>0</v>
      </c>
      <c r="J690" s="122">
        <v>0</v>
      </c>
      <c r="K690" s="122">
        <v>0</v>
      </c>
      <c r="L690" s="122">
        <v>0</v>
      </c>
      <c r="M690" s="122">
        <v>0</v>
      </c>
      <c r="N690" s="122">
        <v>0</v>
      </c>
      <c r="O690" s="122">
        <v>0</v>
      </c>
      <c r="P690" s="122">
        <v>0</v>
      </c>
      <c r="Q690" s="122">
        <v>0</v>
      </c>
      <c r="R690" s="122">
        <v>0</v>
      </c>
      <c r="S690" s="122">
        <v>0</v>
      </c>
      <c r="T690" s="122">
        <v>513.05540728508572</v>
      </c>
      <c r="U690" s="122">
        <v>0</v>
      </c>
      <c r="V690" s="122">
        <v>0</v>
      </c>
      <c r="W690" s="54"/>
      <c r="X690" s="54"/>
      <c r="Y690" s="54"/>
      <c r="Z690" s="54"/>
      <c r="AA690" s="54"/>
      <c r="AB690" s="54"/>
      <c r="AC690" s="54"/>
      <c r="AD690" s="54"/>
      <c r="AE690" s="54"/>
      <c r="AF690" s="54"/>
      <c r="AG690" s="54"/>
      <c r="AH690" s="54"/>
      <c r="AI690" s="117">
        <f>SUM(F690:AH690)</f>
        <v>524.00314521154587</v>
      </c>
      <c r="AJ690" s="117">
        <f>SUM(F690:U690)</f>
        <v>524.00314521154587</v>
      </c>
      <c r="AK690" s="117">
        <f>SUM(W690:AH690)</f>
        <v>0</v>
      </c>
      <c r="AL690" s="23"/>
      <c r="AM690" s="127" t="b">
        <f>IF(INDEX($AO690:$BM690,0,$F$14)=1,TRUE,FALSE)</f>
        <v>0</v>
      </c>
      <c r="AN690" s="127" t="str">
        <f>IF(AM690,A690&amp;", "&amp;B690,"")</f>
        <v/>
      </c>
      <c r="AO690" s="129">
        <v>1</v>
      </c>
      <c r="AP690" s="129"/>
      <c r="AQ690" s="129"/>
      <c r="AR690" s="129"/>
      <c r="AS690" s="129"/>
      <c r="AT690" s="129"/>
      <c r="AU690" s="129"/>
      <c r="AV690" s="129"/>
      <c r="AW690" s="129"/>
      <c r="AX690" s="197"/>
      <c r="AY690" s="197"/>
      <c r="AZ690" s="197"/>
      <c r="BA690" s="197"/>
      <c r="BB690" s="129"/>
      <c r="BC690" s="129"/>
      <c r="BD690" s="129"/>
      <c r="BE690" s="129"/>
      <c r="BF690" s="129"/>
      <c r="BG690" s="129"/>
      <c r="BH690" s="129"/>
      <c r="BI690" s="129"/>
      <c r="BJ690" s="129"/>
      <c r="BK690" s="129"/>
      <c r="BL690" s="129"/>
      <c r="BM690" s="197"/>
    </row>
    <row r="691" spans="1:66" x14ac:dyDescent="0.25">
      <c r="A691" s="121" t="s">
        <v>50</v>
      </c>
      <c r="B691" s="121" t="s">
        <v>25</v>
      </c>
      <c r="C691" s="172" t="s">
        <v>397</v>
      </c>
      <c r="D691" s="161">
        <v>1</v>
      </c>
      <c r="E691" s="29" t="str">
        <f>INDEX(ra_ScName,MATCH(D691,ra_ScNumber,0))</f>
        <v>Expected nominal return (incl forecast asset revaluations)</v>
      </c>
      <c r="F691" s="122">
        <v>0</v>
      </c>
      <c r="G691" s="122">
        <v>11.619411136986969</v>
      </c>
      <c r="H691" s="122">
        <v>0</v>
      </c>
      <c r="I691" s="122">
        <v>0</v>
      </c>
      <c r="J691" s="122">
        <v>0</v>
      </c>
      <c r="K691" s="122">
        <v>0</v>
      </c>
      <c r="L691" s="122">
        <v>0</v>
      </c>
      <c r="M691" s="122">
        <v>0</v>
      </c>
      <c r="N691" s="122">
        <v>0</v>
      </c>
      <c r="O691" s="122">
        <v>0</v>
      </c>
      <c r="P691" s="122">
        <v>0</v>
      </c>
      <c r="Q691" s="122">
        <v>0</v>
      </c>
      <c r="R691" s="122">
        <v>0</v>
      </c>
      <c r="S691" s="122">
        <v>0</v>
      </c>
      <c r="T691" s="122">
        <v>533.28730100858468</v>
      </c>
      <c r="U691" s="122">
        <v>0</v>
      </c>
      <c r="V691" s="122">
        <v>0</v>
      </c>
      <c r="W691" s="54"/>
      <c r="X691" s="54"/>
      <c r="Y691" s="54"/>
      <c r="Z691" s="54"/>
      <c r="AA691" s="54"/>
      <c r="AB691" s="54"/>
      <c r="AC691" s="54"/>
      <c r="AD691" s="54"/>
      <c r="AE691" s="54"/>
      <c r="AF691" s="54"/>
      <c r="AG691" s="54"/>
      <c r="AH691" s="54"/>
      <c r="AI691" s="117">
        <f>SUM(F691:AH691)</f>
        <v>544.90671214557165</v>
      </c>
      <c r="AJ691" s="117">
        <f>SUM(F691:U691)</f>
        <v>544.90671214557165</v>
      </c>
      <c r="AK691" s="117">
        <f>SUM(W691:AH691)</f>
        <v>0</v>
      </c>
      <c r="AL691" s="23"/>
      <c r="AM691" s="127" t="b">
        <f>IF(INDEX($AO691:$BM691,0,$F$14)=1,TRUE,FALSE)</f>
        <v>0</v>
      </c>
      <c r="AN691" s="127" t="str">
        <f>IF(AM691,A691&amp;", "&amp;B691,"")</f>
        <v/>
      </c>
      <c r="AO691" s="129">
        <v>1</v>
      </c>
      <c r="AP691" s="129"/>
      <c r="AQ691" s="129"/>
      <c r="AR691" s="129"/>
      <c r="AS691" s="129"/>
      <c r="AT691" s="129"/>
      <c r="AU691" s="129"/>
      <c r="AV691" s="129"/>
      <c r="AW691" s="129"/>
      <c r="AX691" s="197"/>
      <c r="AY691" s="197"/>
      <c r="AZ691" s="197"/>
      <c r="BA691" s="197"/>
      <c r="BB691" s="129"/>
      <c r="BC691" s="129"/>
      <c r="BD691" s="129"/>
      <c r="BE691" s="129"/>
      <c r="BF691" s="129"/>
      <c r="BG691" s="129"/>
      <c r="BH691" s="129"/>
      <c r="BI691" s="129"/>
      <c r="BJ691" s="129"/>
      <c r="BK691" s="129"/>
      <c r="BL691" s="129"/>
      <c r="BM691" s="197"/>
    </row>
    <row r="692" spans="1:66" x14ac:dyDescent="0.25">
      <c r="A692" s="121" t="s">
        <v>50</v>
      </c>
      <c r="B692" s="121" t="s">
        <v>26</v>
      </c>
      <c r="C692" s="172" t="s">
        <v>397</v>
      </c>
      <c r="D692" s="161">
        <v>1</v>
      </c>
      <c r="E692" s="29" t="str">
        <f>INDEX(ra_ScName,MATCH(D692,ra_ScNumber,0))</f>
        <v>Expected nominal return (incl forecast asset revaluations)</v>
      </c>
      <c r="F692" s="122">
        <v>0</v>
      </c>
      <c r="G692" s="122">
        <v>12.129189421740032</v>
      </c>
      <c r="H692" s="122">
        <v>0</v>
      </c>
      <c r="I692" s="122">
        <v>0</v>
      </c>
      <c r="J692" s="122">
        <v>0</v>
      </c>
      <c r="K692" s="122">
        <v>0</v>
      </c>
      <c r="L692" s="122">
        <v>0</v>
      </c>
      <c r="M692" s="122">
        <v>0</v>
      </c>
      <c r="N692" s="122">
        <v>0</v>
      </c>
      <c r="O692" s="122">
        <v>0</v>
      </c>
      <c r="P692" s="122">
        <v>0</v>
      </c>
      <c r="Q692" s="122">
        <v>0</v>
      </c>
      <c r="R692" s="122">
        <v>0</v>
      </c>
      <c r="S692" s="122">
        <v>0</v>
      </c>
      <c r="T692" s="122">
        <v>554.71021754665662</v>
      </c>
      <c r="U692" s="122">
        <v>0</v>
      </c>
      <c r="V692" s="122">
        <v>0</v>
      </c>
      <c r="W692" s="54"/>
      <c r="X692" s="54"/>
      <c r="Y692" s="54"/>
      <c r="Z692" s="54"/>
      <c r="AA692" s="54"/>
      <c r="AB692" s="54"/>
      <c r="AC692" s="54"/>
      <c r="AD692" s="54"/>
      <c r="AE692" s="54"/>
      <c r="AF692" s="54"/>
      <c r="AG692" s="54"/>
      <c r="AH692" s="54"/>
      <c r="AI692" s="117">
        <f>SUM(F692:AH692)</f>
        <v>566.8394069683967</v>
      </c>
      <c r="AJ692" s="117">
        <f>SUM(F692:U692)</f>
        <v>566.8394069683967</v>
      </c>
      <c r="AK692" s="117">
        <f>SUM(W692:AH692)</f>
        <v>0</v>
      </c>
      <c r="AL692" s="23"/>
      <c r="AM692" s="127" t="b">
        <f>IF(INDEX($AO692:$BM692,0,$F$14)=1,TRUE,FALSE)</f>
        <v>0</v>
      </c>
      <c r="AN692" s="127" t="str">
        <f>IF(AM692,A692&amp;", "&amp;B692,"")</f>
        <v/>
      </c>
      <c r="AO692" s="129">
        <v>1</v>
      </c>
      <c r="AP692" s="129"/>
      <c r="AQ692" s="129"/>
      <c r="AR692" s="129"/>
      <c r="AS692" s="129"/>
      <c r="AT692" s="129"/>
      <c r="AU692" s="129"/>
      <c r="AV692" s="129"/>
      <c r="AW692" s="129"/>
      <c r="AX692" s="197"/>
      <c r="AY692" s="197"/>
      <c r="AZ692" s="197"/>
      <c r="BA692" s="197"/>
      <c r="BB692" s="129"/>
      <c r="BC692" s="129"/>
      <c r="BD692" s="129"/>
      <c r="BE692" s="129"/>
      <c r="BF692" s="129"/>
      <c r="BG692" s="129"/>
      <c r="BH692" s="129"/>
      <c r="BI692" s="129"/>
      <c r="BJ692" s="129"/>
      <c r="BK692" s="129"/>
      <c r="BL692" s="129"/>
      <c r="BM692" s="197"/>
    </row>
    <row r="693" spans="1:66" x14ac:dyDescent="0.25">
      <c r="A693" s="121" t="s">
        <v>50</v>
      </c>
      <c r="B693" s="121" t="s">
        <v>27</v>
      </c>
      <c r="C693" s="172" t="s">
        <v>397</v>
      </c>
      <c r="D693" s="161">
        <v>1</v>
      </c>
      <c r="E693" s="29" t="str">
        <f>INDEX(ra_ScName,MATCH(D693,ra_ScNumber,0))</f>
        <v>Expected nominal return (incl forecast asset revaluations)</v>
      </c>
      <c r="F693" s="122">
        <v>0</v>
      </c>
      <c r="G693" s="122">
        <v>12.752134851044152</v>
      </c>
      <c r="H693" s="122">
        <v>0</v>
      </c>
      <c r="I693" s="122">
        <v>0</v>
      </c>
      <c r="J693" s="122">
        <v>0</v>
      </c>
      <c r="K693" s="122">
        <v>0</v>
      </c>
      <c r="L693" s="122">
        <v>0</v>
      </c>
      <c r="M693" s="122">
        <v>0</v>
      </c>
      <c r="N693" s="122">
        <v>0</v>
      </c>
      <c r="O693" s="122">
        <v>0</v>
      </c>
      <c r="P693" s="122">
        <v>0</v>
      </c>
      <c r="Q693" s="122">
        <v>0</v>
      </c>
      <c r="R693" s="122">
        <v>0</v>
      </c>
      <c r="S693" s="122">
        <v>0</v>
      </c>
      <c r="T693" s="122">
        <v>576.81884365800522</v>
      </c>
      <c r="U693" s="122">
        <v>0</v>
      </c>
      <c r="V693" s="122">
        <v>0</v>
      </c>
      <c r="W693" s="54"/>
      <c r="X693" s="54"/>
      <c r="Y693" s="54"/>
      <c r="Z693" s="54"/>
      <c r="AA693" s="54"/>
      <c r="AB693" s="54"/>
      <c r="AC693" s="54"/>
      <c r="AD693" s="54"/>
      <c r="AE693" s="54"/>
      <c r="AF693" s="54"/>
      <c r="AG693" s="54"/>
      <c r="AH693" s="54"/>
      <c r="AI693" s="117">
        <f>SUM(F693:AH693)</f>
        <v>589.57097850904938</v>
      </c>
      <c r="AJ693" s="117">
        <f>SUM(F693:U693)</f>
        <v>589.57097850904938</v>
      </c>
      <c r="AK693" s="117">
        <f>SUM(W693:AH693)</f>
        <v>0</v>
      </c>
      <c r="AL693" s="23"/>
      <c r="AM693" s="127" t="b">
        <f>IF(INDEX($AO693:$BM693,0,$F$14)=1,TRUE,FALSE)</f>
        <v>0</v>
      </c>
      <c r="AN693" s="127" t="str">
        <f>IF(AM693,A693&amp;", "&amp;B693,"")</f>
        <v/>
      </c>
      <c r="AO693" s="129">
        <v>1</v>
      </c>
      <c r="AP693" s="129"/>
      <c r="AQ693" s="129"/>
      <c r="AR693" s="129"/>
      <c r="AS693" s="129"/>
      <c r="AT693" s="129"/>
      <c r="AU693" s="129"/>
      <c r="AV693" s="129"/>
      <c r="AW693" s="129"/>
      <c r="AX693" s="197"/>
      <c r="AY693" s="197"/>
      <c r="AZ693" s="197"/>
      <c r="BA693" s="197"/>
      <c r="BB693" s="129"/>
      <c r="BC693" s="129"/>
      <c r="BD693" s="129"/>
      <c r="BE693" s="129"/>
      <c r="BF693" s="129"/>
      <c r="BG693" s="129"/>
      <c r="BH693" s="129"/>
      <c r="BI693" s="129"/>
      <c r="BJ693" s="129"/>
      <c r="BK693" s="129"/>
      <c r="BL693" s="129"/>
      <c r="BM693" s="197"/>
    </row>
    <row r="694" spans="1:66" x14ac:dyDescent="0.25">
      <c r="A694" s="171"/>
      <c r="B694" s="171"/>
      <c r="C694" s="172"/>
      <c r="D694" s="49"/>
      <c r="E694" s="49"/>
      <c r="F694" s="54"/>
      <c r="G694" s="54"/>
      <c r="H694" s="54"/>
      <c r="I694" s="54"/>
      <c r="J694" s="54"/>
      <c r="K694" s="54"/>
      <c r="L694" s="54"/>
      <c r="M694" s="54"/>
      <c r="N694" s="54"/>
      <c r="O694" s="54"/>
      <c r="P694" s="54"/>
      <c r="Q694" s="54"/>
      <c r="R694" s="54"/>
      <c r="S694" s="54"/>
      <c r="T694" s="54"/>
      <c r="U694" s="54"/>
      <c r="V694" s="54"/>
      <c r="W694" s="54"/>
      <c r="X694" s="54"/>
      <c r="Y694" s="54"/>
      <c r="Z694" s="54"/>
      <c r="AA694" s="54"/>
      <c r="AB694" s="54"/>
      <c r="AC694" s="54"/>
      <c r="AD694" s="54"/>
      <c r="AE694" s="54"/>
      <c r="AF694" s="54"/>
      <c r="AG694" s="54"/>
      <c r="AH694" s="54"/>
      <c r="AI694" s="54"/>
      <c r="AJ694" s="54"/>
      <c r="AK694" s="54"/>
      <c r="AL694" s="23"/>
      <c r="AM694" s="127"/>
      <c r="AN694" s="127"/>
      <c r="AO694" s="129"/>
      <c r="AP694" s="129"/>
      <c r="AQ694" s="129"/>
      <c r="AR694" s="129"/>
      <c r="AS694" s="129"/>
      <c r="AT694" s="129"/>
      <c r="AU694" s="129"/>
      <c r="AV694" s="129"/>
      <c r="AW694" s="129"/>
      <c r="AX694" s="197"/>
      <c r="AY694" s="197"/>
      <c r="AZ694" s="197"/>
      <c r="BA694" s="197"/>
      <c r="BB694" s="129"/>
      <c r="BC694" s="129"/>
      <c r="BD694" s="129"/>
      <c r="BE694" s="129"/>
      <c r="BF694" s="129"/>
      <c r="BG694" s="129"/>
      <c r="BH694" s="129"/>
      <c r="BI694" s="129"/>
      <c r="BJ694" s="129"/>
      <c r="BK694" s="129"/>
      <c r="BL694" s="129"/>
      <c r="BM694" s="197"/>
    </row>
    <row r="695" spans="1:66" x14ac:dyDescent="0.25">
      <c r="A695" s="171"/>
      <c r="B695" s="171"/>
      <c r="C695" s="172"/>
      <c r="D695" s="46"/>
      <c r="E695" s="46"/>
      <c r="F695" s="54"/>
      <c r="G695" s="54"/>
      <c r="H695" s="54"/>
      <c r="I695" s="54"/>
      <c r="J695" s="54"/>
      <c r="K695" s="54"/>
      <c r="L695" s="54"/>
      <c r="M695" s="54"/>
      <c r="N695" s="54"/>
      <c r="O695" s="54"/>
      <c r="P695" s="54"/>
      <c r="Q695" s="54"/>
      <c r="R695" s="54"/>
      <c r="S695" s="54"/>
      <c r="T695" s="54"/>
      <c r="U695" s="54"/>
      <c r="V695" s="54"/>
      <c r="W695" s="55"/>
      <c r="X695" s="55"/>
      <c r="Y695" s="55"/>
      <c r="Z695" s="55"/>
      <c r="AA695" s="55"/>
      <c r="AB695" s="55"/>
      <c r="AC695" s="55"/>
      <c r="AD695" s="55"/>
      <c r="AE695" s="55"/>
      <c r="AF695" s="55"/>
      <c r="AG695" s="55"/>
      <c r="AH695" s="55"/>
      <c r="AI695" s="54"/>
      <c r="AJ695" s="54"/>
      <c r="AK695" s="54"/>
      <c r="AL695" s="23"/>
      <c r="AM695" s="127"/>
      <c r="AN695" s="127"/>
      <c r="AO695" s="129"/>
      <c r="AP695" s="129"/>
      <c r="AQ695" s="129"/>
      <c r="AR695" s="129"/>
      <c r="AS695" s="129"/>
      <c r="AT695" s="129"/>
      <c r="AU695" s="129"/>
      <c r="AV695" s="129"/>
      <c r="AW695" s="129"/>
      <c r="AX695" s="197"/>
      <c r="AY695" s="197"/>
      <c r="AZ695" s="197"/>
      <c r="BA695" s="197"/>
      <c r="BB695" s="129"/>
      <c r="BC695" s="129"/>
      <c r="BD695" s="129"/>
      <c r="BE695" s="129"/>
      <c r="BF695" s="129"/>
      <c r="BG695" s="129"/>
      <c r="BH695" s="129"/>
      <c r="BI695" s="129"/>
      <c r="BJ695" s="129"/>
      <c r="BK695" s="129"/>
      <c r="BL695" s="129"/>
      <c r="BM695" s="197"/>
    </row>
    <row r="696" spans="1:66" x14ac:dyDescent="0.25">
      <c r="A696" s="171" t="s">
        <v>50</v>
      </c>
      <c r="B696" s="171" t="s">
        <v>23</v>
      </c>
      <c r="C696" s="172" t="s">
        <v>371</v>
      </c>
      <c r="D696" s="161">
        <v>2</v>
      </c>
      <c r="E696" s="29" t="str">
        <f>INDEX(ra_ScName,MATCH(D696,ra_ScNumber,0))</f>
        <v>Expected real return (excl forecast asset revaluations)</v>
      </c>
      <c r="F696" s="122">
        <v>0</v>
      </c>
      <c r="G696" s="122">
        <v>10.162667467505869</v>
      </c>
      <c r="H696" s="122">
        <v>0</v>
      </c>
      <c r="I696" s="122">
        <v>0</v>
      </c>
      <c r="J696" s="122">
        <v>0</v>
      </c>
      <c r="K696" s="122">
        <v>0</v>
      </c>
      <c r="L696" s="122">
        <v>0</v>
      </c>
      <c r="M696" s="122">
        <v>0</v>
      </c>
      <c r="N696" s="122">
        <v>0</v>
      </c>
      <c r="O696" s="122">
        <v>0</v>
      </c>
      <c r="P696" s="122">
        <v>0</v>
      </c>
      <c r="Q696" s="122">
        <v>0</v>
      </c>
      <c r="R696" s="122">
        <v>0</v>
      </c>
      <c r="S696" s="122">
        <v>0</v>
      </c>
      <c r="T696" s="122">
        <v>488.69994000985503</v>
      </c>
      <c r="U696" s="122">
        <v>0</v>
      </c>
      <c r="V696" s="122"/>
      <c r="W696" s="54"/>
      <c r="X696" s="54"/>
      <c r="Y696" s="54"/>
      <c r="Z696" s="54"/>
      <c r="AA696" s="54"/>
      <c r="AB696" s="54"/>
      <c r="AC696" s="54"/>
      <c r="AD696" s="54"/>
      <c r="AE696" s="54"/>
      <c r="AF696" s="54"/>
      <c r="AG696" s="54"/>
      <c r="AH696" s="54"/>
      <c r="AI696" s="117">
        <f>SUM(F696:AH696)</f>
        <v>498.86260747736088</v>
      </c>
      <c r="AJ696" s="117">
        <f>SUM(F696:U696)</f>
        <v>498.86260747736088</v>
      </c>
      <c r="AK696" s="117">
        <f>SUM(W696:AH696)</f>
        <v>0</v>
      </c>
      <c r="AL696" s="23"/>
      <c r="AM696" s="127" t="b">
        <f>IF(INDEX($AO696:$BM696,0,$F$14)=1,TRUE,FALSE)</f>
        <v>0</v>
      </c>
      <c r="AN696" s="127" t="str">
        <f>IF(AM696,A696&amp;", "&amp;B696,"")</f>
        <v/>
      </c>
      <c r="AO696" s="129"/>
      <c r="AP696" s="129">
        <v>1</v>
      </c>
      <c r="AQ696" s="129">
        <v>1</v>
      </c>
      <c r="AR696" s="129"/>
      <c r="AS696" s="129"/>
      <c r="AT696" s="129"/>
      <c r="AU696" s="129"/>
      <c r="AV696" s="129"/>
      <c r="AW696" s="129"/>
      <c r="AX696" s="197"/>
      <c r="AY696" s="197"/>
      <c r="AZ696" s="197"/>
      <c r="BA696" s="197">
        <v>1</v>
      </c>
      <c r="BB696" s="129">
        <v>1</v>
      </c>
      <c r="BC696" s="129">
        <v>1</v>
      </c>
      <c r="BD696" s="129">
        <v>1</v>
      </c>
      <c r="BE696" s="129">
        <v>1</v>
      </c>
      <c r="BF696" s="129">
        <v>1</v>
      </c>
      <c r="BG696" s="129">
        <v>1</v>
      </c>
      <c r="BH696" s="129">
        <v>1</v>
      </c>
      <c r="BI696" s="129">
        <v>1</v>
      </c>
      <c r="BJ696" s="129">
        <v>1</v>
      </c>
      <c r="BK696" s="129">
        <v>1</v>
      </c>
      <c r="BL696" s="129"/>
      <c r="BM696" s="197"/>
    </row>
    <row r="697" spans="1:66" x14ac:dyDescent="0.25">
      <c r="A697" s="171" t="s">
        <v>50</v>
      </c>
      <c r="B697" s="171" t="s">
        <v>24</v>
      </c>
      <c r="C697" s="172" t="s">
        <v>371</v>
      </c>
      <c r="D697" s="161">
        <v>2</v>
      </c>
      <c r="E697" s="29" t="str">
        <f>INDEX(ra_ScName,MATCH(D697,ra_ScNumber,0))</f>
        <v>Expected real return (excl forecast asset revaluations)</v>
      </c>
      <c r="F697" s="122">
        <v>0</v>
      </c>
      <c r="G697" s="122">
        <v>10.576582974479688</v>
      </c>
      <c r="H697" s="122">
        <v>0</v>
      </c>
      <c r="I697" s="122">
        <v>0</v>
      </c>
      <c r="J697" s="122">
        <v>0</v>
      </c>
      <c r="K697" s="122">
        <v>0</v>
      </c>
      <c r="L697" s="122">
        <v>0</v>
      </c>
      <c r="M697" s="122">
        <v>0</v>
      </c>
      <c r="N697" s="122">
        <v>0</v>
      </c>
      <c r="O697" s="122">
        <v>0</v>
      </c>
      <c r="P697" s="122">
        <v>0</v>
      </c>
      <c r="Q697" s="122">
        <v>0</v>
      </c>
      <c r="R697" s="122">
        <v>0</v>
      </c>
      <c r="S697" s="122">
        <v>0</v>
      </c>
      <c r="T697" s="122">
        <v>495.33080310841359</v>
      </c>
      <c r="U697" s="122">
        <v>0</v>
      </c>
      <c r="V697" s="122"/>
      <c r="W697" s="54"/>
      <c r="X697" s="54"/>
      <c r="Y697" s="54"/>
      <c r="Z697" s="54"/>
      <c r="AA697" s="54"/>
      <c r="AB697" s="54"/>
      <c r="AC697" s="54"/>
      <c r="AD697" s="54"/>
      <c r="AE697" s="54"/>
      <c r="AF697" s="54"/>
      <c r="AG697" s="54"/>
      <c r="AH697" s="54"/>
      <c r="AI697" s="117">
        <f>SUM(F697:AH697)</f>
        <v>505.90738608289325</v>
      </c>
      <c r="AJ697" s="117">
        <f>SUM(F697:U697)</f>
        <v>505.90738608289325</v>
      </c>
      <c r="AK697" s="117">
        <f>SUM(W697:AH697)</f>
        <v>0</v>
      </c>
      <c r="AL697" s="23"/>
      <c r="AM697" s="127" t="b">
        <f>IF(INDEX($AO697:$BM697,0,$F$14)=1,TRUE,FALSE)</f>
        <v>0</v>
      </c>
      <c r="AN697" s="127" t="str">
        <f>IF(AM697,A697&amp;", "&amp;B697,"")</f>
        <v/>
      </c>
      <c r="AO697" s="129"/>
      <c r="AP697" s="129">
        <v>1</v>
      </c>
      <c r="AQ697" s="129">
        <v>1</v>
      </c>
      <c r="AR697" s="129"/>
      <c r="AS697" s="129"/>
      <c r="AT697" s="129"/>
      <c r="AU697" s="129"/>
      <c r="AV697" s="129"/>
      <c r="AW697" s="129"/>
      <c r="AX697" s="197"/>
      <c r="AY697" s="197"/>
      <c r="AZ697" s="197"/>
      <c r="BA697" s="197">
        <v>1</v>
      </c>
      <c r="BB697" s="129">
        <v>1</v>
      </c>
      <c r="BC697" s="129">
        <v>1</v>
      </c>
      <c r="BD697" s="129">
        <v>1</v>
      </c>
      <c r="BE697" s="129">
        <v>1</v>
      </c>
      <c r="BF697" s="129">
        <v>1</v>
      </c>
      <c r="BG697" s="129">
        <v>1</v>
      </c>
      <c r="BH697" s="129">
        <v>1</v>
      </c>
      <c r="BI697" s="129">
        <v>1</v>
      </c>
      <c r="BJ697" s="129">
        <v>1</v>
      </c>
      <c r="BK697" s="129">
        <v>1</v>
      </c>
      <c r="BL697" s="129"/>
      <c r="BM697" s="197"/>
    </row>
    <row r="698" spans="1:66" x14ac:dyDescent="0.25">
      <c r="A698" s="171" t="s">
        <v>50</v>
      </c>
      <c r="B698" s="171" t="s">
        <v>25</v>
      </c>
      <c r="C698" s="172" t="s">
        <v>371</v>
      </c>
      <c r="D698" s="161">
        <v>2</v>
      </c>
      <c r="E698" s="29" t="str">
        <f>INDEX(ra_ScName,MATCH(D698,ra_ScNumber,0))</f>
        <v>Expected real return (excl forecast asset revaluations)</v>
      </c>
      <c r="F698" s="122">
        <v>0</v>
      </c>
      <c r="G698" s="122">
        <v>10.993388562953184</v>
      </c>
      <c r="H698" s="122">
        <v>0</v>
      </c>
      <c r="I698" s="122">
        <v>0</v>
      </c>
      <c r="J698" s="122">
        <v>0</v>
      </c>
      <c r="K698" s="122">
        <v>0</v>
      </c>
      <c r="L698" s="122">
        <v>0</v>
      </c>
      <c r="M698" s="122">
        <v>0</v>
      </c>
      <c r="N698" s="122">
        <v>0</v>
      </c>
      <c r="O698" s="122">
        <v>0</v>
      </c>
      <c r="P698" s="122">
        <v>0</v>
      </c>
      <c r="Q698" s="122">
        <v>0</v>
      </c>
      <c r="R698" s="122">
        <v>0</v>
      </c>
      <c r="S698" s="122">
        <v>0</v>
      </c>
      <c r="T698" s="122">
        <v>503.76755790243675</v>
      </c>
      <c r="U698" s="122">
        <v>0</v>
      </c>
      <c r="V698" s="122"/>
      <c r="W698" s="54"/>
      <c r="X698" s="54"/>
      <c r="Y698" s="54"/>
      <c r="Z698" s="54"/>
      <c r="AA698" s="54"/>
      <c r="AB698" s="54"/>
      <c r="AC698" s="54"/>
      <c r="AD698" s="54"/>
      <c r="AE698" s="54"/>
      <c r="AF698" s="54"/>
      <c r="AG698" s="54"/>
      <c r="AH698" s="54"/>
      <c r="AI698" s="117">
        <f>SUM(F698:AH698)</f>
        <v>514.76094646538991</v>
      </c>
      <c r="AJ698" s="117">
        <f>SUM(F698:U698)</f>
        <v>514.76094646538991</v>
      </c>
      <c r="AK698" s="117">
        <f>SUM(W698:AH698)</f>
        <v>0</v>
      </c>
      <c r="AL698" s="23"/>
      <c r="AM698" s="127" t="b">
        <f>IF(INDEX($AO698:$BM698,0,$F$14)=1,TRUE,FALSE)</f>
        <v>0</v>
      </c>
      <c r="AN698" s="127" t="str">
        <f>IF(AM698,A698&amp;", "&amp;B698,"")</f>
        <v/>
      </c>
      <c r="AO698" s="129"/>
      <c r="AP698" s="129">
        <v>1</v>
      </c>
      <c r="AQ698" s="129">
        <v>1</v>
      </c>
      <c r="AR698" s="129"/>
      <c r="AS698" s="129"/>
      <c r="AT698" s="129"/>
      <c r="AU698" s="129"/>
      <c r="AV698" s="129"/>
      <c r="AW698" s="129"/>
      <c r="AX698" s="197"/>
      <c r="AY698" s="197"/>
      <c r="AZ698" s="197"/>
      <c r="BA698" s="197">
        <v>1</v>
      </c>
      <c r="BB698" s="129">
        <v>1</v>
      </c>
      <c r="BC698" s="129">
        <v>1</v>
      </c>
      <c r="BD698" s="129">
        <v>1</v>
      </c>
      <c r="BE698" s="129">
        <v>1</v>
      </c>
      <c r="BF698" s="129">
        <v>1</v>
      </c>
      <c r="BG698" s="129">
        <v>1</v>
      </c>
      <c r="BH698" s="129">
        <v>1</v>
      </c>
      <c r="BI698" s="129">
        <v>1</v>
      </c>
      <c r="BJ698" s="129">
        <v>1</v>
      </c>
      <c r="BK698" s="129">
        <v>1</v>
      </c>
      <c r="BL698" s="129"/>
      <c r="BM698" s="197"/>
    </row>
    <row r="699" spans="1:66" x14ac:dyDescent="0.25">
      <c r="A699" s="171" t="s">
        <v>50</v>
      </c>
      <c r="B699" s="171" t="s">
        <v>26</v>
      </c>
      <c r="C699" s="172" t="s">
        <v>371</v>
      </c>
      <c r="D699" s="161">
        <v>2</v>
      </c>
      <c r="E699" s="29" t="str">
        <f>INDEX(ra_ScName,MATCH(D699,ra_ScNumber,0))</f>
        <v>Expected real return (excl forecast asset revaluations)</v>
      </c>
      <c r="F699" s="122">
        <v>0</v>
      </c>
      <c r="G699" s="122">
        <v>11.25662945431414</v>
      </c>
      <c r="H699" s="122">
        <v>0</v>
      </c>
      <c r="I699" s="122">
        <v>0</v>
      </c>
      <c r="J699" s="122">
        <v>0</v>
      </c>
      <c r="K699" s="122">
        <v>0</v>
      </c>
      <c r="L699" s="122">
        <v>0</v>
      </c>
      <c r="M699" s="122">
        <v>0</v>
      </c>
      <c r="N699" s="122">
        <v>0</v>
      </c>
      <c r="O699" s="122">
        <v>0</v>
      </c>
      <c r="P699" s="122">
        <v>0</v>
      </c>
      <c r="Q699" s="122">
        <v>0</v>
      </c>
      <c r="R699" s="122">
        <v>0</v>
      </c>
      <c r="S699" s="122">
        <v>0</v>
      </c>
      <c r="T699" s="122">
        <v>514.11837187360823</v>
      </c>
      <c r="U699" s="122">
        <v>0</v>
      </c>
      <c r="V699" s="122"/>
      <c r="W699" s="54"/>
      <c r="X699" s="54"/>
      <c r="Y699" s="54"/>
      <c r="Z699" s="54"/>
      <c r="AA699" s="54"/>
      <c r="AB699" s="54"/>
      <c r="AC699" s="54"/>
      <c r="AD699" s="54"/>
      <c r="AE699" s="54"/>
      <c r="AF699" s="54"/>
      <c r="AG699" s="54"/>
      <c r="AH699" s="54"/>
      <c r="AI699" s="117">
        <f>SUM(F699:AH699)</f>
        <v>525.3750013279224</v>
      </c>
      <c r="AJ699" s="117">
        <f>SUM(F699:U699)</f>
        <v>525.3750013279224</v>
      </c>
      <c r="AK699" s="117">
        <f>SUM(W699:AH699)</f>
        <v>0</v>
      </c>
      <c r="AL699" s="23"/>
      <c r="AM699" s="127" t="b">
        <f>IF(INDEX($AO699:$BM699,0,$F$14)=1,TRUE,FALSE)</f>
        <v>0</v>
      </c>
      <c r="AN699" s="127" t="str">
        <f>IF(AM699,A699&amp;", "&amp;B699,"")</f>
        <v/>
      </c>
      <c r="AO699" s="129"/>
      <c r="AP699" s="129">
        <v>1</v>
      </c>
      <c r="AQ699" s="129">
        <v>1</v>
      </c>
      <c r="AR699" s="129"/>
      <c r="AS699" s="129"/>
      <c r="AT699" s="129"/>
      <c r="AU699" s="129"/>
      <c r="AV699" s="129"/>
      <c r="AW699" s="129"/>
      <c r="AX699" s="197"/>
      <c r="AY699" s="197"/>
      <c r="AZ699" s="197"/>
      <c r="BA699" s="197">
        <v>1</v>
      </c>
      <c r="BB699" s="129">
        <v>1</v>
      </c>
      <c r="BC699" s="129">
        <v>1</v>
      </c>
      <c r="BD699" s="129">
        <v>1</v>
      </c>
      <c r="BE699" s="129">
        <v>1</v>
      </c>
      <c r="BF699" s="129">
        <v>1</v>
      </c>
      <c r="BG699" s="129">
        <v>1</v>
      </c>
      <c r="BH699" s="129">
        <v>1</v>
      </c>
      <c r="BI699" s="129">
        <v>1</v>
      </c>
      <c r="BJ699" s="129">
        <v>1</v>
      </c>
      <c r="BK699" s="129">
        <v>1</v>
      </c>
      <c r="BL699" s="129"/>
      <c r="BM699" s="197"/>
    </row>
    <row r="700" spans="1:66" x14ac:dyDescent="0.25">
      <c r="A700" s="171" t="s">
        <v>50</v>
      </c>
      <c r="B700" s="171" t="s">
        <v>27</v>
      </c>
      <c r="C700" s="172" t="s">
        <v>371</v>
      </c>
      <c r="D700" s="161">
        <v>2</v>
      </c>
      <c r="E700" s="29" t="str">
        <f>INDEX(ra_ScName,MATCH(D700,ra_ScNumber,0))</f>
        <v>Expected real return (excl forecast asset revaluations)</v>
      </c>
      <c r="F700" s="122">
        <v>0</v>
      </c>
      <c r="G700" s="122">
        <v>11.646876838504427</v>
      </c>
      <c r="H700" s="122">
        <v>0</v>
      </c>
      <c r="I700" s="122">
        <v>0</v>
      </c>
      <c r="J700" s="122">
        <v>0</v>
      </c>
      <c r="K700" s="122">
        <v>0</v>
      </c>
      <c r="L700" s="122">
        <v>0</v>
      </c>
      <c r="M700" s="122">
        <v>0</v>
      </c>
      <c r="N700" s="122">
        <v>0</v>
      </c>
      <c r="O700" s="122">
        <v>0</v>
      </c>
      <c r="P700" s="122">
        <v>0</v>
      </c>
      <c r="Q700" s="122">
        <v>0</v>
      </c>
      <c r="R700" s="122">
        <v>0</v>
      </c>
      <c r="S700" s="122">
        <v>0</v>
      </c>
      <c r="T700" s="122">
        <v>525.90791579897405</v>
      </c>
      <c r="U700" s="122">
        <v>0</v>
      </c>
      <c r="V700" s="122"/>
      <c r="W700" s="54"/>
      <c r="X700" s="54"/>
      <c r="Y700" s="54"/>
      <c r="Z700" s="54"/>
      <c r="AA700" s="54"/>
      <c r="AB700" s="54"/>
      <c r="AC700" s="54"/>
      <c r="AD700" s="54"/>
      <c r="AE700" s="54"/>
      <c r="AF700" s="54"/>
      <c r="AG700" s="54"/>
      <c r="AH700" s="54"/>
      <c r="AI700" s="117">
        <f>SUM(F700:AH700)</f>
        <v>537.5547926374785</v>
      </c>
      <c r="AJ700" s="117">
        <f>SUM(F700:U700)</f>
        <v>537.5547926374785</v>
      </c>
      <c r="AK700" s="117">
        <f>SUM(W700:AH700)</f>
        <v>0</v>
      </c>
      <c r="AL700" s="23"/>
      <c r="AM700" s="127" t="b">
        <f>IF(INDEX($AO700:$BM700,0,$F$14)=1,TRUE,FALSE)</f>
        <v>0</v>
      </c>
      <c r="AN700" s="127" t="str">
        <f>IF(AM700,A700&amp;", "&amp;B700,"")</f>
        <v/>
      </c>
      <c r="AO700" s="129"/>
      <c r="AP700" s="129">
        <v>1</v>
      </c>
      <c r="AQ700" s="129">
        <v>1</v>
      </c>
      <c r="AR700" s="129"/>
      <c r="AS700" s="129"/>
      <c r="AT700" s="129"/>
      <c r="AU700" s="129"/>
      <c r="AV700" s="129"/>
      <c r="AW700" s="129"/>
      <c r="AX700" s="197"/>
      <c r="AY700" s="197"/>
      <c r="AZ700" s="197"/>
      <c r="BA700" s="197">
        <v>1</v>
      </c>
      <c r="BB700" s="129">
        <v>1</v>
      </c>
      <c r="BC700" s="129">
        <v>1</v>
      </c>
      <c r="BD700" s="129">
        <v>1</v>
      </c>
      <c r="BE700" s="129">
        <v>1</v>
      </c>
      <c r="BF700" s="129">
        <v>1</v>
      </c>
      <c r="BG700" s="129">
        <v>1</v>
      </c>
      <c r="BH700" s="129">
        <v>1</v>
      </c>
      <c r="BI700" s="129">
        <v>1</v>
      </c>
      <c r="BJ700" s="129">
        <v>1</v>
      </c>
      <c r="BK700" s="129">
        <v>1</v>
      </c>
      <c r="BL700" s="129"/>
      <c r="BM700" s="197"/>
    </row>
    <row r="701" spans="1:66" s="4" customFormat="1" x14ac:dyDescent="0.25">
      <c r="A701" s="173"/>
      <c r="B701" s="173"/>
      <c r="C701" s="173"/>
      <c r="D701" s="49"/>
      <c r="E701" s="49"/>
      <c r="F701" s="54"/>
      <c r="G701" s="54"/>
      <c r="H701" s="54"/>
      <c r="I701" s="54"/>
      <c r="J701" s="54"/>
      <c r="K701" s="54"/>
      <c r="L701" s="54"/>
      <c r="M701" s="54"/>
      <c r="N701" s="54"/>
      <c r="O701" s="54"/>
      <c r="P701" s="54"/>
      <c r="Q701" s="54"/>
      <c r="R701" s="54"/>
      <c r="S701" s="54"/>
      <c r="T701" s="54"/>
      <c r="U701" s="54"/>
      <c r="V701" s="54"/>
      <c r="W701" s="54"/>
      <c r="X701" s="54"/>
      <c r="Y701" s="54"/>
      <c r="Z701" s="54"/>
      <c r="AA701" s="54"/>
      <c r="AB701" s="54"/>
      <c r="AC701" s="54"/>
      <c r="AD701" s="54"/>
      <c r="AE701" s="54"/>
      <c r="AF701" s="54"/>
      <c r="AG701" s="54"/>
      <c r="AH701" s="54"/>
      <c r="AI701" s="54"/>
      <c r="AJ701" s="54"/>
      <c r="AK701" s="54"/>
      <c r="AL701" s="23"/>
      <c r="AM701" s="127"/>
      <c r="AN701" s="127"/>
      <c r="AO701" s="129"/>
      <c r="AP701" s="129"/>
      <c r="AQ701" s="129"/>
      <c r="AR701" s="129"/>
      <c r="AS701" s="129"/>
      <c r="AT701" s="129"/>
      <c r="AU701" s="129"/>
      <c r="AV701" s="129"/>
      <c r="AW701" s="129"/>
      <c r="AX701" s="197"/>
      <c r="AY701" s="197"/>
      <c r="AZ701" s="197"/>
      <c r="BA701" s="197"/>
      <c r="BB701" s="129"/>
      <c r="BC701" s="129"/>
      <c r="BD701" s="129"/>
      <c r="BE701" s="129"/>
      <c r="BF701" s="129"/>
      <c r="BG701" s="129"/>
      <c r="BH701" s="129"/>
      <c r="BI701" s="129"/>
      <c r="BJ701" s="129"/>
      <c r="BK701" s="129"/>
      <c r="BL701" s="129"/>
      <c r="BM701" s="197"/>
      <c r="BN701"/>
    </row>
    <row r="702" spans="1:66" s="4" customFormat="1" x14ac:dyDescent="0.25">
      <c r="A702" s="173"/>
      <c r="B702" s="173"/>
      <c r="C702" s="173"/>
      <c r="D702" s="46"/>
      <c r="E702" s="46"/>
      <c r="F702" s="54"/>
      <c r="G702" s="54"/>
      <c r="H702" s="54"/>
      <c r="I702" s="54"/>
      <c r="J702" s="54"/>
      <c r="K702" s="54"/>
      <c r="L702" s="54"/>
      <c r="M702" s="54"/>
      <c r="N702" s="54"/>
      <c r="O702" s="54"/>
      <c r="P702" s="54"/>
      <c r="Q702" s="54"/>
      <c r="R702" s="54"/>
      <c r="S702" s="54"/>
      <c r="T702" s="54"/>
      <c r="U702" s="54"/>
      <c r="V702" s="54"/>
      <c r="W702" s="55"/>
      <c r="X702" s="55"/>
      <c r="Y702" s="55"/>
      <c r="Z702" s="55"/>
      <c r="AA702" s="55"/>
      <c r="AB702" s="55"/>
      <c r="AC702" s="55"/>
      <c r="AD702" s="55"/>
      <c r="AE702" s="55"/>
      <c r="AF702" s="55"/>
      <c r="AG702" s="55"/>
      <c r="AH702" s="55"/>
      <c r="AI702" s="54"/>
      <c r="AJ702" s="54"/>
      <c r="AK702" s="54"/>
      <c r="AL702" s="23"/>
      <c r="AM702" s="127"/>
      <c r="AN702" s="127"/>
      <c r="AO702" s="129"/>
      <c r="AP702" s="129"/>
      <c r="AQ702" s="129"/>
      <c r="AR702" s="129"/>
      <c r="AS702" s="129"/>
      <c r="AT702" s="129"/>
      <c r="AU702" s="129"/>
      <c r="AV702" s="129"/>
      <c r="AW702" s="129"/>
      <c r="AX702" s="197"/>
      <c r="AY702" s="197"/>
      <c r="AZ702" s="197"/>
      <c r="BA702" s="197"/>
      <c r="BB702" s="129"/>
      <c r="BC702" s="129"/>
      <c r="BD702" s="129"/>
      <c r="BE702" s="129"/>
      <c r="BF702" s="129"/>
      <c r="BG702" s="129"/>
      <c r="BH702" s="129"/>
      <c r="BI702" s="129"/>
      <c r="BJ702" s="129"/>
      <c r="BK702" s="129"/>
      <c r="BL702" s="129"/>
      <c r="BM702" s="197"/>
      <c r="BN702"/>
    </row>
    <row r="703" spans="1:66" s="4" customFormat="1" x14ac:dyDescent="0.25">
      <c r="A703" s="173" t="s">
        <v>50</v>
      </c>
      <c r="B703" s="173" t="s">
        <v>23</v>
      </c>
      <c r="C703" s="173" t="s">
        <v>370</v>
      </c>
      <c r="D703" s="161">
        <v>4</v>
      </c>
      <c r="E703" s="29" t="str">
        <f>INDEX(ra_ScName,MATCH(D703,ra_ScNumber,0))</f>
        <v>Net additions prior to 1 April 2012</v>
      </c>
      <c r="F703" s="122">
        <v>0</v>
      </c>
      <c r="G703" s="122">
        <v>10.193338538511902</v>
      </c>
      <c r="H703" s="122">
        <v>0</v>
      </c>
      <c r="I703" s="122">
        <v>0</v>
      </c>
      <c r="J703" s="122">
        <v>0</v>
      </c>
      <c r="K703" s="122">
        <v>0</v>
      </c>
      <c r="L703" s="122">
        <v>0</v>
      </c>
      <c r="M703" s="122">
        <v>0</v>
      </c>
      <c r="N703" s="122">
        <v>0</v>
      </c>
      <c r="O703" s="122">
        <v>0</v>
      </c>
      <c r="P703" s="122">
        <v>0</v>
      </c>
      <c r="Q703" s="122">
        <v>0</v>
      </c>
      <c r="R703" s="122">
        <v>0</v>
      </c>
      <c r="S703" s="122">
        <v>0</v>
      </c>
      <c r="T703" s="122">
        <v>489.13768011467386</v>
      </c>
      <c r="U703" s="122">
        <v>0</v>
      </c>
      <c r="V703" s="122"/>
      <c r="W703" s="54"/>
      <c r="X703" s="54"/>
      <c r="Y703" s="54"/>
      <c r="Z703" s="54"/>
      <c r="AA703" s="54"/>
      <c r="AB703" s="54"/>
      <c r="AC703" s="54"/>
      <c r="AD703" s="54"/>
      <c r="AE703" s="54"/>
      <c r="AF703" s="54"/>
      <c r="AG703" s="54"/>
      <c r="AH703" s="54"/>
      <c r="AI703" s="117">
        <f>SUM(F703:AH703)</f>
        <v>499.33101865318577</v>
      </c>
      <c r="AJ703" s="117">
        <f>SUM(F703:U703)</f>
        <v>499.33101865318577</v>
      </c>
      <c r="AK703" s="117">
        <f>SUM(W703:AH703)</f>
        <v>0</v>
      </c>
      <c r="AL703" s="23"/>
      <c r="AM703" s="127" t="b">
        <f>IF(INDEX($AO703:$BM703,0,$F$14)=1,TRUE,FALSE)</f>
        <v>0</v>
      </c>
      <c r="AN703" s="127" t="str">
        <f>IF(AM703,A703&amp;", "&amp;B703,"")</f>
        <v/>
      </c>
      <c r="AO703" s="129"/>
      <c r="AP703" s="129"/>
      <c r="AQ703" s="129"/>
      <c r="AR703" s="129">
        <v>1</v>
      </c>
      <c r="AS703" s="129"/>
      <c r="AT703" s="129"/>
      <c r="AU703" s="129"/>
      <c r="AV703" s="129"/>
      <c r="AW703" s="129"/>
      <c r="AX703" s="197"/>
      <c r="AY703" s="197"/>
      <c r="AZ703" s="197"/>
      <c r="BA703" s="197"/>
      <c r="BB703" s="129"/>
      <c r="BC703" s="129"/>
      <c r="BD703" s="129"/>
      <c r="BE703" s="129"/>
      <c r="BF703" s="129"/>
      <c r="BG703" s="129"/>
      <c r="BH703" s="129"/>
      <c r="BI703" s="129"/>
      <c r="BJ703" s="129"/>
      <c r="BK703" s="129"/>
      <c r="BL703" s="129"/>
      <c r="BM703" s="197"/>
      <c r="BN703"/>
    </row>
    <row r="704" spans="1:66" s="4" customFormat="1" x14ac:dyDescent="0.25">
      <c r="A704" s="173" t="s">
        <v>50</v>
      </c>
      <c r="B704" s="173" t="s">
        <v>24</v>
      </c>
      <c r="C704" s="173" t="s">
        <v>370</v>
      </c>
      <c r="D704" s="161">
        <v>4</v>
      </c>
      <c r="E704" s="29" t="str">
        <f>INDEX(ra_ScName,MATCH(D704,ra_ScNumber,0))</f>
        <v>Net additions prior to 1 April 2012</v>
      </c>
      <c r="F704" s="122">
        <v>0</v>
      </c>
      <c r="G704" s="122">
        <v>10.476283175719125</v>
      </c>
      <c r="H704" s="122">
        <v>0</v>
      </c>
      <c r="I704" s="122">
        <v>0</v>
      </c>
      <c r="J704" s="122">
        <v>0</v>
      </c>
      <c r="K704" s="122">
        <v>0</v>
      </c>
      <c r="L704" s="122">
        <v>0</v>
      </c>
      <c r="M704" s="122">
        <v>0</v>
      </c>
      <c r="N704" s="122">
        <v>0</v>
      </c>
      <c r="O704" s="122">
        <v>0</v>
      </c>
      <c r="P704" s="122">
        <v>0</v>
      </c>
      <c r="Q704" s="122">
        <v>0</v>
      </c>
      <c r="R704" s="122">
        <v>0</v>
      </c>
      <c r="S704" s="122">
        <v>0</v>
      </c>
      <c r="T704" s="122">
        <v>496.47550817298014</v>
      </c>
      <c r="U704" s="122">
        <v>0</v>
      </c>
      <c r="V704" s="122"/>
      <c r="W704" s="54"/>
      <c r="X704" s="54"/>
      <c r="Y704" s="54"/>
      <c r="Z704" s="54"/>
      <c r="AA704" s="54"/>
      <c r="AB704" s="54"/>
      <c r="AC704" s="54"/>
      <c r="AD704" s="54"/>
      <c r="AE704" s="54"/>
      <c r="AF704" s="54"/>
      <c r="AG704" s="54"/>
      <c r="AH704" s="54"/>
      <c r="AI704" s="117">
        <f>SUM(F704:AH704)</f>
        <v>506.95179134869926</v>
      </c>
      <c r="AJ704" s="117">
        <f>SUM(F704:U704)</f>
        <v>506.95179134869926</v>
      </c>
      <c r="AK704" s="117">
        <f>SUM(W704:AH704)</f>
        <v>0</v>
      </c>
      <c r="AL704" s="23"/>
      <c r="AM704" s="127" t="b">
        <f>IF(INDEX($AO704:$BM704,0,$F$14)=1,TRUE,FALSE)</f>
        <v>0</v>
      </c>
      <c r="AN704" s="127" t="str">
        <f>IF(AM704,A704&amp;", "&amp;B704,"")</f>
        <v/>
      </c>
      <c r="AO704" s="129"/>
      <c r="AP704" s="129"/>
      <c r="AQ704" s="129"/>
      <c r="AR704" s="129">
        <v>1</v>
      </c>
      <c r="AS704" s="129"/>
      <c r="AT704" s="129"/>
      <c r="AU704" s="129"/>
      <c r="AV704" s="129"/>
      <c r="AW704" s="129"/>
      <c r="AX704" s="197"/>
      <c r="AY704" s="197"/>
      <c r="AZ704" s="197"/>
      <c r="BA704" s="197"/>
      <c r="BB704" s="129"/>
      <c r="BC704" s="129"/>
      <c r="BD704" s="129"/>
      <c r="BE704" s="129"/>
      <c r="BF704" s="129"/>
      <c r="BG704" s="129"/>
      <c r="BH704" s="129"/>
      <c r="BI704" s="129"/>
      <c r="BJ704" s="129"/>
      <c r="BK704" s="129"/>
      <c r="BL704" s="129"/>
      <c r="BM704" s="197"/>
      <c r="BN704"/>
    </row>
    <row r="705" spans="1:66" s="4" customFormat="1" x14ac:dyDescent="0.25">
      <c r="A705" s="173" t="s">
        <v>50</v>
      </c>
      <c r="B705" s="173" t="s">
        <v>25</v>
      </c>
      <c r="C705" s="173" t="s">
        <v>370</v>
      </c>
      <c r="D705" s="161">
        <v>4</v>
      </c>
      <c r="E705" s="29" t="str">
        <f>INDEX(ra_ScName,MATCH(D705,ra_ScNumber,0))</f>
        <v>Net additions prior to 1 April 2012</v>
      </c>
      <c r="F705" s="122">
        <v>0</v>
      </c>
      <c r="G705" s="122">
        <v>10.606755200410314</v>
      </c>
      <c r="H705" s="122">
        <v>0</v>
      </c>
      <c r="I705" s="122">
        <v>0</v>
      </c>
      <c r="J705" s="122">
        <v>0</v>
      </c>
      <c r="K705" s="122">
        <v>0</v>
      </c>
      <c r="L705" s="122">
        <v>0</v>
      </c>
      <c r="M705" s="122">
        <v>0</v>
      </c>
      <c r="N705" s="122">
        <v>0</v>
      </c>
      <c r="O705" s="122">
        <v>0</v>
      </c>
      <c r="P705" s="122">
        <v>0</v>
      </c>
      <c r="Q705" s="122">
        <v>0</v>
      </c>
      <c r="R705" s="122">
        <v>0</v>
      </c>
      <c r="S705" s="122">
        <v>0</v>
      </c>
      <c r="T705" s="122">
        <v>497.24626372923638</v>
      </c>
      <c r="U705" s="122">
        <v>0</v>
      </c>
      <c r="V705" s="122"/>
      <c r="W705" s="54"/>
      <c r="X705" s="54"/>
      <c r="Y705" s="54"/>
      <c r="Z705" s="54"/>
      <c r="AA705" s="54"/>
      <c r="AB705" s="54"/>
      <c r="AC705" s="54"/>
      <c r="AD705" s="54"/>
      <c r="AE705" s="54"/>
      <c r="AF705" s="54"/>
      <c r="AG705" s="54"/>
      <c r="AH705" s="54"/>
      <c r="AI705" s="117">
        <f>SUM(F705:AH705)</f>
        <v>507.85301892964668</v>
      </c>
      <c r="AJ705" s="117">
        <f>SUM(F705:U705)</f>
        <v>507.85301892964668</v>
      </c>
      <c r="AK705" s="117">
        <f>SUM(W705:AH705)</f>
        <v>0</v>
      </c>
      <c r="AL705" s="23"/>
      <c r="AM705" s="127" t="b">
        <f>IF(INDEX($AO705:$BM705,0,$F$14)=1,TRUE,FALSE)</f>
        <v>0</v>
      </c>
      <c r="AN705" s="127" t="str">
        <f>IF(AM705,A705&amp;", "&amp;B705,"")</f>
        <v/>
      </c>
      <c r="AO705" s="129"/>
      <c r="AP705" s="129"/>
      <c r="AQ705" s="129"/>
      <c r="AR705" s="129">
        <v>1</v>
      </c>
      <c r="AS705" s="129"/>
      <c r="AT705" s="129"/>
      <c r="AU705" s="129"/>
      <c r="AV705" s="129"/>
      <c r="AW705" s="129"/>
      <c r="AX705" s="197"/>
      <c r="AY705" s="197"/>
      <c r="AZ705" s="197"/>
      <c r="BA705" s="197"/>
      <c r="BB705" s="129"/>
      <c r="BC705" s="129"/>
      <c r="BD705" s="129"/>
      <c r="BE705" s="129"/>
      <c r="BF705" s="129"/>
      <c r="BG705" s="129"/>
      <c r="BH705" s="129"/>
      <c r="BI705" s="129"/>
      <c r="BJ705" s="129"/>
      <c r="BK705" s="129"/>
      <c r="BL705" s="129"/>
      <c r="BM705" s="197"/>
      <c r="BN705"/>
    </row>
    <row r="706" spans="1:66" s="4" customFormat="1" x14ac:dyDescent="0.25">
      <c r="A706" s="173" t="s">
        <v>50</v>
      </c>
      <c r="B706" s="173" t="s">
        <v>26</v>
      </c>
      <c r="C706" s="173" t="s">
        <v>370</v>
      </c>
      <c r="D706" s="161">
        <v>4</v>
      </c>
      <c r="E706" s="29" t="str">
        <f>INDEX(ra_ScName,MATCH(D706,ra_ScNumber,0))</f>
        <v>Net additions prior to 1 April 2012</v>
      </c>
      <c r="F706" s="122">
        <v>0</v>
      </c>
      <c r="G706" s="122">
        <v>10.888100484657496</v>
      </c>
      <c r="H706" s="122">
        <v>0</v>
      </c>
      <c r="I706" s="122">
        <v>0</v>
      </c>
      <c r="J706" s="122">
        <v>0</v>
      </c>
      <c r="K706" s="122">
        <v>0</v>
      </c>
      <c r="L706" s="122">
        <v>0</v>
      </c>
      <c r="M706" s="122">
        <v>0</v>
      </c>
      <c r="N706" s="122">
        <v>0</v>
      </c>
      <c r="O706" s="122">
        <v>0</v>
      </c>
      <c r="P706" s="122">
        <v>0</v>
      </c>
      <c r="Q706" s="122">
        <v>0</v>
      </c>
      <c r="R706" s="122">
        <v>0</v>
      </c>
      <c r="S706" s="122">
        <v>0</v>
      </c>
      <c r="T706" s="122">
        <v>508.22635654415922</v>
      </c>
      <c r="U706" s="122">
        <v>0</v>
      </c>
      <c r="V706" s="122"/>
      <c r="W706" s="54"/>
      <c r="X706" s="54"/>
      <c r="Y706" s="54"/>
      <c r="Z706" s="54"/>
      <c r="AA706" s="54"/>
      <c r="AB706" s="54"/>
      <c r="AC706" s="54"/>
      <c r="AD706" s="54"/>
      <c r="AE706" s="54"/>
      <c r="AF706" s="54"/>
      <c r="AG706" s="54"/>
      <c r="AH706" s="54"/>
      <c r="AI706" s="117">
        <f>SUM(F706:AH706)</f>
        <v>519.11445702881667</v>
      </c>
      <c r="AJ706" s="117">
        <f>SUM(F706:U706)</f>
        <v>519.11445702881667</v>
      </c>
      <c r="AK706" s="117">
        <f>SUM(W706:AH706)</f>
        <v>0</v>
      </c>
      <c r="AL706" s="23"/>
      <c r="AM706" s="127" t="b">
        <f>IF(INDEX($AO706:$BM706,0,$F$14)=1,TRUE,FALSE)</f>
        <v>0</v>
      </c>
      <c r="AN706" s="127" t="str">
        <f>IF(AM706,A706&amp;", "&amp;B706,"")</f>
        <v/>
      </c>
      <c r="AO706" s="129"/>
      <c r="AP706" s="129"/>
      <c r="AQ706" s="129"/>
      <c r="AR706" s="129">
        <v>1</v>
      </c>
      <c r="AS706" s="129"/>
      <c r="AT706" s="129"/>
      <c r="AU706" s="129"/>
      <c r="AV706" s="129"/>
      <c r="AW706" s="129"/>
      <c r="AX706" s="197"/>
      <c r="AY706" s="197"/>
      <c r="AZ706" s="197"/>
      <c r="BA706" s="197"/>
      <c r="BB706" s="129"/>
      <c r="BC706" s="129"/>
      <c r="BD706" s="129"/>
      <c r="BE706" s="129"/>
      <c r="BF706" s="129"/>
      <c r="BG706" s="129"/>
      <c r="BH706" s="129"/>
      <c r="BI706" s="129"/>
      <c r="BJ706" s="129"/>
      <c r="BK706" s="129"/>
      <c r="BL706" s="129"/>
      <c r="BM706" s="197"/>
      <c r="BN706"/>
    </row>
    <row r="707" spans="1:66" s="4" customFormat="1" x14ac:dyDescent="0.25">
      <c r="A707" s="173" t="s">
        <v>50</v>
      </c>
      <c r="B707" s="173" t="s">
        <v>27</v>
      </c>
      <c r="C707" s="173" t="s">
        <v>370</v>
      </c>
      <c r="D707" s="161">
        <v>4</v>
      </c>
      <c r="E707" s="29" t="str">
        <f>INDEX(ra_ScName,MATCH(D707,ra_ScNumber,0))</f>
        <v>Net additions prior to 1 April 2012</v>
      </c>
      <c r="F707" s="122">
        <v>0</v>
      </c>
      <c r="G707" s="122">
        <v>11.292908808784347</v>
      </c>
      <c r="H707" s="122">
        <v>0</v>
      </c>
      <c r="I707" s="122">
        <v>0</v>
      </c>
      <c r="J707" s="122">
        <v>0</v>
      </c>
      <c r="K707" s="122">
        <v>0</v>
      </c>
      <c r="L707" s="122">
        <v>0</v>
      </c>
      <c r="M707" s="122">
        <v>0</v>
      </c>
      <c r="N707" s="122">
        <v>0</v>
      </c>
      <c r="O707" s="122">
        <v>0</v>
      </c>
      <c r="P707" s="122">
        <v>0</v>
      </c>
      <c r="Q707" s="122">
        <v>0</v>
      </c>
      <c r="R707" s="122">
        <v>0</v>
      </c>
      <c r="S707" s="122">
        <v>0</v>
      </c>
      <c r="T707" s="122">
        <v>520.63515664143722</v>
      </c>
      <c r="U707" s="122">
        <v>0</v>
      </c>
      <c r="V707" s="122"/>
      <c r="W707" s="54"/>
      <c r="X707" s="54"/>
      <c r="Y707" s="54"/>
      <c r="Z707" s="54"/>
      <c r="AA707" s="54"/>
      <c r="AB707" s="54"/>
      <c r="AC707" s="54"/>
      <c r="AD707" s="54"/>
      <c r="AE707" s="54"/>
      <c r="AF707" s="54"/>
      <c r="AG707" s="54"/>
      <c r="AH707" s="54"/>
      <c r="AI707" s="117">
        <f>SUM(F707:AH707)</f>
        <v>531.92806545022154</v>
      </c>
      <c r="AJ707" s="117">
        <f>SUM(F707:U707)</f>
        <v>531.92806545022154</v>
      </c>
      <c r="AK707" s="117">
        <f>SUM(W707:AH707)</f>
        <v>0</v>
      </c>
      <c r="AL707" s="23"/>
      <c r="AM707" s="127" t="b">
        <f>IF(INDEX($AO707:$BM707,0,$F$14)=1,TRUE,FALSE)</f>
        <v>0</v>
      </c>
      <c r="AN707" s="127" t="str">
        <f>IF(AM707,A707&amp;", "&amp;B707,"")</f>
        <v/>
      </c>
      <c r="AO707" s="129"/>
      <c r="AP707" s="129"/>
      <c r="AQ707" s="129"/>
      <c r="AR707" s="129">
        <v>1</v>
      </c>
      <c r="AS707" s="129"/>
      <c r="AT707" s="129"/>
      <c r="AU707" s="129"/>
      <c r="AV707" s="129"/>
      <c r="AW707" s="129"/>
      <c r="AX707" s="197"/>
      <c r="AY707" s="197"/>
      <c r="AZ707" s="197"/>
      <c r="BA707" s="197"/>
      <c r="BB707" s="129"/>
      <c r="BC707" s="129"/>
      <c r="BD707" s="129"/>
      <c r="BE707" s="129"/>
      <c r="BF707" s="129"/>
      <c r="BG707" s="129"/>
      <c r="BH707" s="129"/>
      <c r="BI707" s="129"/>
      <c r="BJ707" s="129"/>
      <c r="BK707" s="129"/>
      <c r="BL707" s="129"/>
      <c r="BM707" s="197"/>
      <c r="BN707"/>
    </row>
    <row r="708" spans="1:66" s="4" customFormat="1" x14ac:dyDescent="0.25">
      <c r="A708" s="177"/>
      <c r="B708" s="177"/>
      <c r="C708" s="177"/>
      <c r="D708" s="25"/>
      <c r="E708" s="25"/>
      <c r="F708" s="25"/>
      <c r="G708" s="25"/>
      <c r="H708" s="25"/>
      <c r="I708" s="25"/>
      <c r="J708" s="25"/>
      <c r="K708" s="25"/>
      <c r="L708" s="25"/>
      <c r="M708" s="26"/>
      <c r="N708" s="26"/>
      <c r="O708" s="26"/>
      <c r="P708" s="26"/>
      <c r="Q708" s="26"/>
      <c r="R708" s="26"/>
      <c r="S708" s="26"/>
      <c r="T708" s="26"/>
      <c r="U708" s="26"/>
      <c r="V708" s="25"/>
      <c r="W708" s="23"/>
      <c r="X708" s="23"/>
      <c r="Y708" s="23"/>
      <c r="Z708" s="23"/>
      <c r="AA708" s="23"/>
      <c r="AB708" s="23"/>
      <c r="AC708" s="23"/>
      <c r="AD708" s="23"/>
      <c r="AE708" s="23"/>
      <c r="AF708" s="23"/>
      <c r="AG708" s="23"/>
      <c r="AH708" s="23"/>
      <c r="AI708" s="54"/>
      <c r="AJ708" s="54"/>
      <c r="AK708" s="54"/>
      <c r="AL708" s="23"/>
      <c r="AM708" s="127"/>
      <c r="AN708" s="127"/>
      <c r="AO708" s="129"/>
      <c r="AP708" s="129"/>
      <c r="AQ708" s="129"/>
      <c r="AR708" s="129"/>
      <c r="AS708" s="129"/>
      <c r="AT708" s="129"/>
      <c r="AU708" s="129"/>
      <c r="AV708" s="129"/>
      <c r="AW708" s="129"/>
      <c r="AX708" s="197"/>
      <c r="AY708" s="197"/>
      <c r="AZ708" s="197"/>
      <c r="BA708" s="197"/>
      <c r="BB708" s="129"/>
      <c r="BC708" s="129"/>
      <c r="BD708" s="129"/>
      <c r="BE708" s="129"/>
      <c r="BF708" s="129"/>
      <c r="BG708" s="129"/>
      <c r="BH708" s="129"/>
      <c r="BI708" s="129"/>
      <c r="BJ708" s="129"/>
      <c r="BK708" s="129"/>
      <c r="BL708" s="129"/>
      <c r="BM708" s="197"/>
    </row>
    <row r="709" spans="1:66" s="4" customFormat="1" x14ac:dyDescent="0.25">
      <c r="A709" s="177"/>
      <c r="B709" s="177"/>
      <c r="C709" s="177"/>
      <c r="D709" s="46"/>
      <c r="E709" s="46"/>
      <c r="F709" s="54"/>
      <c r="G709" s="54"/>
      <c r="H709" s="54"/>
      <c r="I709" s="54"/>
      <c r="J709" s="54"/>
      <c r="K709" s="54"/>
      <c r="L709" s="54"/>
      <c r="M709" s="54"/>
      <c r="N709" s="54"/>
      <c r="O709" s="54"/>
      <c r="P709" s="54"/>
      <c r="Q709" s="54"/>
      <c r="R709" s="54"/>
      <c r="S709" s="54"/>
      <c r="T709" s="54"/>
      <c r="U709" s="54"/>
      <c r="V709" s="54"/>
      <c r="W709" s="55"/>
      <c r="X709" s="55"/>
      <c r="Y709" s="55"/>
      <c r="Z709" s="55"/>
      <c r="AA709" s="55"/>
      <c r="AB709" s="55"/>
      <c r="AC709" s="55"/>
      <c r="AD709" s="55"/>
      <c r="AE709" s="55"/>
      <c r="AF709" s="55"/>
      <c r="AG709" s="55"/>
      <c r="AH709" s="55"/>
      <c r="AI709" s="54"/>
      <c r="AJ709" s="54"/>
      <c r="AK709" s="54"/>
      <c r="AL709" s="23"/>
      <c r="AM709" s="127"/>
      <c r="AN709" s="127"/>
      <c r="AO709" s="129"/>
      <c r="AP709" s="129"/>
      <c r="AQ709" s="129"/>
      <c r="AR709" s="129"/>
      <c r="AS709" s="129"/>
      <c r="AT709" s="129"/>
      <c r="AU709" s="129"/>
      <c r="AV709" s="129"/>
      <c r="AW709" s="129"/>
      <c r="AX709" s="197"/>
      <c r="AY709" s="197"/>
      <c r="AZ709" s="197"/>
      <c r="BA709" s="197"/>
      <c r="BB709" s="129"/>
      <c r="BC709" s="129"/>
      <c r="BD709" s="129"/>
      <c r="BE709" s="129"/>
      <c r="BF709" s="129"/>
      <c r="BG709" s="129"/>
      <c r="BH709" s="129"/>
      <c r="BI709" s="129"/>
      <c r="BJ709" s="129"/>
      <c r="BK709" s="129"/>
      <c r="BL709" s="129"/>
      <c r="BM709" s="197"/>
    </row>
    <row r="710" spans="1:66" s="4" customFormat="1" x14ac:dyDescent="0.25">
      <c r="A710" s="177" t="s">
        <v>50</v>
      </c>
      <c r="B710" s="177" t="s">
        <v>23</v>
      </c>
      <c r="C710" s="177" t="s">
        <v>399</v>
      </c>
      <c r="D710" s="161">
        <v>5</v>
      </c>
      <c r="E710" s="29" t="str">
        <f>INDEX(ra_ScName,MATCH(D710,ra_ScNumber,0))</f>
        <v>Input price inflators 2013–15</v>
      </c>
      <c r="F710" s="122">
        <v>0</v>
      </c>
      <c r="G710" s="122">
        <v>10.193338538511902</v>
      </c>
      <c r="H710" s="122">
        <v>0</v>
      </c>
      <c r="I710" s="122">
        <v>0</v>
      </c>
      <c r="J710" s="122">
        <v>0</v>
      </c>
      <c r="K710" s="122">
        <v>0</v>
      </c>
      <c r="L710" s="122">
        <v>0</v>
      </c>
      <c r="M710" s="122">
        <v>0</v>
      </c>
      <c r="N710" s="122">
        <v>0</v>
      </c>
      <c r="O710" s="122">
        <v>0</v>
      </c>
      <c r="P710" s="122">
        <v>0</v>
      </c>
      <c r="Q710" s="122">
        <v>0</v>
      </c>
      <c r="R710" s="122">
        <v>0</v>
      </c>
      <c r="S710" s="122">
        <v>0</v>
      </c>
      <c r="T710" s="122">
        <v>489.13768011467386</v>
      </c>
      <c r="U710" s="122">
        <v>0</v>
      </c>
      <c r="V710" s="122"/>
      <c r="W710" s="122"/>
      <c r="X710" s="122"/>
      <c r="Y710" s="122"/>
      <c r="Z710" s="122"/>
      <c r="AA710" s="122"/>
      <c r="AB710" s="122"/>
      <c r="AC710" s="122"/>
      <c r="AD710" s="122"/>
      <c r="AE710" s="122"/>
      <c r="AF710" s="122"/>
      <c r="AG710" s="122"/>
      <c r="AH710" s="122"/>
      <c r="AI710" s="117">
        <f>SUM(F710:AH710)</f>
        <v>499.33101865318577</v>
      </c>
      <c r="AJ710" s="117">
        <f>SUM(F710:U710)</f>
        <v>499.33101865318577</v>
      </c>
      <c r="AK710" s="117">
        <f>SUM(W710:AH710)</f>
        <v>0</v>
      </c>
      <c r="AL710" s="23"/>
      <c r="AM710" s="127" t="b">
        <f>IF(INDEX($AO710:$BM710,0,$F$14)=1,TRUE,FALSE)</f>
        <v>0</v>
      </c>
      <c r="AN710" s="127" t="str">
        <f>IF(AM710,A710&amp;", "&amp;B710,"")</f>
        <v/>
      </c>
      <c r="AO710" s="129"/>
      <c r="AP710" s="129"/>
      <c r="AQ710" s="129"/>
      <c r="AR710" s="129"/>
      <c r="AS710" s="129">
        <v>1</v>
      </c>
      <c r="AT710" s="129">
        <v>1</v>
      </c>
      <c r="AU710" s="129"/>
      <c r="AV710" s="129"/>
      <c r="AW710" s="129"/>
      <c r="AX710" s="197"/>
      <c r="AY710" s="197"/>
      <c r="AZ710" s="197"/>
      <c r="BA710" s="197"/>
      <c r="BB710" s="129"/>
      <c r="BC710" s="129"/>
      <c r="BD710" s="129"/>
      <c r="BE710" s="129"/>
      <c r="BF710" s="129"/>
      <c r="BG710" s="129"/>
      <c r="BH710" s="129"/>
      <c r="BI710" s="129"/>
      <c r="BJ710" s="129"/>
      <c r="BK710" s="129"/>
      <c r="BL710" s="129"/>
      <c r="BM710" s="197"/>
    </row>
    <row r="711" spans="1:66" s="4" customFormat="1" x14ac:dyDescent="0.25">
      <c r="A711" s="177" t="s">
        <v>50</v>
      </c>
      <c r="B711" s="177" t="s">
        <v>24</v>
      </c>
      <c r="C711" s="177" t="s">
        <v>399</v>
      </c>
      <c r="D711" s="161">
        <v>5</v>
      </c>
      <c r="E711" s="29" t="str">
        <f>INDEX(ra_ScName,MATCH(D711,ra_ScNumber,0))</f>
        <v>Input price inflators 2013–15</v>
      </c>
      <c r="F711" s="122">
        <v>0</v>
      </c>
      <c r="G711" s="122">
        <v>10.476283175719125</v>
      </c>
      <c r="H711" s="122">
        <v>0</v>
      </c>
      <c r="I711" s="122">
        <v>0</v>
      </c>
      <c r="J711" s="122">
        <v>0</v>
      </c>
      <c r="K711" s="122">
        <v>0</v>
      </c>
      <c r="L711" s="122">
        <v>0</v>
      </c>
      <c r="M711" s="122">
        <v>0</v>
      </c>
      <c r="N711" s="122">
        <v>0</v>
      </c>
      <c r="O711" s="122">
        <v>0</v>
      </c>
      <c r="P711" s="122">
        <v>0</v>
      </c>
      <c r="Q711" s="122">
        <v>0</v>
      </c>
      <c r="R711" s="122">
        <v>0</v>
      </c>
      <c r="S711" s="122">
        <v>0</v>
      </c>
      <c r="T711" s="122">
        <v>496.47550817298014</v>
      </c>
      <c r="U711" s="122">
        <v>0</v>
      </c>
      <c r="V711" s="122"/>
      <c r="W711" s="122"/>
      <c r="X711" s="122"/>
      <c r="Y711" s="122"/>
      <c r="Z711" s="122"/>
      <c r="AA711" s="122"/>
      <c r="AB711" s="122"/>
      <c r="AC711" s="122"/>
      <c r="AD711" s="122"/>
      <c r="AE711" s="122"/>
      <c r="AF711" s="122"/>
      <c r="AG711" s="122"/>
      <c r="AH711" s="122"/>
      <c r="AI711" s="117">
        <f>SUM(F711:AH711)</f>
        <v>506.95179134869926</v>
      </c>
      <c r="AJ711" s="117">
        <f>SUM(F711:U711)</f>
        <v>506.95179134869926</v>
      </c>
      <c r="AK711" s="117">
        <f>SUM(W711:AH711)</f>
        <v>0</v>
      </c>
      <c r="AL711" s="23"/>
      <c r="AM711" s="127" t="b">
        <f>IF(INDEX($AO711:$BM711,0,$F$14)=1,TRUE,FALSE)</f>
        <v>0</v>
      </c>
      <c r="AN711" s="127" t="str">
        <f>IF(AM711,A711&amp;", "&amp;B711,"")</f>
        <v/>
      </c>
      <c r="AO711" s="129"/>
      <c r="AP711" s="129"/>
      <c r="AQ711" s="129"/>
      <c r="AR711" s="129"/>
      <c r="AS711" s="129">
        <v>1</v>
      </c>
      <c r="AT711" s="129">
        <v>1</v>
      </c>
      <c r="AU711" s="129"/>
      <c r="AV711" s="129"/>
      <c r="AW711" s="129"/>
      <c r="AX711" s="197"/>
      <c r="AY711" s="197"/>
      <c r="AZ711" s="197"/>
      <c r="BA711" s="197"/>
      <c r="BB711" s="129"/>
      <c r="BC711" s="129"/>
      <c r="BD711" s="129"/>
      <c r="BE711" s="129"/>
      <c r="BF711" s="129"/>
      <c r="BG711" s="129"/>
      <c r="BH711" s="129"/>
      <c r="BI711" s="129"/>
      <c r="BJ711" s="129"/>
      <c r="BK711" s="129"/>
      <c r="BL711" s="129"/>
      <c r="BM711" s="197"/>
    </row>
    <row r="712" spans="1:66" s="4" customFormat="1" x14ac:dyDescent="0.25">
      <c r="A712" s="177" t="s">
        <v>50</v>
      </c>
      <c r="B712" s="177" t="s">
        <v>25</v>
      </c>
      <c r="C712" s="177" t="s">
        <v>399</v>
      </c>
      <c r="D712" s="161">
        <v>5</v>
      </c>
      <c r="E712" s="29" t="str">
        <f>INDEX(ra_ScName,MATCH(D712,ra_ScNumber,0))</f>
        <v>Input price inflators 2013–15</v>
      </c>
      <c r="F712" s="122">
        <v>0</v>
      </c>
      <c r="G712" s="122">
        <v>10.606755200410314</v>
      </c>
      <c r="H712" s="122">
        <v>0</v>
      </c>
      <c r="I712" s="122">
        <v>0</v>
      </c>
      <c r="J712" s="122">
        <v>0</v>
      </c>
      <c r="K712" s="122">
        <v>0</v>
      </c>
      <c r="L712" s="122">
        <v>0</v>
      </c>
      <c r="M712" s="122">
        <v>0</v>
      </c>
      <c r="N712" s="122">
        <v>0</v>
      </c>
      <c r="O712" s="122">
        <v>0</v>
      </c>
      <c r="P712" s="122">
        <v>0</v>
      </c>
      <c r="Q712" s="122">
        <v>0</v>
      </c>
      <c r="R712" s="122">
        <v>0</v>
      </c>
      <c r="S712" s="122">
        <v>0</v>
      </c>
      <c r="T712" s="122">
        <v>497.24626372923638</v>
      </c>
      <c r="U712" s="122">
        <v>0</v>
      </c>
      <c r="V712" s="122"/>
      <c r="W712" s="122"/>
      <c r="X712" s="122"/>
      <c r="Y712" s="122"/>
      <c r="Z712" s="122"/>
      <c r="AA712" s="122"/>
      <c r="AB712" s="122"/>
      <c r="AC712" s="122"/>
      <c r="AD712" s="122"/>
      <c r="AE712" s="122"/>
      <c r="AF712" s="122"/>
      <c r="AG712" s="122"/>
      <c r="AH712" s="122"/>
      <c r="AI712" s="117">
        <f>SUM(F712:AH712)</f>
        <v>507.85301892964668</v>
      </c>
      <c r="AJ712" s="117">
        <f>SUM(F712:U712)</f>
        <v>507.85301892964668</v>
      </c>
      <c r="AK712" s="117">
        <f>SUM(W712:AH712)</f>
        <v>0</v>
      </c>
      <c r="AL712" s="23"/>
      <c r="AM712" s="127" t="b">
        <f>IF(INDEX($AO712:$BM712,0,$F$14)=1,TRUE,FALSE)</f>
        <v>0</v>
      </c>
      <c r="AN712" s="127" t="str">
        <f>IF(AM712,A712&amp;", "&amp;B712,"")</f>
        <v/>
      </c>
      <c r="AO712" s="129"/>
      <c r="AP712" s="129"/>
      <c r="AQ712" s="129"/>
      <c r="AR712" s="129"/>
      <c r="AS712" s="129">
        <v>1</v>
      </c>
      <c r="AT712" s="129">
        <v>1</v>
      </c>
      <c r="AU712" s="129"/>
      <c r="AV712" s="129"/>
      <c r="AW712" s="129"/>
      <c r="AX712" s="197"/>
      <c r="AY712" s="197"/>
      <c r="AZ712" s="197"/>
      <c r="BA712" s="197"/>
      <c r="BB712" s="129"/>
      <c r="BC712" s="129"/>
      <c r="BD712" s="129"/>
      <c r="BE712" s="129"/>
      <c r="BF712" s="129"/>
      <c r="BG712" s="129"/>
      <c r="BH712" s="129"/>
      <c r="BI712" s="129"/>
      <c r="BJ712" s="129"/>
      <c r="BK712" s="129"/>
      <c r="BL712" s="129"/>
      <c r="BM712" s="197"/>
    </row>
    <row r="713" spans="1:66" s="4" customFormat="1" x14ac:dyDescent="0.25">
      <c r="A713" s="177" t="s">
        <v>50</v>
      </c>
      <c r="B713" s="177" t="s">
        <v>26</v>
      </c>
      <c r="C713" s="177" t="s">
        <v>399</v>
      </c>
      <c r="D713" s="161">
        <v>5</v>
      </c>
      <c r="E713" s="29" t="str">
        <f>INDEX(ra_ScName,MATCH(D713,ra_ScNumber,0))</f>
        <v>Input price inflators 2013–15</v>
      </c>
      <c r="F713" s="122">
        <v>0</v>
      </c>
      <c r="G713" s="122">
        <v>10.8870184448317</v>
      </c>
      <c r="H713" s="122">
        <v>0</v>
      </c>
      <c r="I713" s="122">
        <v>0</v>
      </c>
      <c r="J713" s="122">
        <v>0</v>
      </c>
      <c r="K713" s="122">
        <v>0</v>
      </c>
      <c r="L713" s="122">
        <v>0</v>
      </c>
      <c r="M713" s="122">
        <v>0</v>
      </c>
      <c r="N713" s="122">
        <v>0</v>
      </c>
      <c r="O713" s="122">
        <v>0</v>
      </c>
      <c r="P713" s="122">
        <v>0</v>
      </c>
      <c r="Q713" s="122">
        <v>0</v>
      </c>
      <c r="R713" s="122">
        <v>0</v>
      </c>
      <c r="S713" s="122">
        <v>0</v>
      </c>
      <c r="T713" s="122">
        <v>508.17079369202207</v>
      </c>
      <c r="U713" s="122">
        <v>0</v>
      </c>
      <c r="V713" s="122"/>
      <c r="W713" s="122"/>
      <c r="X713" s="122"/>
      <c r="Y713" s="122"/>
      <c r="Z713" s="122"/>
      <c r="AA713" s="122"/>
      <c r="AB713" s="122"/>
      <c r="AC713" s="122"/>
      <c r="AD713" s="122"/>
      <c r="AE713" s="122"/>
      <c r="AF713" s="122"/>
      <c r="AG713" s="122"/>
      <c r="AH713" s="122"/>
      <c r="AI713" s="117">
        <f>SUM(F713:AH713)</f>
        <v>519.05781213685373</v>
      </c>
      <c r="AJ713" s="117">
        <f>SUM(F713:U713)</f>
        <v>519.05781213685373</v>
      </c>
      <c r="AK713" s="117">
        <f>SUM(W713:AH713)</f>
        <v>0</v>
      </c>
      <c r="AL713" s="23"/>
      <c r="AM713" s="127" t="b">
        <f>IF(INDEX($AO713:$BM713,0,$F$14)=1,TRUE,FALSE)</f>
        <v>0</v>
      </c>
      <c r="AN713" s="127" t="str">
        <f>IF(AM713,A713&amp;", "&amp;B713,"")</f>
        <v/>
      </c>
      <c r="AO713" s="129"/>
      <c r="AP713" s="129"/>
      <c r="AQ713" s="129"/>
      <c r="AR713" s="129"/>
      <c r="AS713" s="129">
        <v>1</v>
      </c>
      <c r="AT713" s="129">
        <v>1</v>
      </c>
      <c r="AU713" s="129"/>
      <c r="AV713" s="129"/>
      <c r="AW713" s="129"/>
      <c r="AX713" s="197"/>
      <c r="AY713" s="197"/>
      <c r="AZ713" s="197"/>
      <c r="BA713" s="197"/>
      <c r="BB713" s="129"/>
      <c r="BC713" s="129"/>
      <c r="BD713" s="129"/>
      <c r="BE713" s="129"/>
      <c r="BF713" s="129"/>
      <c r="BG713" s="129"/>
      <c r="BH713" s="129"/>
      <c r="BI713" s="129"/>
      <c r="BJ713" s="129"/>
      <c r="BK713" s="129"/>
      <c r="BL713" s="129"/>
      <c r="BM713" s="197"/>
    </row>
    <row r="714" spans="1:66" s="4" customFormat="1" x14ac:dyDescent="0.25">
      <c r="A714" s="177" t="s">
        <v>50</v>
      </c>
      <c r="B714" s="177" t="s">
        <v>27</v>
      </c>
      <c r="C714" s="177" t="s">
        <v>399</v>
      </c>
      <c r="D714" s="161">
        <v>5</v>
      </c>
      <c r="E714" s="29" t="str">
        <f>INDEX(ra_ScName,MATCH(D714,ra_ScNumber,0))</f>
        <v>Input price inflators 2013–15</v>
      </c>
      <c r="F714" s="122">
        <v>0</v>
      </c>
      <c r="G714" s="122">
        <v>11.288413600778775</v>
      </c>
      <c r="H714" s="122">
        <v>0</v>
      </c>
      <c r="I714" s="122">
        <v>0</v>
      </c>
      <c r="J714" s="122">
        <v>0</v>
      </c>
      <c r="K714" s="122">
        <v>0</v>
      </c>
      <c r="L714" s="122">
        <v>0</v>
      </c>
      <c r="M714" s="122">
        <v>0</v>
      </c>
      <c r="N714" s="122">
        <v>0</v>
      </c>
      <c r="O714" s="122">
        <v>0</v>
      </c>
      <c r="P714" s="122">
        <v>0</v>
      </c>
      <c r="Q714" s="122">
        <v>0</v>
      </c>
      <c r="R714" s="122">
        <v>0</v>
      </c>
      <c r="S714" s="122">
        <v>0</v>
      </c>
      <c r="T714" s="122">
        <v>520.42784472140329</v>
      </c>
      <c r="U714" s="122">
        <v>0</v>
      </c>
      <c r="V714" s="122"/>
      <c r="W714" s="122"/>
      <c r="X714" s="122"/>
      <c r="Y714" s="122"/>
      <c r="Z714" s="122"/>
      <c r="AA714" s="122"/>
      <c r="AB714" s="122"/>
      <c r="AC714" s="122"/>
      <c r="AD714" s="122"/>
      <c r="AE714" s="122"/>
      <c r="AF714" s="122"/>
      <c r="AG714" s="122"/>
      <c r="AH714" s="122"/>
      <c r="AI714" s="117">
        <f>SUM(F714:AH714)</f>
        <v>531.71625832218206</v>
      </c>
      <c r="AJ714" s="117">
        <f>SUM(F714:U714)</f>
        <v>531.71625832218206</v>
      </c>
      <c r="AK714" s="117">
        <f>SUM(W714:AH714)</f>
        <v>0</v>
      </c>
      <c r="AL714" s="23"/>
      <c r="AM714" s="127" t="b">
        <f>IF(INDEX($AO714:$BM714,0,$F$14)=1,TRUE,FALSE)</f>
        <v>0</v>
      </c>
      <c r="AN714" s="127" t="str">
        <f>IF(AM714,A714&amp;", "&amp;B714,"")</f>
        <v/>
      </c>
      <c r="AO714" s="129"/>
      <c r="AP714" s="129"/>
      <c r="AQ714" s="129"/>
      <c r="AR714" s="129"/>
      <c r="AS714" s="129">
        <v>1</v>
      </c>
      <c r="AT714" s="129">
        <v>1</v>
      </c>
      <c r="AU714" s="129"/>
      <c r="AV714" s="129"/>
      <c r="AW714" s="129"/>
      <c r="AX714" s="197"/>
      <c r="AY714" s="197"/>
      <c r="AZ714" s="197"/>
      <c r="BA714" s="197"/>
      <c r="BB714" s="129"/>
      <c r="BC714" s="129"/>
      <c r="BD714" s="129"/>
      <c r="BE714" s="129"/>
      <c r="BF714" s="129"/>
      <c r="BG714" s="129"/>
      <c r="BH714" s="129"/>
      <c r="BI714" s="129"/>
      <c r="BJ714" s="129"/>
      <c r="BK714" s="129"/>
      <c r="BL714" s="129"/>
      <c r="BM714" s="197"/>
    </row>
    <row r="715" spans="1:66" s="4" customFormat="1" x14ac:dyDescent="0.25">
      <c r="A715" s="177"/>
      <c r="B715" s="177"/>
      <c r="C715" s="177"/>
      <c r="D715" s="25"/>
      <c r="E715" s="25"/>
      <c r="F715" s="25"/>
      <c r="G715" s="25"/>
      <c r="H715" s="25"/>
      <c r="I715" s="25"/>
      <c r="J715" s="25"/>
      <c r="K715" s="25"/>
      <c r="L715" s="25"/>
      <c r="M715" s="26"/>
      <c r="N715" s="26"/>
      <c r="O715" s="26"/>
      <c r="P715" s="26"/>
      <c r="Q715" s="26"/>
      <c r="R715" s="26"/>
      <c r="S715" s="26"/>
      <c r="T715" s="26"/>
      <c r="U715" s="26"/>
      <c r="V715" s="25"/>
      <c r="W715" s="23"/>
      <c r="X715" s="23"/>
      <c r="Y715" s="23"/>
      <c r="Z715" s="23"/>
      <c r="AA715" s="23"/>
      <c r="AB715" s="23"/>
      <c r="AC715" s="23"/>
      <c r="AD715" s="23"/>
      <c r="AE715" s="23"/>
      <c r="AF715" s="23"/>
      <c r="AG715" s="23"/>
      <c r="AH715" s="23"/>
      <c r="AI715" s="54"/>
      <c r="AJ715" s="54"/>
      <c r="AK715" s="54"/>
      <c r="AL715" s="23"/>
      <c r="AM715" s="127"/>
      <c r="AN715" s="127"/>
      <c r="AO715" s="129"/>
      <c r="AP715" s="129"/>
      <c r="AQ715" s="129"/>
      <c r="AR715" s="129"/>
      <c r="AS715" s="129"/>
      <c r="AT715" s="129"/>
      <c r="AU715" s="129"/>
      <c r="AV715" s="129"/>
      <c r="AW715" s="129"/>
      <c r="AX715" s="197"/>
      <c r="AY715" s="197"/>
      <c r="AZ715" s="197"/>
      <c r="BA715" s="197"/>
      <c r="BB715" s="129"/>
      <c r="BC715" s="129"/>
      <c r="BD715" s="129"/>
      <c r="BE715" s="129"/>
      <c r="BF715" s="129"/>
      <c r="BG715" s="129"/>
      <c r="BH715" s="129"/>
      <c r="BI715" s="129"/>
      <c r="BJ715" s="129"/>
      <c r="BK715" s="129"/>
      <c r="BL715" s="129"/>
      <c r="BM715" s="197"/>
    </row>
    <row r="716" spans="1:66" s="4" customFormat="1" x14ac:dyDescent="0.25">
      <c r="A716" s="177"/>
      <c r="B716" s="177"/>
      <c r="C716" s="177"/>
      <c r="D716" s="46"/>
      <c r="E716" s="46"/>
      <c r="F716" s="54"/>
      <c r="G716" s="54"/>
      <c r="H716" s="54"/>
      <c r="I716" s="54"/>
      <c r="J716" s="54"/>
      <c r="K716" s="54"/>
      <c r="L716" s="54"/>
      <c r="M716" s="54"/>
      <c r="N716" s="54"/>
      <c r="O716" s="54"/>
      <c r="P716" s="54"/>
      <c r="Q716" s="54"/>
      <c r="R716" s="54"/>
      <c r="S716" s="54"/>
      <c r="T716" s="54"/>
      <c r="U716" s="54"/>
      <c r="V716" s="54"/>
      <c r="W716" s="55"/>
      <c r="X716" s="55"/>
      <c r="Y716" s="55"/>
      <c r="Z716" s="55"/>
      <c r="AA716" s="55"/>
      <c r="AB716" s="55"/>
      <c r="AC716" s="55"/>
      <c r="AD716" s="55"/>
      <c r="AE716" s="55"/>
      <c r="AF716" s="55"/>
      <c r="AG716" s="55"/>
      <c r="AH716" s="55"/>
      <c r="AI716" s="54"/>
      <c r="AJ716" s="54"/>
      <c r="AK716" s="54"/>
      <c r="AL716" s="23"/>
      <c r="AM716" s="127"/>
      <c r="AN716" s="127"/>
      <c r="AO716" s="129"/>
      <c r="AP716" s="129"/>
      <c r="AQ716" s="129"/>
      <c r="AR716" s="129"/>
      <c r="AS716" s="129"/>
      <c r="AT716" s="129"/>
      <c r="AU716" s="129"/>
      <c r="AV716" s="129"/>
      <c r="AW716" s="129"/>
      <c r="AX716" s="197"/>
      <c r="AY716" s="197"/>
      <c r="AZ716" s="197"/>
      <c r="BA716" s="197"/>
      <c r="BB716" s="129"/>
      <c r="BC716" s="129"/>
      <c r="BD716" s="129"/>
      <c r="BE716" s="129"/>
      <c r="BF716" s="129"/>
      <c r="BG716" s="129"/>
      <c r="BH716" s="129"/>
      <c r="BI716" s="129"/>
      <c r="BJ716" s="129"/>
      <c r="BK716" s="129"/>
      <c r="BL716" s="129"/>
      <c r="BM716" s="197"/>
    </row>
    <row r="717" spans="1:66" s="4" customFormat="1" x14ac:dyDescent="0.25">
      <c r="A717" s="177" t="s">
        <v>50</v>
      </c>
      <c r="B717" s="177" t="s">
        <v>23</v>
      </c>
      <c r="C717" s="177" t="s">
        <v>396</v>
      </c>
      <c r="D717" s="161">
        <v>7</v>
      </c>
      <c r="E717" s="29" t="str">
        <f>INDEX(ra_ScName,MATCH(D717,ra_ScNumber,0))</f>
        <v>Commissioned assets 2013–15</v>
      </c>
      <c r="F717" s="122">
        <v>0</v>
      </c>
      <c r="G717" s="122">
        <v>10.193338538511902</v>
      </c>
      <c r="H717" s="122">
        <v>0</v>
      </c>
      <c r="I717" s="122">
        <v>0</v>
      </c>
      <c r="J717" s="122">
        <v>0</v>
      </c>
      <c r="K717" s="122">
        <v>0</v>
      </c>
      <c r="L717" s="122">
        <v>0</v>
      </c>
      <c r="M717" s="122">
        <v>0</v>
      </c>
      <c r="N717" s="122">
        <v>0</v>
      </c>
      <c r="O717" s="122">
        <v>0</v>
      </c>
      <c r="P717" s="122">
        <v>0</v>
      </c>
      <c r="Q717" s="122">
        <v>0</v>
      </c>
      <c r="R717" s="122">
        <v>0</v>
      </c>
      <c r="S717" s="122">
        <v>0</v>
      </c>
      <c r="T717" s="122">
        <v>489.13768011467386</v>
      </c>
      <c r="U717" s="122">
        <v>0</v>
      </c>
      <c r="V717" s="122"/>
      <c r="W717" s="122"/>
      <c r="X717" s="122"/>
      <c r="Y717" s="122"/>
      <c r="Z717" s="122"/>
      <c r="AA717" s="122"/>
      <c r="AB717" s="122"/>
      <c r="AC717" s="122"/>
      <c r="AD717" s="122"/>
      <c r="AE717" s="122"/>
      <c r="AF717" s="122"/>
      <c r="AG717" s="122"/>
      <c r="AH717" s="122"/>
      <c r="AI717" s="117">
        <f>SUM(F717:AH717)</f>
        <v>499.33101865318577</v>
      </c>
      <c r="AJ717" s="117">
        <f>SUM(F717:U717)</f>
        <v>499.33101865318577</v>
      </c>
      <c r="AK717" s="117">
        <f>SUM(W717:AH717)</f>
        <v>0</v>
      </c>
      <c r="AL717" s="23"/>
      <c r="AM717" s="127" t="b">
        <f>IF(INDEX($AO717:$BM717,0,$F$14)=1,TRUE,FALSE)</f>
        <v>0</v>
      </c>
      <c r="AN717" s="127" t="str">
        <f>IF(AM717,A717&amp;", "&amp;B717,"")</f>
        <v/>
      </c>
      <c r="AO717" s="129"/>
      <c r="AP717" s="129"/>
      <c r="AQ717" s="129"/>
      <c r="AR717" s="129"/>
      <c r="AS717" s="129"/>
      <c r="AT717" s="129"/>
      <c r="AU717" s="129">
        <v>1</v>
      </c>
      <c r="AV717" s="129"/>
      <c r="AW717" s="129"/>
      <c r="AX717" s="197"/>
      <c r="AY717" s="197"/>
      <c r="AZ717" s="197"/>
      <c r="BA717" s="197"/>
      <c r="BB717" s="129"/>
      <c r="BC717" s="129"/>
      <c r="BD717" s="129"/>
      <c r="BE717" s="129"/>
      <c r="BF717" s="129"/>
      <c r="BG717" s="129"/>
      <c r="BH717" s="129"/>
      <c r="BI717" s="129"/>
      <c r="BJ717" s="129"/>
      <c r="BK717" s="129"/>
      <c r="BL717" s="129"/>
      <c r="BM717" s="197"/>
    </row>
    <row r="718" spans="1:66" s="4" customFormat="1" x14ac:dyDescent="0.25">
      <c r="A718" s="177" t="s">
        <v>50</v>
      </c>
      <c r="B718" s="177" t="s">
        <v>24</v>
      </c>
      <c r="C718" s="177" t="s">
        <v>396</v>
      </c>
      <c r="D718" s="161">
        <v>7</v>
      </c>
      <c r="E718" s="29" t="str">
        <f>INDEX(ra_ScName,MATCH(D718,ra_ScNumber,0))</f>
        <v>Commissioned assets 2013–15</v>
      </c>
      <c r="F718" s="122">
        <v>0</v>
      </c>
      <c r="G718" s="122">
        <v>10.476283175719125</v>
      </c>
      <c r="H718" s="122">
        <v>0</v>
      </c>
      <c r="I718" s="122">
        <v>0</v>
      </c>
      <c r="J718" s="122">
        <v>0</v>
      </c>
      <c r="K718" s="122">
        <v>0</v>
      </c>
      <c r="L718" s="122">
        <v>0</v>
      </c>
      <c r="M718" s="122">
        <v>0</v>
      </c>
      <c r="N718" s="122">
        <v>0</v>
      </c>
      <c r="O718" s="122">
        <v>0</v>
      </c>
      <c r="P718" s="122">
        <v>0</v>
      </c>
      <c r="Q718" s="122">
        <v>0</v>
      </c>
      <c r="R718" s="122">
        <v>0</v>
      </c>
      <c r="S718" s="122">
        <v>0</v>
      </c>
      <c r="T718" s="122">
        <v>496.47550817298014</v>
      </c>
      <c r="U718" s="122">
        <v>0</v>
      </c>
      <c r="V718" s="122"/>
      <c r="W718" s="122"/>
      <c r="X718" s="122"/>
      <c r="Y718" s="122"/>
      <c r="Z718" s="122"/>
      <c r="AA718" s="122"/>
      <c r="AB718" s="122"/>
      <c r="AC718" s="122"/>
      <c r="AD718" s="122"/>
      <c r="AE718" s="122"/>
      <c r="AF718" s="122"/>
      <c r="AG718" s="122"/>
      <c r="AH718" s="122"/>
      <c r="AI718" s="117">
        <f>SUM(F718:AH718)</f>
        <v>506.95179134869926</v>
      </c>
      <c r="AJ718" s="117">
        <f>SUM(F718:U718)</f>
        <v>506.95179134869926</v>
      </c>
      <c r="AK718" s="117">
        <f>SUM(W718:AH718)</f>
        <v>0</v>
      </c>
      <c r="AL718" s="23"/>
      <c r="AM718" s="127" t="b">
        <f>IF(INDEX($AO718:$BM718,0,$F$14)=1,TRUE,FALSE)</f>
        <v>0</v>
      </c>
      <c r="AN718" s="127" t="str">
        <f>IF(AM718,A718&amp;", "&amp;B718,"")</f>
        <v/>
      </c>
      <c r="AO718" s="129"/>
      <c r="AP718" s="129"/>
      <c r="AQ718" s="129"/>
      <c r="AR718" s="129"/>
      <c r="AS718" s="129"/>
      <c r="AT718" s="129"/>
      <c r="AU718" s="129">
        <v>1</v>
      </c>
      <c r="AV718" s="129"/>
      <c r="AW718" s="129"/>
      <c r="AX718" s="197"/>
      <c r="AY718" s="197"/>
      <c r="AZ718" s="197"/>
      <c r="BA718" s="197"/>
      <c r="BB718" s="129"/>
      <c r="BC718" s="129"/>
      <c r="BD718" s="129"/>
      <c r="BE718" s="129"/>
      <c r="BF718" s="129"/>
      <c r="BG718" s="129"/>
      <c r="BH718" s="129"/>
      <c r="BI718" s="129"/>
      <c r="BJ718" s="129"/>
      <c r="BK718" s="129"/>
      <c r="BL718" s="129"/>
      <c r="BM718" s="197"/>
    </row>
    <row r="719" spans="1:66" s="4" customFormat="1" x14ac:dyDescent="0.25">
      <c r="A719" s="177" t="s">
        <v>50</v>
      </c>
      <c r="B719" s="177" t="s">
        <v>25</v>
      </c>
      <c r="C719" s="177" t="s">
        <v>396</v>
      </c>
      <c r="D719" s="161">
        <v>7</v>
      </c>
      <c r="E719" s="29" t="str">
        <f>INDEX(ra_ScName,MATCH(D719,ra_ScNumber,0))</f>
        <v>Commissioned assets 2013–15</v>
      </c>
      <c r="F719" s="122">
        <v>0</v>
      </c>
      <c r="G719" s="122">
        <v>10.606755200410314</v>
      </c>
      <c r="H719" s="122">
        <v>0</v>
      </c>
      <c r="I719" s="122">
        <v>0</v>
      </c>
      <c r="J719" s="122">
        <v>0</v>
      </c>
      <c r="K719" s="122">
        <v>0</v>
      </c>
      <c r="L719" s="122">
        <v>0</v>
      </c>
      <c r="M719" s="122">
        <v>0</v>
      </c>
      <c r="N719" s="122">
        <v>0</v>
      </c>
      <c r="O719" s="122">
        <v>0</v>
      </c>
      <c r="P719" s="122">
        <v>0</v>
      </c>
      <c r="Q719" s="122">
        <v>0</v>
      </c>
      <c r="R719" s="122">
        <v>0</v>
      </c>
      <c r="S719" s="122">
        <v>0</v>
      </c>
      <c r="T719" s="122">
        <v>497.24626372923638</v>
      </c>
      <c r="U719" s="122">
        <v>0</v>
      </c>
      <c r="V719" s="122"/>
      <c r="W719" s="122"/>
      <c r="X719" s="122"/>
      <c r="Y719" s="122"/>
      <c r="Z719" s="122"/>
      <c r="AA719" s="122"/>
      <c r="AB719" s="122"/>
      <c r="AC719" s="122"/>
      <c r="AD719" s="122"/>
      <c r="AE719" s="122"/>
      <c r="AF719" s="122"/>
      <c r="AG719" s="122"/>
      <c r="AH719" s="122"/>
      <c r="AI719" s="117">
        <f>SUM(F719:AH719)</f>
        <v>507.85301892964668</v>
      </c>
      <c r="AJ719" s="117">
        <f>SUM(F719:U719)</f>
        <v>507.85301892964668</v>
      </c>
      <c r="AK719" s="117">
        <f>SUM(W719:AH719)</f>
        <v>0</v>
      </c>
      <c r="AL719" s="23"/>
      <c r="AM719" s="127" t="b">
        <f>IF(INDEX($AO719:$BM719,0,$F$14)=1,TRUE,FALSE)</f>
        <v>0</v>
      </c>
      <c r="AN719" s="127" t="str">
        <f>IF(AM719,A719&amp;", "&amp;B719,"")</f>
        <v/>
      </c>
      <c r="AO719" s="129"/>
      <c r="AP719" s="129"/>
      <c r="AQ719" s="129"/>
      <c r="AR719" s="129"/>
      <c r="AS719" s="129"/>
      <c r="AT719" s="129"/>
      <c r="AU719" s="129">
        <v>1</v>
      </c>
      <c r="AV719" s="129"/>
      <c r="AW719" s="129"/>
      <c r="AX719" s="197"/>
      <c r="AY719" s="197"/>
      <c r="AZ719" s="197"/>
      <c r="BA719" s="197"/>
      <c r="BB719" s="129"/>
      <c r="BC719" s="129"/>
      <c r="BD719" s="129"/>
      <c r="BE719" s="129"/>
      <c r="BF719" s="129"/>
      <c r="BG719" s="129"/>
      <c r="BH719" s="129"/>
      <c r="BI719" s="129"/>
      <c r="BJ719" s="129"/>
      <c r="BK719" s="129"/>
      <c r="BL719" s="129"/>
      <c r="BM719" s="197"/>
    </row>
    <row r="720" spans="1:66" s="4" customFormat="1" x14ac:dyDescent="0.25">
      <c r="A720" s="177" t="s">
        <v>50</v>
      </c>
      <c r="B720" s="177" t="s">
        <v>26</v>
      </c>
      <c r="C720" s="177" t="s">
        <v>396</v>
      </c>
      <c r="D720" s="161">
        <v>7</v>
      </c>
      <c r="E720" s="29" t="str">
        <f>INDEX(ra_ScName,MATCH(D720,ra_ScNumber,0))</f>
        <v>Commissioned assets 2013–15</v>
      </c>
      <c r="F720" s="122">
        <v>0</v>
      </c>
      <c r="G720" s="122">
        <v>10.753119108473879</v>
      </c>
      <c r="H720" s="122">
        <v>0</v>
      </c>
      <c r="I720" s="122">
        <v>0</v>
      </c>
      <c r="J720" s="122">
        <v>0</v>
      </c>
      <c r="K720" s="122">
        <v>0</v>
      </c>
      <c r="L720" s="122">
        <v>0</v>
      </c>
      <c r="M720" s="122">
        <v>0</v>
      </c>
      <c r="N720" s="122">
        <v>0</v>
      </c>
      <c r="O720" s="122">
        <v>0</v>
      </c>
      <c r="P720" s="122">
        <v>0</v>
      </c>
      <c r="Q720" s="122">
        <v>0</v>
      </c>
      <c r="R720" s="122">
        <v>0</v>
      </c>
      <c r="S720" s="122">
        <v>0</v>
      </c>
      <c r="T720" s="122">
        <v>502.12139204822449</v>
      </c>
      <c r="U720" s="122">
        <v>0</v>
      </c>
      <c r="V720" s="122"/>
      <c r="W720" s="122"/>
      <c r="X720" s="122"/>
      <c r="Y720" s="122"/>
      <c r="Z720" s="122"/>
      <c r="AA720" s="122"/>
      <c r="AB720" s="122"/>
      <c r="AC720" s="122"/>
      <c r="AD720" s="122"/>
      <c r="AE720" s="122"/>
      <c r="AF720" s="122"/>
      <c r="AG720" s="122"/>
      <c r="AH720" s="122"/>
      <c r="AI720" s="117">
        <f>SUM(F720:AH720)</f>
        <v>512.87451115669842</v>
      </c>
      <c r="AJ720" s="117">
        <f>SUM(F720:U720)</f>
        <v>512.87451115669842</v>
      </c>
      <c r="AK720" s="117">
        <f>SUM(W720:AH720)</f>
        <v>0</v>
      </c>
      <c r="AL720" s="23"/>
      <c r="AM720" s="127" t="b">
        <f>IF(INDEX($AO720:$BM720,0,$F$14)=1,TRUE,FALSE)</f>
        <v>0</v>
      </c>
      <c r="AN720" s="127" t="str">
        <f>IF(AM720,A720&amp;", "&amp;B720,"")</f>
        <v/>
      </c>
      <c r="AO720" s="129"/>
      <c r="AP720" s="129"/>
      <c r="AQ720" s="129"/>
      <c r="AR720" s="129"/>
      <c r="AS720" s="129"/>
      <c r="AT720" s="129"/>
      <c r="AU720" s="129">
        <v>1</v>
      </c>
      <c r="AV720" s="129"/>
      <c r="AW720" s="129"/>
      <c r="AX720" s="197"/>
      <c r="AY720" s="197"/>
      <c r="AZ720" s="197"/>
      <c r="BA720" s="197"/>
      <c r="BB720" s="129"/>
      <c r="BC720" s="129"/>
      <c r="BD720" s="129"/>
      <c r="BE720" s="129"/>
      <c r="BF720" s="129"/>
      <c r="BG720" s="129"/>
      <c r="BH720" s="129"/>
      <c r="BI720" s="129"/>
      <c r="BJ720" s="129"/>
      <c r="BK720" s="129"/>
      <c r="BL720" s="129"/>
      <c r="BM720" s="197"/>
    </row>
    <row r="721" spans="1:65" s="4" customFormat="1" x14ac:dyDescent="0.25">
      <c r="A721" s="177" t="s">
        <v>50</v>
      </c>
      <c r="B721" s="177" t="s">
        <v>27</v>
      </c>
      <c r="C721" s="177" t="s">
        <v>396</v>
      </c>
      <c r="D721" s="161">
        <v>7</v>
      </c>
      <c r="E721" s="29" t="str">
        <f>INDEX(ra_ScName,MATCH(D721,ra_ScNumber,0))</f>
        <v>Commissioned assets 2013–15</v>
      </c>
      <c r="F721" s="122">
        <v>0</v>
      </c>
      <c r="G721" s="122">
        <v>10.906543074883682</v>
      </c>
      <c r="H721" s="122">
        <v>0</v>
      </c>
      <c r="I721" s="122">
        <v>0</v>
      </c>
      <c r="J721" s="122">
        <v>0</v>
      </c>
      <c r="K721" s="122">
        <v>0</v>
      </c>
      <c r="L721" s="122">
        <v>0</v>
      </c>
      <c r="M721" s="122">
        <v>0</v>
      </c>
      <c r="N721" s="122">
        <v>0</v>
      </c>
      <c r="O721" s="122">
        <v>0</v>
      </c>
      <c r="P721" s="122">
        <v>0</v>
      </c>
      <c r="Q721" s="122">
        <v>0</v>
      </c>
      <c r="R721" s="122">
        <v>0</v>
      </c>
      <c r="S721" s="122">
        <v>0</v>
      </c>
      <c r="T721" s="122">
        <v>512.63918412332498</v>
      </c>
      <c r="U721" s="122">
        <v>0</v>
      </c>
      <c r="V721" s="122"/>
      <c r="W721" s="122"/>
      <c r="X721" s="122"/>
      <c r="Y721" s="122"/>
      <c r="Z721" s="122"/>
      <c r="AA721" s="122"/>
      <c r="AB721" s="122"/>
      <c r="AC721" s="122"/>
      <c r="AD721" s="122"/>
      <c r="AE721" s="122"/>
      <c r="AF721" s="122"/>
      <c r="AG721" s="122"/>
      <c r="AH721" s="122"/>
      <c r="AI721" s="117">
        <f>SUM(F721:AH721)</f>
        <v>523.54572719820862</v>
      </c>
      <c r="AJ721" s="117">
        <f>SUM(F721:U721)</f>
        <v>523.54572719820862</v>
      </c>
      <c r="AK721" s="117">
        <f>SUM(W721:AH721)</f>
        <v>0</v>
      </c>
      <c r="AL721" s="23"/>
      <c r="AM721" s="127" t="b">
        <f>IF(INDEX($AO721:$BM721,0,$F$14)=1,TRUE,FALSE)</f>
        <v>0</v>
      </c>
      <c r="AN721" s="127" t="str">
        <f>IF(AM721,A721&amp;", "&amp;B721,"")</f>
        <v/>
      </c>
      <c r="AO721" s="129"/>
      <c r="AP721" s="129"/>
      <c r="AQ721" s="129"/>
      <c r="AR721" s="129"/>
      <c r="AS721" s="129"/>
      <c r="AT721" s="129"/>
      <c r="AU721" s="129">
        <v>1</v>
      </c>
      <c r="AV721" s="129"/>
      <c r="AW721" s="129"/>
      <c r="AX721" s="197"/>
      <c r="AY721" s="197"/>
      <c r="AZ721" s="197"/>
      <c r="BA721" s="197"/>
      <c r="BB721" s="129"/>
      <c r="BC721" s="129"/>
      <c r="BD721" s="129"/>
      <c r="BE721" s="129"/>
      <c r="BF721" s="129"/>
      <c r="BG721" s="129"/>
      <c r="BH721" s="129"/>
      <c r="BI721" s="129"/>
      <c r="BJ721" s="129"/>
      <c r="BK721" s="129"/>
      <c r="BL721" s="129"/>
      <c r="BM721" s="197"/>
    </row>
    <row r="722" spans="1:65" s="4" customFormat="1" x14ac:dyDescent="0.25">
      <c r="A722" s="177"/>
      <c r="B722" s="177"/>
      <c r="C722" s="177"/>
      <c r="D722" s="25"/>
      <c r="E722" s="25"/>
      <c r="F722" s="25"/>
      <c r="G722" s="25"/>
      <c r="H722" s="25"/>
      <c r="I722" s="25"/>
      <c r="J722" s="25"/>
      <c r="K722" s="25"/>
      <c r="L722" s="25"/>
      <c r="M722" s="26"/>
      <c r="N722" s="26"/>
      <c r="O722" s="26"/>
      <c r="P722" s="26"/>
      <c r="Q722" s="26"/>
      <c r="R722" s="26"/>
      <c r="S722" s="26"/>
      <c r="T722" s="26"/>
      <c r="U722" s="26"/>
      <c r="V722" s="25"/>
      <c r="W722" s="23"/>
      <c r="X722" s="23"/>
      <c r="Y722" s="23"/>
      <c r="Z722" s="23"/>
      <c r="AA722" s="23"/>
      <c r="AB722" s="23"/>
      <c r="AC722" s="23"/>
      <c r="AD722" s="23"/>
      <c r="AE722" s="23"/>
      <c r="AF722" s="23"/>
      <c r="AG722" s="23"/>
      <c r="AH722" s="23"/>
      <c r="AI722" s="54"/>
      <c r="AJ722" s="54"/>
      <c r="AK722" s="54"/>
      <c r="AL722" s="23"/>
      <c r="AM722" s="127"/>
      <c r="AN722" s="127"/>
      <c r="AO722" s="129"/>
      <c r="AP722" s="129"/>
      <c r="AQ722" s="129"/>
      <c r="AR722" s="129"/>
      <c r="AS722" s="129"/>
      <c r="AT722" s="129"/>
      <c r="AU722" s="129"/>
      <c r="AV722" s="129"/>
      <c r="AW722" s="129"/>
      <c r="AX722" s="197"/>
      <c r="AY722" s="197"/>
      <c r="AZ722" s="197"/>
      <c r="BA722" s="197"/>
      <c r="BB722" s="129"/>
      <c r="BC722" s="129"/>
      <c r="BD722" s="129"/>
      <c r="BE722" s="129"/>
      <c r="BF722" s="129"/>
      <c r="BG722" s="129"/>
      <c r="BH722" s="129"/>
      <c r="BI722" s="129"/>
      <c r="BJ722" s="129"/>
      <c r="BK722" s="129"/>
      <c r="BL722" s="129"/>
      <c r="BM722" s="197"/>
    </row>
    <row r="723" spans="1:65" s="4" customFormat="1" x14ac:dyDescent="0.25">
      <c r="A723" s="177"/>
      <c r="B723" s="177"/>
      <c r="C723" s="177"/>
      <c r="D723" s="46"/>
      <c r="E723" s="46"/>
      <c r="F723" s="54"/>
      <c r="G723" s="54"/>
      <c r="H723" s="54"/>
      <c r="I723" s="54"/>
      <c r="J723" s="54"/>
      <c r="K723" s="54"/>
      <c r="L723" s="54"/>
      <c r="M723" s="54"/>
      <c r="N723" s="54"/>
      <c r="O723" s="54"/>
      <c r="P723" s="54"/>
      <c r="Q723" s="54"/>
      <c r="R723" s="54"/>
      <c r="S723" s="54"/>
      <c r="T723" s="54"/>
      <c r="U723" s="54"/>
      <c r="V723" s="54"/>
      <c r="W723" s="55"/>
      <c r="X723" s="55"/>
      <c r="Y723" s="55"/>
      <c r="Z723" s="55"/>
      <c r="AA723" s="55"/>
      <c r="AB723" s="55"/>
      <c r="AC723" s="55"/>
      <c r="AD723" s="55"/>
      <c r="AE723" s="55"/>
      <c r="AF723" s="55"/>
      <c r="AG723" s="55"/>
      <c r="AH723" s="55"/>
      <c r="AI723" s="54"/>
      <c r="AJ723" s="54"/>
      <c r="AK723" s="54"/>
      <c r="AL723" s="23"/>
      <c r="AM723" s="127"/>
      <c r="AN723" s="127"/>
      <c r="AO723" s="129"/>
      <c r="AP723" s="129"/>
      <c r="AQ723" s="129"/>
      <c r="AR723" s="129"/>
      <c r="AS723" s="129"/>
      <c r="AT723" s="129"/>
      <c r="AU723" s="129"/>
      <c r="AV723" s="129"/>
      <c r="AW723" s="129"/>
      <c r="AX723" s="197"/>
      <c r="AY723" s="197"/>
      <c r="AZ723" s="197"/>
      <c r="BA723" s="197"/>
      <c r="BB723" s="129"/>
      <c r="BC723" s="129"/>
      <c r="BD723" s="129"/>
      <c r="BE723" s="129"/>
      <c r="BF723" s="129"/>
      <c r="BG723" s="129"/>
      <c r="BH723" s="129"/>
      <c r="BI723" s="129"/>
      <c r="BJ723" s="129"/>
      <c r="BK723" s="129"/>
      <c r="BL723" s="129"/>
      <c r="BM723" s="197"/>
    </row>
    <row r="724" spans="1:65" s="4" customFormat="1" x14ac:dyDescent="0.25">
      <c r="A724" s="177" t="s">
        <v>50</v>
      </c>
      <c r="B724" s="177" t="s">
        <v>23</v>
      </c>
      <c r="C724" s="177" t="s">
        <v>402</v>
      </c>
      <c r="D724" s="161">
        <v>8</v>
      </c>
      <c r="E724" s="29" t="str">
        <f>INDEX(ra_ScName,MATCH(D724,ra_ScNumber,0))</f>
        <v>Asset disposals 2013–15</v>
      </c>
      <c r="F724" s="122">
        <v>0</v>
      </c>
      <c r="G724" s="122">
        <v>10.193338538511902</v>
      </c>
      <c r="H724" s="122">
        <v>0</v>
      </c>
      <c r="I724" s="122">
        <v>0</v>
      </c>
      <c r="J724" s="122">
        <v>0</v>
      </c>
      <c r="K724" s="122">
        <v>0</v>
      </c>
      <c r="L724" s="122">
        <v>0</v>
      </c>
      <c r="M724" s="122">
        <v>0</v>
      </c>
      <c r="N724" s="122">
        <v>0</v>
      </c>
      <c r="O724" s="122">
        <v>0</v>
      </c>
      <c r="P724" s="122">
        <v>0</v>
      </c>
      <c r="Q724" s="122">
        <v>0</v>
      </c>
      <c r="R724" s="122">
        <v>0</v>
      </c>
      <c r="S724" s="122">
        <v>0</v>
      </c>
      <c r="T724" s="122">
        <v>489.13768011467386</v>
      </c>
      <c r="U724" s="122">
        <v>0</v>
      </c>
      <c r="V724" s="122"/>
      <c r="W724" s="122"/>
      <c r="X724" s="122"/>
      <c r="Y724" s="122"/>
      <c r="Z724" s="122"/>
      <c r="AA724" s="122"/>
      <c r="AB724" s="122"/>
      <c r="AC724" s="122"/>
      <c r="AD724" s="122"/>
      <c r="AE724" s="122"/>
      <c r="AF724" s="122"/>
      <c r="AG724" s="122"/>
      <c r="AH724" s="122"/>
      <c r="AI724" s="117">
        <f>SUM(F724:AH724)</f>
        <v>499.33101865318577</v>
      </c>
      <c r="AJ724" s="117">
        <f>SUM(F724:U724)</f>
        <v>499.33101865318577</v>
      </c>
      <c r="AK724" s="117">
        <f>SUM(W724:AH724)</f>
        <v>0</v>
      </c>
      <c r="AL724" s="23"/>
      <c r="AM724" s="127" t="b">
        <f>IF(INDEX($AO724:$BM724,0,$F$14)=1,TRUE,FALSE)</f>
        <v>0</v>
      </c>
      <c r="AN724" s="127" t="str">
        <f>IF(AM724,A724&amp;", "&amp;B724,"")</f>
        <v/>
      </c>
      <c r="AO724" s="129"/>
      <c r="AP724" s="129"/>
      <c r="AQ724" s="129"/>
      <c r="AR724" s="129"/>
      <c r="AS724" s="129"/>
      <c r="AT724" s="129"/>
      <c r="AU724" s="129"/>
      <c r="AV724" s="129">
        <v>1</v>
      </c>
      <c r="AW724" s="129"/>
      <c r="AX724" s="197"/>
      <c r="AY724" s="197"/>
      <c r="AZ724" s="197"/>
      <c r="BA724" s="197"/>
      <c r="BB724" s="129"/>
      <c r="BC724" s="129"/>
      <c r="BD724" s="129"/>
      <c r="BE724" s="129"/>
      <c r="BF724" s="129"/>
      <c r="BG724" s="129"/>
      <c r="BH724" s="129"/>
      <c r="BI724" s="129"/>
      <c r="BJ724" s="129"/>
      <c r="BK724" s="129"/>
      <c r="BL724" s="129">
        <v>1</v>
      </c>
      <c r="BM724" s="197"/>
    </row>
    <row r="725" spans="1:65" s="4" customFormat="1" x14ac:dyDescent="0.25">
      <c r="A725" s="177" t="s">
        <v>50</v>
      </c>
      <c r="B725" s="177" t="s">
        <v>24</v>
      </c>
      <c r="C725" s="177" t="s">
        <v>402</v>
      </c>
      <c r="D725" s="161">
        <v>8</v>
      </c>
      <c r="E725" s="29" t="str">
        <f>INDEX(ra_ScName,MATCH(D725,ra_ScNumber,0))</f>
        <v>Asset disposals 2013–15</v>
      </c>
      <c r="F725" s="122">
        <v>0</v>
      </c>
      <c r="G725" s="122">
        <v>10.476283175719125</v>
      </c>
      <c r="H725" s="122">
        <v>0</v>
      </c>
      <c r="I725" s="122">
        <v>0</v>
      </c>
      <c r="J725" s="122">
        <v>0</v>
      </c>
      <c r="K725" s="122">
        <v>0</v>
      </c>
      <c r="L725" s="122">
        <v>0</v>
      </c>
      <c r="M725" s="122">
        <v>0</v>
      </c>
      <c r="N725" s="122">
        <v>0</v>
      </c>
      <c r="O725" s="122">
        <v>0</v>
      </c>
      <c r="P725" s="122">
        <v>0</v>
      </c>
      <c r="Q725" s="122">
        <v>0</v>
      </c>
      <c r="R725" s="122">
        <v>0</v>
      </c>
      <c r="S725" s="122">
        <v>0</v>
      </c>
      <c r="T725" s="122">
        <v>496.47550817298014</v>
      </c>
      <c r="U725" s="122">
        <v>0</v>
      </c>
      <c r="V725" s="122"/>
      <c r="W725" s="122"/>
      <c r="X725" s="122"/>
      <c r="Y725" s="122"/>
      <c r="Z725" s="122"/>
      <c r="AA725" s="122"/>
      <c r="AB725" s="122"/>
      <c r="AC725" s="122"/>
      <c r="AD725" s="122"/>
      <c r="AE725" s="122"/>
      <c r="AF725" s="122"/>
      <c r="AG725" s="122"/>
      <c r="AH725" s="122"/>
      <c r="AI725" s="117">
        <f>SUM(F725:AH725)</f>
        <v>506.95179134869926</v>
      </c>
      <c r="AJ725" s="117">
        <f>SUM(F725:U725)</f>
        <v>506.95179134869926</v>
      </c>
      <c r="AK725" s="117">
        <f>SUM(W725:AH725)</f>
        <v>0</v>
      </c>
      <c r="AL725" s="23"/>
      <c r="AM725" s="127" t="b">
        <f>IF(INDEX($AO725:$BM725,0,$F$14)=1,TRUE,FALSE)</f>
        <v>0</v>
      </c>
      <c r="AN725" s="127" t="str">
        <f>IF(AM725,A725&amp;", "&amp;B725,"")</f>
        <v/>
      </c>
      <c r="AO725" s="129"/>
      <c r="AP725" s="129"/>
      <c r="AQ725" s="129"/>
      <c r="AR725" s="129"/>
      <c r="AS725" s="129"/>
      <c r="AT725" s="129"/>
      <c r="AU725" s="129"/>
      <c r="AV725" s="129">
        <v>1</v>
      </c>
      <c r="AW725" s="129"/>
      <c r="AX725" s="197"/>
      <c r="AY725" s="197"/>
      <c r="AZ725" s="197"/>
      <c r="BA725" s="197"/>
      <c r="BB725" s="129"/>
      <c r="BC725" s="129"/>
      <c r="BD725" s="129"/>
      <c r="BE725" s="129"/>
      <c r="BF725" s="129"/>
      <c r="BG725" s="129"/>
      <c r="BH725" s="129"/>
      <c r="BI725" s="129"/>
      <c r="BJ725" s="129"/>
      <c r="BK725" s="129"/>
      <c r="BL725" s="129">
        <v>1</v>
      </c>
      <c r="BM725" s="197"/>
    </row>
    <row r="726" spans="1:65" s="4" customFormat="1" x14ac:dyDescent="0.25">
      <c r="A726" s="177" t="s">
        <v>50</v>
      </c>
      <c r="B726" s="177" t="s">
        <v>25</v>
      </c>
      <c r="C726" s="177" t="s">
        <v>402</v>
      </c>
      <c r="D726" s="161">
        <v>8</v>
      </c>
      <c r="E726" s="29" t="str">
        <f>INDEX(ra_ScName,MATCH(D726,ra_ScNumber,0))</f>
        <v>Asset disposals 2013–15</v>
      </c>
      <c r="F726" s="122">
        <v>0</v>
      </c>
      <c r="G726" s="122">
        <v>10.606755200410314</v>
      </c>
      <c r="H726" s="122">
        <v>0</v>
      </c>
      <c r="I726" s="122">
        <v>0</v>
      </c>
      <c r="J726" s="122">
        <v>0</v>
      </c>
      <c r="K726" s="122">
        <v>0</v>
      </c>
      <c r="L726" s="122">
        <v>0</v>
      </c>
      <c r="M726" s="122">
        <v>0</v>
      </c>
      <c r="N726" s="122">
        <v>0</v>
      </c>
      <c r="O726" s="122">
        <v>0</v>
      </c>
      <c r="P726" s="122">
        <v>0</v>
      </c>
      <c r="Q726" s="122">
        <v>0</v>
      </c>
      <c r="R726" s="122">
        <v>0</v>
      </c>
      <c r="S726" s="122">
        <v>0</v>
      </c>
      <c r="T726" s="122">
        <v>497.24626372923638</v>
      </c>
      <c r="U726" s="122">
        <v>0</v>
      </c>
      <c r="V726" s="122"/>
      <c r="W726" s="122"/>
      <c r="X726" s="122"/>
      <c r="Y726" s="122"/>
      <c r="Z726" s="122"/>
      <c r="AA726" s="122"/>
      <c r="AB726" s="122"/>
      <c r="AC726" s="122"/>
      <c r="AD726" s="122"/>
      <c r="AE726" s="122"/>
      <c r="AF726" s="122"/>
      <c r="AG726" s="122"/>
      <c r="AH726" s="122"/>
      <c r="AI726" s="117">
        <f>SUM(F726:AH726)</f>
        <v>507.85301892964668</v>
      </c>
      <c r="AJ726" s="117">
        <f>SUM(F726:U726)</f>
        <v>507.85301892964668</v>
      </c>
      <c r="AK726" s="117">
        <f>SUM(W726:AH726)</f>
        <v>0</v>
      </c>
      <c r="AL726" s="23"/>
      <c r="AM726" s="127" t="b">
        <f>IF(INDEX($AO726:$BM726,0,$F$14)=1,TRUE,FALSE)</f>
        <v>0</v>
      </c>
      <c r="AN726" s="127" t="str">
        <f>IF(AM726,A726&amp;", "&amp;B726,"")</f>
        <v/>
      </c>
      <c r="AO726" s="129"/>
      <c r="AP726" s="129"/>
      <c r="AQ726" s="129"/>
      <c r="AR726" s="129"/>
      <c r="AS726" s="129"/>
      <c r="AT726" s="129"/>
      <c r="AU726" s="129"/>
      <c r="AV726" s="129">
        <v>1</v>
      </c>
      <c r="AW726" s="129"/>
      <c r="AX726" s="197"/>
      <c r="AY726" s="197"/>
      <c r="AZ726" s="197"/>
      <c r="BA726" s="197"/>
      <c r="BB726" s="129"/>
      <c r="BC726" s="129"/>
      <c r="BD726" s="129"/>
      <c r="BE726" s="129"/>
      <c r="BF726" s="129"/>
      <c r="BG726" s="129"/>
      <c r="BH726" s="129"/>
      <c r="BI726" s="129"/>
      <c r="BJ726" s="129"/>
      <c r="BK726" s="129"/>
      <c r="BL726" s="129">
        <v>1</v>
      </c>
      <c r="BM726" s="197"/>
    </row>
    <row r="727" spans="1:65" s="4" customFormat="1" x14ac:dyDescent="0.25">
      <c r="A727" s="177" t="s">
        <v>50</v>
      </c>
      <c r="B727" s="177" t="s">
        <v>26</v>
      </c>
      <c r="C727" s="177" t="s">
        <v>402</v>
      </c>
      <c r="D727" s="161">
        <v>8</v>
      </c>
      <c r="E727" s="29" t="str">
        <f>INDEX(ra_ScName,MATCH(D727,ra_ScNumber,0))</f>
        <v>Asset disposals 2013–15</v>
      </c>
      <c r="F727" s="122">
        <v>0</v>
      </c>
      <c r="G727" s="122">
        <v>10.753119108473879</v>
      </c>
      <c r="H727" s="122">
        <v>0</v>
      </c>
      <c r="I727" s="122">
        <v>0</v>
      </c>
      <c r="J727" s="122">
        <v>0</v>
      </c>
      <c r="K727" s="122">
        <v>0</v>
      </c>
      <c r="L727" s="122">
        <v>0</v>
      </c>
      <c r="M727" s="122">
        <v>0</v>
      </c>
      <c r="N727" s="122">
        <v>0</v>
      </c>
      <c r="O727" s="122">
        <v>0</v>
      </c>
      <c r="P727" s="122">
        <v>0</v>
      </c>
      <c r="Q727" s="122">
        <v>0</v>
      </c>
      <c r="R727" s="122">
        <v>0</v>
      </c>
      <c r="S727" s="122">
        <v>0</v>
      </c>
      <c r="T727" s="122">
        <v>502.98145731332096</v>
      </c>
      <c r="U727" s="122">
        <v>0</v>
      </c>
      <c r="V727" s="122"/>
      <c r="W727" s="122"/>
      <c r="X727" s="122"/>
      <c r="Y727" s="122"/>
      <c r="Z727" s="122"/>
      <c r="AA727" s="122"/>
      <c r="AB727" s="122"/>
      <c r="AC727" s="122"/>
      <c r="AD727" s="122"/>
      <c r="AE727" s="122"/>
      <c r="AF727" s="122"/>
      <c r="AG727" s="122"/>
      <c r="AH727" s="122"/>
      <c r="AI727" s="117">
        <f>SUM(F727:AH727)</f>
        <v>513.73457642179483</v>
      </c>
      <c r="AJ727" s="117">
        <f>SUM(F727:U727)</f>
        <v>513.73457642179483</v>
      </c>
      <c r="AK727" s="117">
        <f>SUM(W727:AH727)</f>
        <v>0</v>
      </c>
      <c r="AL727" s="23"/>
      <c r="AM727" s="127" t="b">
        <f>IF(INDEX($AO727:$BM727,0,$F$14)=1,TRUE,FALSE)</f>
        <v>0</v>
      </c>
      <c r="AN727" s="127" t="str">
        <f>IF(AM727,A727&amp;", "&amp;B727,"")</f>
        <v/>
      </c>
      <c r="AO727" s="129"/>
      <c r="AP727" s="129"/>
      <c r="AQ727" s="129"/>
      <c r="AR727" s="129"/>
      <c r="AS727" s="129"/>
      <c r="AT727" s="129"/>
      <c r="AU727" s="129"/>
      <c r="AV727" s="129">
        <v>1</v>
      </c>
      <c r="AW727" s="129"/>
      <c r="AX727" s="197"/>
      <c r="AY727" s="197"/>
      <c r="AZ727" s="197"/>
      <c r="BA727" s="197"/>
      <c r="BB727" s="129"/>
      <c r="BC727" s="129"/>
      <c r="BD727" s="129"/>
      <c r="BE727" s="129"/>
      <c r="BF727" s="129"/>
      <c r="BG727" s="129"/>
      <c r="BH727" s="129"/>
      <c r="BI727" s="129"/>
      <c r="BJ727" s="129"/>
      <c r="BK727" s="129"/>
      <c r="BL727" s="129">
        <v>1</v>
      </c>
      <c r="BM727" s="197"/>
    </row>
    <row r="728" spans="1:65" s="4" customFormat="1" x14ac:dyDescent="0.25">
      <c r="A728" s="177" t="s">
        <v>50</v>
      </c>
      <c r="B728" s="177" t="s">
        <v>27</v>
      </c>
      <c r="C728" s="177" t="s">
        <v>402</v>
      </c>
      <c r="D728" s="161">
        <v>8</v>
      </c>
      <c r="E728" s="29" t="str">
        <f>INDEX(ra_ScName,MATCH(D728,ra_ScNumber,0))</f>
        <v>Asset disposals 2013–15</v>
      </c>
      <c r="F728" s="122">
        <v>0</v>
      </c>
      <c r="G728" s="122">
        <v>10.902026473748581</v>
      </c>
      <c r="H728" s="122">
        <v>0</v>
      </c>
      <c r="I728" s="122">
        <v>0</v>
      </c>
      <c r="J728" s="122">
        <v>0</v>
      </c>
      <c r="K728" s="122">
        <v>0</v>
      </c>
      <c r="L728" s="122">
        <v>0</v>
      </c>
      <c r="M728" s="122">
        <v>0</v>
      </c>
      <c r="N728" s="122">
        <v>0</v>
      </c>
      <c r="O728" s="122">
        <v>0</v>
      </c>
      <c r="P728" s="122">
        <v>0</v>
      </c>
      <c r="Q728" s="122">
        <v>0</v>
      </c>
      <c r="R728" s="122">
        <v>0</v>
      </c>
      <c r="S728" s="122">
        <v>0</v>
      </c>
      <c r="T728" s="122">
        <v>513.27945601222223</v>
      </c>
      <c r="U728" s="122">
        <v>0</v>
      </c>
      <c r="V728" s="122"/>
      <c r="W728" s="122"/>
      <c r="X728" s="122"/>
      <c r="Y728" s="122"/>
      <c r="Z728" s="122"/>
      <c r="AA728" s="122"/>
      <c r="AB728" s="122"/>
      <c r="AC728" s="122"/>
      <c r="AD728" s="122"/>
      <c r="AE728" s="122"/>
      <c r="AF728" s="122"/>
      <c r="AG728" s="122"/>
      <c r="AH728" s="122"/>
      <c r="AI728" s="117">
        <f>SUM(F728:AH728)</f>
        <v>524.18148248597083</v>
      </c>
      <c r="AJ728" s="117">
        <f>SUM(F728:U728)</f>
        <v>524.18148248597083</v>
      </c>
      <c r="AK728" s="117">
        <f>SUM(W728:AH728)</f>
        <v>0</v>
      </c>
      <c r="AL728" s="23"/>
      <c r="AM728" s="127" t="b">
        <f>IF(INDEX($AO728:$BM728,0,$F$14)=1,TRUE,FALSE)</f>
        <v>0</v>
      </c>
      <c r="AN728" s="127" t="str">
        <f>IF(AM728,A728&amp;", "&amp;B728,"")</f>
        <v/>
      </c>
      <c r="AO728" s="129"/>
      <c r="AP728" s="129"/>
      <c r="AQ728" s="129"/>
      <c r="AR728" s="129"/>
      <c r="AS728" s="129"/>
      <c r="AT728" s="129"/>
      <c r="AU728" s="129"/>
      <c r="AV728" s="129">
        <v>1</v>
      </c>
      <c r="AW728" s="129"/>
      <c r="AX728" s="197"/>
      <c r="AY728" s="197"/>
      <c r="AZ728" s="197"/>
      <c r="BA728" s="197"/>
      <c r="BB728" s="129"/>
      <c r="BC728" s="129"/>
      <c r="BD728" s="129"/>
      <c r="BE728" s="129"/>
      <c r="BF728" s="129"/>
      <c r="BG728" s="129"/>
      <c r="BH728" s="129"/>
      <c r="BI728" s="129"/>
      <c r="BJ728" s="129"/>
      <c r="BK728" s="129"/>
      <c r="BL728" s="129">
        <v>1</v>
      </c>
      <c r="BM728" s="197"/>
    </row>
    <row r="729" spans="1:65" x14ac:dyDescent="0.25">
      <c r="A729" s="121"/>
      <c r="B729" s="121"/>
      <c r="C729" s="172"/>
      <c r="D729" s="25"/>
      <c r="E729" s="25"/>
      <c r="F729" s="25"/>
      <c r="G729" s="25"/>
      <c r="H729" s="25"/>
      <c r="I729" s="25"/>
      <c r="J729" s="25"/>
      <c r="K729" s="25"/>
      <c r="L729" s="25"/>
      <c r="M729" s="26"/>
      <c r="N729" s="26"/>
      <c r="O729" s="26"/>
      <c r="P729" s="26"/>
      <c r="Q729" s="26"/>
      <c r="R729" s="26"/>
      <c r="S729" s="26"/>
      <c r="T729" s="26"/>
      <c r="U729" s="26"/>
      <c r="V729" s="25"/>
      <c r="W729" s="23"/>
      <c r="X729" s="23"/>
      <c r="Y729" s="23"/>
      <c r="Z729" s="23"/>
      <c r="AA729" s="23"/>
      <c r="AB729" s="23"/>
      <c r="AC729" s="23"/>
      <c r="AD729" s="23"/>
      <c r="AE729" s="23"/>
      <c r="AF729" s="23"/>
      <c r="AG729" s="23"/>
      <c r="AH729" s="23"/>
      <c r="AI729" s="54"/>
      <c r="AJ729" s="54"/>
      <c r="AK729" s="54"/>
      <c r="AL729" s="23"/>
      <c r="AM729" s="127"/>
      <c r="AN729" s="127"/>
      <c r="AO729" s="129"/>
      <c r="AP729" s="129"/>
      <c r="AQ729" s="129"/>
      <c r="AR729" s="129"/>
      <c r="AS729" s="129"/>
      <c r="AT729" s="129"/>
      <c r="AU729" s="129"/>
      <c r="AV729" s="129"/>
      <c r="AW729" s="129"/>
      <c r="AX729" s="197"/>
      <c r="AY729" s="197"/>
      <c r="AZ729" s="197"/>
      <c r="BA729" s="197"/>
      <c r="BB729" s="129"/>
      <c r="BC729" s="129"/>
      <c r="BD729" s="129"/>
      <c r="BE729" s="129"/>
      <c r="BF729" s="129"/>
      <c r="BG729" s="129"/>
      <c r="BH729" s="129"/>
      <c r="BI729" s="129"/>
      <c r="BJ729" s="129"/>
      <c r="BK729" s="129"/>
      <c r="BL729" s="129"/>
      <c r="BM729" s="197"/>
    </row>
    <row r="730" spans="1:65" x14ac:dyDescent="0.25">
      <c r="A730" s="121"/>
      <c r="B730" s="121"/>
      <c r="C730" s="172"/>
      <c r="D730" s="46"/>
      <c r="E730" s="46"/>
      <c r="F730" s="54"/>
      <c r="G730" s="54"/>
      <c r="H730" s="54"/>
      <c r="I730" s="54"/>
      <c r="J730" s="54"/>
      <c r="K730" s="54"/>
      <c r="L730" s="54"/>
      <c r="M730" s="54"/>
      <c r="N730" s="54"/>
      <c r="O730" s="54"/>
      <c r="P730" s="54"/>
      <c r="Q730" s="54"/>
      <c r="R730" s="54"/>
      <c r="S730" s="54"/>
      <c r="T730" s="54"/>
      <c r="U730" s="54"/>
      <c r="V730" s="54"/>
      <c r="W730" s="55"/>
      <c r="X730" s="55"/>
      <c r="Y730" s="55"/>
      <c r="Z730" s="55"/>
      <c r="AA730" s="55"/>
      <c r="AB730" s="55"/>
      <c r="AC730" s="55"/>
      <c r="AD730" s="55"/>
      <c r="AE730" s="55"/>
      <c r="AF730" s="55"/>
      <c r="AG730" s="55"/>
      <c r="AH730" s="55"/>
      <c r="AI730" s="54"/>
      <c r="AJ730" s="54"/>
      <c r="AK730" s="54"/>
      <c r="AL730" s="23"/>
      <c r="AM730" s="127"/>
      <c r="AN730" s="127"/>
      <c r="AO730" s="129"/>
      <c r="AP730" s="129"/>
      <c r="AQ730" s="129"/>
      <c r="AR730" s="129"/>
      <c r="AS730" s="129"/>
      <c r="AT730" s="129"/>
      <c r="AU730" s="129"/>
      <c r="AV730" s="129"/>
      <c r="AW730" s="129"/>
      <c r="AX730" s="197"/>
      <c r="AY730" s="197"/>
      <c r="AZ730" s="197"/>
      <c r="BA730" s="197"/>
      <c r="BB730" s="129"/>
      <c r="BC730" s="129"/>
      <c r="BD730" s="129"/>
      <c r="BE730" s="129"/>
      <c r="BF730" s="129"/>
      <c r="BG730" s="129"/>
      <c r="BH730" s="129"/>
      <c r="BI730" s="129"/>
      <c r="BJ730" s="129"/>
      <c r="BK730" s="129"/>
      <c r="BL730" s="129"/>
      <c r="BM730" s="197"/>
    </row>
    <row r="731" spans="1:65" x14ac:dyDescent="0.25">
      <c r="A731" s="121" t="s">
        <v>50</v>
      </c>
      <c r="B731" s="121" t="s">
        <v>23</v>
      </c>
      <c r="C731" s="172" t="s">
        <v>352</v>
      </c>
      <c r="D731" s="161">
        <v>10</v>
      </c>
      <c r="E731" s="29" t="str">
        <f>INDEX(ra_ScName,MATCH(D731,ra_ScNumber,0))</f>
        <v>Disclosed nominal return (incl actual asset revaluations)</v>
      </c>
      <c r="F731" s="122">
        <v>0</v>
      </c>
      <c r="G731" s="122">
        <v>0</v>
      </c>
      <c r="H731" s="122">
        <v>0</v>
      </c>
      <c r="I731" s="122">
        <v>0</v>
      </c>
      <c r="J731" s="122">
        <v>0</v>
      </c>
      <c r="K731" s="122">
        <v>0</v>
      </c>
      <c r="L731" s="122">
        <v>0</v>
      </c>
      <c r="M731" s="122">
        <v>0</v>
      </c>
      <c r="N731" s="122">
        <v>0</v>
      </c>
      <c r="O731" s="122">
        <v>0</v>
      </c>
      <c r="P731" s="122">
        <v>0</v>
      </c>
      <c r="Q731" s="122">
        <v>2.0796075624974972</v>
      </c>
      <c r="R731" s="122">
        <v>0</v>
      </c>
      <c r="S731" s="122">
        <v>0.24680973524667893</v>
      </c>
      <c r="T731" s="122">
        <v>472.4283949300023</v>
      </c>
      <c r="U731" s="122">
        <v>262.41387257002202</v>
      </c>
      <c r="V731" s="122">
        <v>0</v>
      </c>
      <c r="W731" s="122">
        <v>0</v>
      </c>
      <c r="X731" s="122">
        <v>0</v>
      </c>
      <c r="Y731" s="122">
        <v>0</v>
      </c>
      <c r="Z731" s="122">
        <v>0</v>
      </c>
      <c r="AA731" s="122">
        <v>0</v>
      </c>
      <c r="AB731" s="122">
        <v>0</v>
      </c>
      <c r="AC731" s="122">
        <v>0</v>
      </c>
      <c r="AD731" s="122">
        <v>0</v>
      </c>
      <c r="AE731" s="122">
        <v>0</v>
      </c>
      <c r="AF731" s="122">
        <v>0</v>
      </c>
      <c r="AG731" s="122">
        <v>0</v>
      </c>
      <c r="AH731" s="122">
        <v>0</v>
      </c>
      <c r="AI731" s="117">
        <f>SUM(F731:AH731)</f>
        <v>737.16868479776849</v>
      </c>
      <c r="AJ731" s="117">
        <f>SUM(F731:U731)</f>
        <v>737.16868479776849</v>
      </c>
      <c r="AK731" s="117">
        <f>SUM(W731:AH731)</f>
        <v>0</v>
      </c>
      <c r="AL731" s="23"/>
      <c r="AM731" s="127" t="b">
        <f>IF(INDEX($AO731:$BM731,0,$F$14)=1,TRUE,FALSE)</f>
        <v>1</v>
      </c>
      <c r="AN731" s="127" t="str">
        <f>IF(AM731,A731&amp;", "&amp;B731,"")</f>
        <v>Term credit spread differential allowance, 2010/11</v>
      </c>
      <c r="AO731" s="129"/>
      <c r="AP731" s="129"/>
      <c r="AQ731" s="129"/>
      <c r="AR731" s="129"/>
      <c r="AS731" s="129"/>
      <c r="AT731" s="129"/>
      <c r="AU731" s="129"/>
      <c r="AV731" s="129"/>
      <c r="AW731" s="129">
        <v>1</v>
      </c>
      <c r="AX731" s="197">
        <v>1</v>
      </c>
      <c r="AY731" s="197">
        <v>1</v>
      </c>
      <c r="AZ731" s="197">
        <v>1</v>
      </c>
      <c r="BA731" s="197"/>
      <c r="BB731" s="129"/>
      <c r="BC731" s="129"/>
      <c r="BD731" s="129"/>
      <c r="BE731" s="129"/>
      <c r="BF731" s="129"/>
      <c r="BG731" s="129"/>
      <c r="BH731" s="129"/>
      <c r="BI731" s="129"/>
      <c r="BJ731" s="129"/>
      <c r="BK731" s="129"/>
      <c r="BL731" s="129"/>
      <c r="BM731" s="197">
        <v>1</v>
      </c>
    </row>
    <row r="732" spans="1:65" x14ac:dyDescent="0.25">
      <c r="A732" s="121" t="s">
        <v>50</v>
      </c>
      <c r="B732" s="121" t="s">
        <v>24</v>
      </c>
      <c r="C732" s="172" t="s">
        <v>212</v>
      </c>
      <c r="D732" s="161">
        <v>10</v>
      </c>
      <c r="E732" s="29" t="str">
        <f>INDEX(ra_ScName,MATCH(D732,ra_ScNumber,0))</f>
        <v>Disclosed nominal return (incl actual asset revaluations)</v>
      </c>
      <c r="F732" s="122">
        <v>0</v>
      </c>
      <c r="G732" s="122">
        <v>0</v>
      </c>
      <c r="H732" s="122">
        <v>0</v>
      </c>
      <c r="I732" s="122">
        <v>0</v>
      </c>
      <c r="J732" s="122">
        <v>0</v>
      </c>
      <c r="K732" s="122">
        <v>0</v>
      </c>
      <c r="L732" s="122">
        <v>0</v>
      </c>
      <c r="M732" s="122">
        <v>0</v>
      </c>
      <c r="N732" s="122">
        <v>0</v>
      </c>
      <c r="O732" s="122">
        <v>0</v>
      </c>
      <c r="P732" s="122">
        <v>0</v>
      </c>
      <c r="Q732" s="122">
        <v>2.4576351000000001</v>
      </c>
      <c r="R732" s="122">
        <v>0</v>
      </c>
      <c r="S732" s="122">
        <v>7.9199489999999997E-2</v>
      </c>
      <c r="T732" s="122">
        <v>502.52</v>
      </c>
      <c r="U732" s="122">
        <v>0</v>
      </c>
      <c r="V732" s="122">
        <v>0</v>
      </c>
      <c r="W732" s="122">
        <v>0</v>
      </c>
      <c r="X732" s="122">
        <v>0</v>
      </c>
      <c r="Y732" s="122">
        <v>0</v>
      </c>
      <c r="Z732" s="122">
        <v>0</v>
      </c>
      <c r="AA732" s="122">
        <v>0</v>
      </c>
      <c r="AB732" s="122">
        <v>0</v>
      </c>
      <c r="AC732" s="122">
        <v>0</v>
      </c>
      <c r="AD732" s="122">
        <v>0</v>
      </c>
      <c r="AE732" s="122">
        <v>0</v>
      </c>
      <c r="AF732" s="122">
        <v>0</v>
      </c>
      <c r="AG732" s="122">
        <v>0</v>
      </c>
      <c r="AH732" s="122">
        <v>0</v>
      </c>
      <c r="AI732" s="117">
        <f>SUM(F732:AH732)</f>
        <v>505.05683458999999</v>
      </c>
      <c r="AJ732" s="117">
        <f>SUM(F732:U732)</f>
        <v>505.05683458999999</v>
      </c>
      <c r="AK732" s="117">
        <f>SUM(W732:AH732)</f>
        <v>0</v>
      </c>
      <c r="AL732" s="23"/>
      <c r="AM732" s="127" t="b">
        <f>IF(INDEX($AO732:$BM732,0,$F$14)=1,TRUE,FALSE)</f>
        <v>1</v>
      </c>
      <c r="AN732" s="127" t="str">
        <f>IF(AM732,A732&amp;", "&amp;B732,"")</f>
        <v>Term credit spread differential allowance, 2011/12</v>
      </c>
      <c r="AO732" s="129"/>
      <c r="AP732" s="129"/>
      <c r="AQ732" s="129"/>
      <c r="AR732" s="129"/>
      <c r="AS732" s="129"/>
      <c r="AT732" s="129"/>
      <c r="AU732" s="129"/>
      <c r="AV732" s="129"/>
      <c r="AW732" s="129">
        <v>1</v>
      </c>
      <c r="AX732" s="197">
        <v>1</v>
      </c>
      <c r="AY732" s="197">
        <v>1</v>
      </c>
      <c r="AZ732" s="197">
        <v>1</v>
      </c>
      <c r="BA732" s="197"/>
      <c r="BB732" s="129"/>
      <c r="BC732" s="129"/>
      <c r="BD732" s="129"/>
      <c r="BE732" s="129"/>
      <c r="BF732" s="129"/>
      <c r="BG732" s="129"/>
      <c r="BH732" s="129"/>
      <c r="BI732" s="129"/>
      <c r="BJ732" s="129"/>
      <c r="BK732" s="129"/>
      <c r="BL732" s="129"/>
      <c r="BM732" s="197">
        <v>1</v>
      </c>
    </row>
    <row r="733" spans="1:65" x14ac:dyDescent="0.25">
      <c r="A733" s="121" t="s">
        <v>50</v>
      </c>
      <c r="B733" s="121" t="s">
        <v>25</v>
      </c>
      <c r="C733" s="172" t="s">
        <v>213</v>
      </c>
      <c r="D733" s="161">
        <v>10</v>
      </c>
      <c r="E733" s="29" t="str">
        <f>INDEX(ra_ScName,MATCH(D733,ra_ScNumber,0))</f>
        <v>Disclosed nominal return (incl actual asset revaluations)</v>
      </c>
      <c r="F733" s="122">
        <v>0</v>
      </c>
      <c r="G733" s="122">
        <v>0</v>
      </c>
      <c r="H733" s="122">
        <v>0</v>
      </c>
      <c r="I733" s="122">
        <v>0</v>
      </c>
      <c r="J733" s="122">
        <v>0</v>
      </c>
      <c r="K733" s="122">
        <v>0</v>
      </c>
      <c r="L733" s="122">
        <v>0</v>
      </c>
      <c r="M733" s="122">
        <v>0</v>
      </c>
      <c r="N733" s="122">
        <v>0</v>
      </c>
      <c r="O733" s="122">
        <v>0</v>
      </c>
      <c r="P733" s="122">
        <v>0</v>
      </c>
      <c r="Q733" s="122">
        <v>2.4726619129716041</v>
      </c>
      <c r="R733" s="122">
        <v>0</v>
      </c>
      <c r="S733" s="122">
        <v>8.1401822447002004E-2</v>
      </c>
      <c r="T733" s="122">
        <v>501.45</v>
      </c>
      <c r="U733" s="122">
        <v>0</v>
      </c>
      <c r="V733" s="122">
        <v>0</v>
      </c>
      <c r="W733" s="122">
        <v>0</v>
      </c>
      <c r="X733" s="122">
        <v>0</v>
      </c>
      <c r="Y733" s="122">
        <v>0</v>
      </c>
      <c r="Z733" s="122">
        <v>0</v>
      </c>
      <c r="AA733" s="122">
        <v>0</v>
      </c>
      <c r="AB733" s="122">
        <v>0</v>
      </c>
      <c r="AC733" s="122">
        <v>0</v>
      </c>
      <c r="AD733" s="122">
        <v>0</v>
      </c>
      <c r="AE733" s="122">
        <v>0</v>
      </c>
      <c r="AF733" s="122">
        <v>0</v>
      </c>
      <c r="AG733" s="122">
        <v>0</v>
      </c>
      <c r="AH733" s="122">
        <v>0</v>
      </c>
      <c r="AI733" s="117">
        <f>SUM(F733:AH733)</f>
        <v>504.00406373541858</v>
      </c>
      <c r="AJ733" s="117">
        <f>SUM(F733:U733)</f>
        <v>504.00406373541858</v>
      </c>
      <c r="AK733" s="117">
        <f>SUM(W733:AH733)</f>
        <v>0</v>
      </c>
      <c r="AL733" s="23"/>
      <c r="AM733" s="127" t="b">
        <f>IF(INDEX($AO733:$BM733,0,$F$14)=1,TRUE,FALSE)</f>
        <v>1</v>
      </c>
      <c r="AN733" s="127" t="str">
        <f>IF(AM733,A733&amp;", "&amp;B733,"")</f>
        <v>Term credit spread differential allowance, 2012/13</v>
      </c>
      <c r="AO733" s="129"/>
      <c r="AP733" s="129"/>
      <c r="AQ733" s="129"/>
      <c r="AR733" s="129"/>
      <c r="AS733" s="129"/>
      <c r="AT733" s="129"/>
      <c r="AU733" s="129"/>
      <c r="AV733" s="129"/>
      <c r="AW733" s="129">
        <v>1</v>
      </c>
      <c r="AX733" s="197">
        <v>1</v>
      </c>
      <c r="AY733" s="197">
        <v>1</v>
      </c>
      <c r="AZ733" s="197">
        <v>1</v>
      </c>
      <c r="BA733" s="197"/>
      <c r="BB733" s="129"/>
      <c r="BC733" s="129"/>
      <c r="BD733" s="129"/>
      <c r="BE733" s="129"/>
      <c r="BF733" s="129"/>
      <c r="BG733" s="129"/>
      <c r="BH733" s="129"/>
      <c r="BI733" s="129"/>
      <c r="BJ733" s="129"/>
      <c r="BK733" s="129"/>
      <c r="BL733" s="129"/>
      <c r="BM733" s="197">
        <v>1</v>
      </c>
    </row>
    <row r="734" spans="1:65" x14ac:dyDescent="0.25">
      <c r="A734" s="121" t="s">
        <v>50</v>
      </c>
      <c r="B734" s="121" t="s">
        <v>26</v>
      </c>
      <c r="C734" s="172" t="s">
        <v>213</v>
      </c>
      <c r="D734" s="161">
        <v>10</v>
      </c>
      <c r="E734" s="29" t="str">
        <f>INDEX(ra_ScName,MATCH(D734,ra_ScNumber,0))</f>
        <v>Disclosed nominal return (incl actual asset revaluations)</v>
      </c>
      <c r="F734" s="122">
        <v>0</v>
      </c>
      <c r="G734" s="122">
        <v>0</v>
      </c>
      <c r="H734" s="122">
        <v>0</v>
      </c>
      <c r="I734" s="122">
        <v>0</v>
      </c>
      <c r="J734" s="122">
        <v>0</v>
      </c>
      <c r="K734" s="122">
        <v>0</v>
      </c>
      <c r="L734" s="122">
        <v>0</v>
      </c>
      <c r="M734" s="122">
        <v>0</v>
      </c>
      <c r="N734" s="122">
        <v>0</v>
      </c>
      <c r="O734" s="122">
        <v>0</v>
      </c>
      <c r="P734" s="122">
        <v>0</v>
      </c>
      <c r="Q734" s="122">
        <v>1.9487099708037641</v>
      </c>
      <c r="R734" s="122">
        <v>0</v>
      </c>
      <c r="S734" s="122">
        <v>0.46207651139021039</v>
      </c>
      <c r="T734" s="122">
        <v>518.32958466109892</v>
      </c>
      <c r="U734" s="122">
        <v>563.41004268234099</v>
      </c>
      <c r="V734" s="122">
        <v>0</v>
      </c>
      <c r="W734" s="122">
        <v>0</v>
      </c>
      <c r="X734" s="122">
        <v>0</v>
      </c>
      <c r="Y734" s="122">
        <v>0</v>
      </c>
      <c r="Z734" s="122">
        <v>0</v>
      </c>
      <c r="AA734" s="122">
        <v>0</v>
      </c>
      <c r="AB734" s="122">
        <v>0</v>
      </c>
      <c r="AC734" s="122">
        <v>0</v>
      </c>
      <c r="AD734" s="122">
        <v>0</v>
      </c>
      <c r="AE734" s="122">
        <v>0</v>
      </c>
      <c r="AF734" s="122">
        <v>0</v>
      </c>
      <c r="AG734" s="122">
        <v>0</v>
      </c>
      <c r="AH734" s="122">
        <v>0</v>
      </c>
      <c r="AI734" s="117">
        <f>SUM(F734:AH734)</f>
        <v>1084.1504138256339</v>
      </c>
      <c r="AJ734" s="117">
        <f>SUM(F734:U734)</f>
        <v>1084.1504138256339</v>
      </c>
      <c r="AK734" s="117">
        <f>SUM(W734:AH734)</f>
        <v>0</v>
      </c>
      <c r="AL734" s="23"/>
      <c r="AM734" s="127" t="b">
        <f>IF(INDEX($AO734:$BM734,0,$F$14)=1,TRUE,FALSE)</f>
        <v>1</v>
      </c>
      <c r="AN734" s="127" t="str">
        <f>IF(AM734,A734&amp;", "&amp;B734,"")</f>
        <v>Term credit spread differential allowance, 2013/14</v>
      </c>
      <c r="AO734" s="129"/>
      <c r="AP734" s="129"/>
      <c r="AQ734" s="129"/>
      <c r="AR734" s="129"/>
      <c r="AS734" s="129"/>
      <c r="AT734" s="129"/>
      <c r="AU734" s="129"/>
      <c r="AV734" s="129"/>
      <c r="AW734" s="129">
        <v>1</v>
      </c>
      <c r="AX734" s="197">
        <v>1</v>
      </c>
      <c r="AY734" s="197">
        <v>1</v>
      </c>
      <c r="AZ734" s="197">
        <v>1</v>
      </c>
      <c r="BA734" s="197"/>
      <c r="BB734" s="129"/>
      <c r="BC734" s="129"/>
      <c r="BD734" s="129"/>
      <c r="BE734" s="129"/>
      <c r="BF734" s="129"/>
      <c r="BG734" s="129"/>
      <c r="BH734" s="129"/>
      <c r="BI734" s="129"/>
      <c r="BJ734" s="129"/>
      <c r="BK734" s="129"/>
      <c r="BL734" s="129"/>
      <c r="BM734" s="197">
        <v>1</v>
      </c>
    </row>
    <row r="735" spans="1:65" x14ac:dyDescent="0.25">
      <c r="A735" s="121" t="s">
        <v>50</v>
      </c>
      <c r="B735" s="121" t="s">
        <v>27</v>
      </c>
      <c r="C735" s="172" t="s">
        <v>213</v>
      </c>
      <c r="D735" s="161">
        <v>10</v>
      </c>
      <c r="E735" s="29" t="str">
        <f>INDEX(ra_ScName,MATCH(D735,ra_ScNumber,0))</f>
        <v>Disclosed nominal return (incl actual asset revaluations)</v>
      </c>
      <c r="F735" s="122">
        <v>0</v>
      </c>
      <c r="G735" s="122">
        <v>0</v>
      </c>
      <c r="H735" s="122">
        <v>0</v>
      </c>
      <c r="I735" s="122">
        <v>0</v>
      </c>
      <c r="J735" s="122">
        <v>0</v>
      </c>
      <c r="K735" s="122">
        <v>0</v>
      </c>
      <c r="L735" s="122">
        <v>0</v>
      </c>
      <c r="M735" s="122">
        <v>0</v>
      </c>
      <c r="N735" s="122">
        <v>0</v>
      </c>
      <c r="O735" s="122">
        <v>0</v>
      </c>
      <c r="P735" s="122">
        <v>0</v>
      </c>
      <c r="Q735" s="122">
        <v>2.1210690632363112</v>
      </c>
      <c r="R735" s="122">
        <v>0</v>
      </c>
      <c r="S735" s="122">
        <v>0</v>
      </c>
      <c r="T735" s="122">
        <v>519.96049995196415</v>
      </c>
      <c r="U735" s="122">
        <v>559.05748181389743</v>
      </c>
      <c r="V735" s="122">
        <v>0</v>
      </c>
      <c r="W735" s="122">
        <v>0</v>
      </c>
      <c r="X735" s="122">
        <v>0</v>
      </c>
      <c r="Y735" s="122">
        <v>0</v>
      </c>
      <c r="Z735" s="122">
        <v>0</v>
      </c>
      <c r="AA735" s="122">
        <v>0</v>
      </c>
      <c r="AB735" s="122">
        <v>0</v>
      </c>
      <c r="AC735" s="122">
        <v>0</v>
      </c>
      <c r="AD735" s="122">
        <v>0</v>
      </c>
      <c r="AE735" s="122">
        <v>0</v>
      </c>
      <c r="AF735" s="122">
        <v>0</v>
      </c>
      <c r="AG735" s="122">
        <v>0</v>
      </c>
      <c r="AH735" s="122">
        <v>0</v>
      </c>
      <c r="AI735" s="117">
        <f>SUM(F735:AH735)</f>
        <v>1081.1390508290979</v>
      </c>
      <c r="AJ735" s="117">
        <f>SUM(F735:U735)</f>
        <v>1081.1390508290979</v>
      </c>
      <c r="AK735" s="117">
        <f>SUM(W735:AH735)</f>
        <v>0</v>
      </c>
      <c r="AL735" s="23"/>
      <c r="AM735" s="127" t="b">
        <f>IF(INDEX($AO735:$BM735,0,$F$14)=1,TRUE,FALSE)</f>
        <v>1</v>
      </c>
      <c r="AN735" s="127" t="str">
        <f>IF(AM735,A735&amp;", "&amp;B735,"")</f>
        <v>Term credit spread differential allowance, 2014/15</v>
      </c>
      <c r="AO735" s="129"/>
      <c r="AP735" s="129"/>
      <c r="AQ735" s="129"/>
      <c r="AR735" s="129"/>
      <c r="AS735" s="129"/>
      <c r="AT735" s="129"/>
      <c r="AU735" s="129"/>
      <c r="AV735" s="129"/>
      <c r="AW735" s="129">
        <v>1</v>
      </c>
      <c r="AX735" s="197">
        <v>1</v>
      </c>
      <c r="AY735" s="197">
        <v>1</v>
      </c>
      <c r="AZ735" s="197">
        <v>1</v>
      </c>
      <c r="BA735" s="197"/>
      <c r="BB735" s="129"/>
      <c r="BC735" s="129"/>
      <c r="BD735" s="129"/>
      <c r="BE735" s="129"/>
      <c r="BF735" s="129"/>
      <c r="BG735" s="129"/>
      <c r="BH735" s="129"/>
      <c r="BI735" s="129"/>
      <c r="BJ735" s="129"/>
      <c r="BK735" s="129"/>
      <c r="BL735" s="129"/>
      <c r="BM735" s="197">
        <v>1</v>
      </c>
    </row>
    <row r="736" spans="1:65" x14ac:dyDescent="0.25">
      <c r="A736" s="121"/>
      <c r="B736" s="121"/>
      <c r="C736" s="172"/>
      <c r="D736" s="25"/>
      <c r="E736" s="25"/>
      <c r="F736" s="54"/>
      <c r="G736" s="54"/>
      <c r="H736" s="54"/>
      <c r="I736" s="54"/>
      <c r="J736" s="54"/>
      <c r="K736" s="54"/>
      <c r="L736" s="54"/>
      <c r="M736" s="54"/>
      <c r="N736" s="54"/>
      <c r="O736" s="54"/>
      <c r="P736" s="54"/>
      <c r="Q736" s="54"/>
      <c r="R736" s="54"/>
      <c r="S736" s="54"/>
      <c r="T736" s="54"/>
      <c r="U736" s="54"/>
      <c r="V736" s="54"/>
      <c r="W736" s="54"/>
      <c r="X736" s="54"/>
      <c r="Y736" s="54"/>
      <c r="Z736" s="54"/>
      <c r="AA736" s="54"/>
      <c r="AB736" s="54"/>
      <c r="AC736" s="54"/>
      <c r="AD736" s="54"/>
      <c r="AE736" s="54"/>
      <c r="AF736" s="54"/>
      <c r="AG736" s="54"/>
      <c r="AH736" s="54"/>
      <c r="AI736" s="54"/>
      <c r="AJ736" s="54"/>
      <c r="AK736" s="54"/>
      <c r="AL736" s="23"/>
      <c r="AM736" s="127"/>
      <c r="AN736" s="127"/>
      <c r="AO736" s="129"/>
      <c r="AP736" s="129"/>
      <c r="AQ736" s="129"/>
      <c r="AR736" s="129"/>
      <c r="AS736" s="129"/>
      <c r="AT736" s="129"/>
      <c r="AU736" s="129"/>
      <c r="AV736" s="129"/>
      <c r="AW736" s="129"/>
      <c r="AX736" s="197"/>
      <c r="AY736" s="197"/>
      <c r="AZ736" s="197"/>
      <c r="BA736" s="197"/>
      <c r="BB736" s="129"/>
      <c r="BC736" s="129"/>
      <c r="BD736" s="129"/>
      <c r="BE736" s="129"/>
      <c r="BF736" s="129"/>
      <c r="BG736" s="129"/>
      <c r="BH736" s="129"/>
      <c r="BI736" s="129"/>
      <c r="BJ736" s="129"/>
      <c r="BK736" s="129"/>
      <c r="BL736" s="129"/>
      <c r="BM736" s="197"/>
    </row>
    <row r="737" spans="1:66" x14ac:dyDescent="0.25">
      <c r="A737" s="121"/>
      <c r="B737" s="121"/>
      <c r="C737" s="172"/>
      <c r="D737" s="46"/>
      <c r="E737" s="46"/>
      <c r="F737" s="54"/>
      <c r="G737" s="54"/>
      <c r="H737" s="54"/>
      <c r="I737" s="54"/>
      <c r="J737" s="54"/>
      <c r="K737" s="54"/>
      <c r="L737" s="54"/>
      <c r="M737" s="54"/>
      <c r="N737" s="54"/>
      <c r="O737" s="54"/>
      <c r="P737" s="54"/>
      <c r="Q737" s="54"/>
      <c r="R737" s="54"/>
      <c r="S737" s="54"/>
      <c r="T737" s="54"/>
      <c r="U737" s="54"/>
      <c r="V737" s="54"/>
      <c r="W737" s="55"/>
      <c r="X737" s="55"/>
      <c r="Y737" s="55"/>
      <c r="Z737" s="55"/>
      <c r="AA737" s="55"/>
      <c r="AB737" s="55"/>
      <c r="AC737" s="55"/>
      <c r="AD737" s="55"/>
      <c r="AE737" s="55"/>
      <c r="AF737" s="55"/>
      <c r="AG737" s="55"/>
      <c r="AH737" s="55"/>
      <c r="AI737" s="54"/>
      <c r="AJ737" s="54"/>
      <c r="AK737" s="54"/>
      <c r="AL737" s="23"/>
      <c r="AM737" s="127"/>
      <c r="AN737" s="127"/>
      <c r="AO737" s="129"/>
      <c r="AP737" s="129"/>
      <c r="AQ737" s="129"/>
      <c r="AR737" s="129"/>
      <c r="AS737" s="129"/>
      <c r="AT737" s="129"/>
      <c r="AU737" s="129"/>
      <c r="AV737" s="129"/>
      <c r="AW737" s="129"/>
      <c r="AX737" s="197"/>
      <c r="AY737" s="197"/>
      <c r="AZ737" s="197"/>
      <c r="BA737" s="197"/>
      <c r="BB737" s="129"/>
      <c r="BC737" s="129"/>
      <c r="BD737" s="129"/>
      <c r="BE737" s="129"/>
      <c r="BF737" s="129"/>
      <c r="BG737" s="129"/>
      <c r="BH737" s="129"/>
      <c r="BI737" s="129"/>
      <c r="BJ737" s="129"/>
      <c r="BK737" s="129"/>
      <c r="BL737" s="129"/>
      <c r="BM737" s="197"/>
    </row>
    <row r="738" spans="1:66" x14ac:dyDescent="0.25">
      <c r="A738" s="121" t="s">
        <v>126</v>
      </c>
      <c r="B738" s="121" t="s">
        <v>22</v>
      </c>
      <c r="C738" s="172" t="s">
        <v>397</v>
      </c>
      <c r="D738" s="161">
        <v>1</v>
      </c>
      <c r="E738" s="29" t="str">
        <f t="shared" ref="E738:E743" si="210">INDEX(ra_ScName,MATCH(D738,ra_ScNumber,0))</f>
        <v>Expected nominal return (incl forecast asset revaluations)</v>
      </c>
      <c r="F738" s="122">
        <v>7644.0000000000009</v>
      </c>
      <c r="G738" s="122">
        <v>7785.9999999999991</v>
      </c>
      <c r="H738" s="122">
        <v>2023</v>
      </c>
      <c r="I738" s="122">
        <v>4225</v>
      </c>
      <c r="J738" s="122">
        <v>5894</v>
      </c>
      <c r="K738" s="122">
        <v>2382</v>
      </c>
      <c r="L738" s="122">
        <v>3449</v>
      </c>
      <c r="M738" s="122">
        <v>1084.6002031156527</v>
      </c>
      <c r="N738" s="122">
        <v>6387.6247468541751</v>
      </c>
      <c r="O738" s="122">
        <v>6303</v>
      </c>
      <c r="P738" s="122">
        <v>52422</v>
      </c>
      <c r="Q738" s="122">
        <v>5635.3221811466228</v>
      </c>
      <c r="R738" s="122">
        <v>5234</v>
      </c>
      <c r="S738" s="122">
        <v>16649.2682399277</v>
      </c>
      <c r="T738" s="122">
        <v>76573.310789910291</v>
      </c>
      <c r="U738" s="122">
        <v>25343.756747688079</v>
      </c>
      <c r="V738" s="122">
        <v>10172</v>
      </c>
      <c r="W738" s="54"/>
      <c r="X738" s="54"/>
      <c r="Y738" s="54"/>
      <c r="Z738" s="54"/>
      <c r="AA738" s="54"/>
      <c r="AB738" s="54"/>
      <c r="AC738" s="54"/>
      <c r="AD738" s="54"/>
      <c r="AE738" s="54"/>
      <c r="AF738" s="54"/>
      <c r="AG738" s="54"/>
      <c r="AH738" s="54"/>
      <c r="AI738" s="117">
        <f t="shared" ref="AI738:AI743" si="211">SUM(F738:AH738)</f>
        <v>239207.8829086425</v>
      </c>
      <c r="AJ738" s="117">
        <f t="shared" ref="AJ738:AJ743" si="212">SUM(F738:U738)</f>
        <v>229035.8829086425</v>
      </c>
      <c r="AK738" s="117">
        <f t="shared" ref="AK738:AK743" si="213">SUM(W738:AH738)</f>
        <v>0</v>
      </c>
      <c r="AL738" s="23"/>
      <c r="AM738" s="127" t="b">
        <f t="shared" ref="AM738:AM743" si="214">IF(INDEX($AO738:$BM738,0,$F$14)=1,TRUE,FALSE)</f>
        <v>0</v>
      </c>
      <c r="AN738" s="127" t="str">
        <f t="shared" ref="AN738:AN743" si="215">IF(AM738,A738&amp;", "&amp;B738,"")</f>
        <v/>
      </c>
      <c r="AO738" s="129">
        <v>1</v>
      </c>
      <c r="AP738" s="129">
        <v>1</v>
      </c>
      <c r="AQ738" s="129">
        <v>1</v>
      </c>
      <c r="AR738" s="129"/>
      <c r="AS738" s="129"/>
      <c r="AT738" s="129"/>
      <c r="AU738" s="129"/>
      <c r="AV738" s="129"/>
      <c r="AW738" s="129"/>
      <c r="AX738" s="197"/>
      <c r="AY738" s="197"/>
      <c r="AZ738" s="197"/>
      <c r="BA738" s="197">
        <v>1</v>
      </c>
      <c r="BB738" s="129">
        <v>1</v>
      </c>
      <c r="BC738" s="129">
        <v>1</v>
      </c>
      <c r="BD738" s="129">
        <v>1</v>
      </c>
      <c r="BE738" s="129">
        <v>1</v>
      </c>
      <c r="BF738" s="129">
        <v>1</v>
      </c>
      <c r="BG738" s="129">
        <v>1</v>
      </c>
      <c r="BH738" s="129">
        <v>1</v>
      </c>
      <c r="BI738" s="129">
        <v>1</v>
      </c>
      <c r="BJ738" s="129">
        <v>1</v>
      </c>
      <c r="BK738" s="129">
        <v>1</v>
      </c>
      <c r="BL738" s="129"/>
      <c r="BM738" s="197"/>
    </row>
    <row r="739" spans="1:66" x14ac:dyDescent="0.25">
      <c r="A739" s="121" t="s">
        <v>126</v>
      </c>
      <c r="B739" s="121" t="s">
        <v>23</v>
      </c>
      <c r="C739" s="172" t="s">
        <v>397</v>
      </c>
      <c r="D739" s="161">
        <v>1</v>
      </c>
      <c r="E739" s="29" t="str">
        <f t="shared" si="210"/>
        <v>Expected nominal return (incl forecast asset revaluations)</v>
      </c>
      <c r="F739" s="122">
        <v>7862.4242197473304</v>
      </c>
      <c r="G739" s="122">
        <v>8056.6066268311979</v>
      </c>
      <c r="H739" s="122">
        <v>2079.6496222222222</v>
      </c>
      <c r="I739" s="122">
        <v>4327.8284763987604</v>
      </c>
      <c r="J739" s="122">
        <v>6211.7111111111108</v>
      </c>
      <c r="K739" s="122">
        <v>2447.3343223721358</v>
      </c>
      <c r="L739" s="122">
        <v>3504.3406306402412</v>
      </c>
      <c r="M739" s="122">
        <v>1112.1255364489859</v>
      </c>
      <c r="N739" s="122">
        <v>6505.1283460949162</v>
      </c>
      <c r="O739" s="122">
        <v>6421.0888888888885</v>
      </c>
      <c r="P739" s="122">
        <v>53362.84135982061</v>
      </c>
      <c r="Q739" s="122">
        <v>5778.1709098218116</v>
      </c>
      <c r="R739" s="122">
        <v>5376.2441444145579</v>
      </c>
      <c r="S739" s="122">
        <v>17396.704549075126</v>
      </c>
      <c r="T739" s="122">
        <v>79185.102214642204</v>
      </c>
      <c r="U739" s="122">
        <v>26120.317006203521</v>
      </c>
      <c r="V739" s="122">
        <v>10279.904193024637</v>
      </c>
      <c r="W739" s="54"/>
      <c r="X739" s="54"/>
      <c r="Y739" s="54"/>
      <c r="Z739" s="54"/>
      <c r="AA739" s="54"/>
      <c r="AB739" s="54"/>
      <c r="AC739" s="54"/>
      <c r="AD739" s="54"/>
      <c r="AE739" s="54"/>
      <c r="AF739" s="54"/>
      <c r="AG739" s="54"/>
      <c r="AH739" s="54"/>
      <c r="AI739" s="117">
        <f t="shared" si="211"/>
        <v>246027.52215775827</v>
      </c>
      <c r="AJ739" s="117">
        <f t="shared" si="212"/>
        <v>235747.61796473362</v>
      </c>
      <c r="AK739" s="117">
        <f t="shared" si="213"/>
        <v>0</v>
      </c>
      <c r="AL739" s="23"/>
      <c r="AM739" s="127" t="b">
        <f t="shared" si="214"/>
        <v>0</v>
      </c>
      <c r="AN739" s="127" t="str">
        <f t="shared" si="215"/>
        <v/>
      </c>
      <c r="AO739" s="129">
        <v>1</v>
      </c>
      <c r="AP739" s="129">
        <v>1</v>
      </c>
      <c r="AQ739" s="129">
        <v>1</v>
      </c>
      <c r="AR739" s="129"/>
      <c r="AS739" s="129"/>
      <c r="AT739" s="129"/>
      <c r="AU739" s="129"/>
      <c r="AV739" s="129"/>
      <c r="AW739" s="129"/>
      <c r="AX739" s="197"/>
      <c r="AY739" s="197"/>
      <c r="AZ739" s="197"/>
      <c r="BA739" s="197">
        <v>1</v>
      </c>
      <c r="BB739" s="129">
        <v>1</v>
      </c>
      <c r="BC739" s="129">
        <v>1</v>
      </c>
      <c r="BD739" s="129">
        <v>1</v>
      </c>
      <c r="BE739" s="129">
        <v>1</v>
      </c>
      <c r="BF739" s="129">
        <v>1</v>
      </c>
      <c r="BG739" s="129">
        <v>1</v>
      </c>
      <c r="BH739" s="129">
        <v>1</v>
      </c>
      <c r="BI739" s="129">
        <v>1</v>
      </c>
      <c r="BJ739" s="129">
        <v>1</v>
      </c>
      <c r="BK739" s="129">
        <v>1</v>
      </c>
      <c r="BL739" s="129"/>
      <c r="BM739" s="197"/>
    </row>
    <row r="740" spans="1:66" x14ac:dyDescent="0.25">
      <c r="A740" s="121" t="s">
        <v>126</v>
      </c>
      <c r="B740" s="121" t="s">
        <v>24</v>
      </c>
      <c r="C740" s="172" t="s">
        <v>397</v>
      </c>
      <c r="D740" s="161">
        <v>1</v>
      </c>
      <c r="E740" s="29" t="str">
        <f t="shared" si="210"/>
        <v>Expected nominal return (incl forecast asset revaluations)</v>
      </c>
      <c r="F740" s="122">
        <v>8394.1798027641817</v>
      </c>
      <c r="G740" s="122">
        <v>8488.0039649345908</v>
      </c>
      <c r="H740" s="122">
        <v>2210.097812463935</v>
      </c>
      <c r="I740" s="122">
        <v>4439.2621998089708</v>
      </c>
      <c r="J740" s="122">
        <v>6494.3314387027367</v>
      </c>
      <c r="K740" s="122">
        <v>2537.1216507415998</v>
      </c>
      <c r="L740" s="122">
        <v>3634.1991068649982</v>
      </c>
      <c r="M740" s="122">
        <v>1248.9970096816514</v>
      </c>
      <c r="N740" s="122">
        <v>6698.2249192027957</v>
      </c>
      <c r="O740" s="122">
        <v>6634.8182106720014</v>
      </c>
      <c r="P740" s="122">
        <v>54496.466856680447</v>
      </c>
      <c r="Q740" s="122">
        <v>5959.9759252073563</v>
      </c>
      <c r="R740" s="122">
        <v>5702.3758449601337</v>
      </c>
      <c r="S740" s="122">
        <v>18187.056443253088</v>
      </c>
      <c r="T740" s="122">
        <v>81514.34662186417</v>
      </c>
      <c r="U740" s="122">
        <v>26747.827851245438</v>
      </c>
      <c r="V740" s="122">
        <v>10451.739710987546</v>
      </c>
      <c r="W740" s="54"/>
      <c r="X740" s="54"/>
      <c r="Y740" s="54"/>
      <c r="Z740" s="54"/>
      <c r="AA740" s="54"/>
      <c r="AB740" s="54"/>
      <c r="AC740" s="54"/>
      <c r="AD740" s="54"/>
      <c r="AE740" s="54"/>
      <c r="AF740" s="54"/>
      <c r="AG740" s="54"/>
      <c r="AH740" s="54"/>
      <c r="AI740" s="117">
        <f t="shared" si="211"/>
        <v>253839.02537003564</v>
      </c>
      <c r="AJ740" s="117">
        <f t="shared" si="212"/>
        <v>243387.2856590481</v>
      </c>
      <c r="AK740" s="117">
        <f t="shared" si="213"/>
        <v>0</v>
      </c>
      <c r="AL740" s="23"/>
      <c r="AM740" s="127" t="b">
        <f t="shared" si="214"/>
        <v>0</v>
      </c>
      <c r="AN740" s="127" t="str">
        <f t="shared" si="215"/>
        <v/>
      </c>
      <c r="AO740" s="129">
        <v>1</v>
      </c>
      <c r="AP740" s="129">
        <v>1</v>
      </c>
      <c r="AQ740" s="129">
        <v>1</v>
      </c>
      <c r="AR740" s="129"/>
      <c r="AS740" s="129"/>
      <c r="AT740" s="129"/>
      <c r="AU740" s="129"/>
      <c r="AV740" s="129"/>
      <c r="AW740" s="129"/>
      <c r="AX740" s="197"/>
      <c r="AY740" s="197"/>
      <c r="AZ740" s="197"/>
      <c r="BA740" s="197">
        <v>1</v>
      </c>
      <c r="BB740" s="129">
        <v>1</v>
      </c>
      <c r="BC740" s="129">
        <v>1</v>
      </c>
      <c r="BD740" s="129">
        <v>1</v>
      </c>
      <c r="BE740" s="129">
        <v>1</v>
      </c>
      <c r="BF740" s="129">
        <v>1</v>
      </c>
      <c r="BG740" s="129">
        <v>1</v>
      </c>
      <c r="BH740" s="129">
        <v>1</v>
      </c>
      <c r="BI740" s="129">
        <v>1</v>
      </c>
      <c r="BJ740" s="129">
        <v>1</v>
      </c>
      <c r="BK740" s="129">
        <v>1</v>
      </c>
      <c r="BL740" s="129"/>
      <c r="BM740" s="197"/>
    </row>
    <row r="741" spans="1:66" x14ac:dyDescent="0.25">
      <c r="A741" s="121" t="s">
        <v>126</v>
      </c>
      <c r="B741" s="121" t="s">
        <v>25</v>
      </c>
      <c r="C741" s="172" t="s">
        <v>397</v>
      </c>
      <c r="D741" s="161">
        <v>1</v>
      </c>
      <c r="E741" s="29" t="str">
        <f t="shared" si="210"/>
        <v>Expected nominal return (incl forecast asset revaluations)</v>
      </c>
      <c r="F741" s="122">
        <v>8882.7265213842365</v>
      </c>
      <c r="G741" s="122">
        <v>8930.2848816561855</v>
      </c>
      <c r="H741" s="122">
        <v>2277.0521729064726</v>
      </c>
      <c r="I741" s="122">
        <v>4558.6651301825405</v>
      </c>
      <c r="J741" s="122">
        <v>6856.4565080352204</v>
      </c>
      <c r="K741" s="122">
        <v>2616.3126793429783</v>
      </c>
      <c r="L741" s="122">
        <v>3767.2811856435414</v>
      </c>
      <c r="M741" s="122">
        <v>1389.958112715708</v>
      </c>
      <c r="N741" s="122">
        <v>6867.6782321520695</v>
      </c>
      <c r="O741" s="122">
        <v>6854.2745578888171</v>
      </c>
      <c r="P741" s="122">
        <v>55616.07015667059</v>
      </c>
      <c r="Q741" s="122">
        <v>6131.5387124000808</v>
      </c>
      <c r="R741" s="122">
        <v>6067.9369134026892</v>
      </c>
      <c r="S741" s="122">
        <v>19177.370194907067</v>
      </c>
      <c r="T741" s="122">
        <v>84070.962390788249</v>
      </c>
      <c r="U741" s="122">
        <v>27447.923143557724</v>
      </c>
      <c r="V741" s="122">
        <v>10615.718579417007</v>
      </c>
      <c r="W741" s="54"/>
      <c r="X741" s="54"/>
      <c r="Y741" s="54"/>
      <c r="Z741" s="54"/>
      <c r="AA741" s="54"/>
      <c r="AB741" s="54"/>
      <c r="AC741" s="54"/>
      <c r="AD741" s="54"/>
      <c r="AE741" s="54"/>
      <c r="AF741" s="54"/>
      <c r="AG741" s="54"/>
      <c r="AH741" s="54"/>
      <c r="AI741" s="117">
        <f t="shared" si="211"/>
        <v>262128.21007305119</v>
      </c>
      <c r="AJ741" s="117">
        <f t="shared" si="212"/>
        <v>251512.49149363418</v>
      </c>
      <c r="AK741" s="117">
        <f t="shared" si="213"/>
        <v>0</v>
      </c>
      <c r="AL741" s="23"/>
      <c r="AM741" s="127" t="b">
        <f t="shared" si="214"/>
        <v>0</v>
      </c>
      <c r="AN741" s="127" t="str">
        <f t="shared" si="215"/>
        <v/>
      </c>
      <c r="AO741" s="129">
        <v>1</v>
      </c>
      <c r="AP741" s="129">
        <v>1</v>
      </c>
      <c r="AQ741" s="129">
        <v>1</v>
      </c>
      <c r="AR741" s="129"/>
      <c r="AS741" s="129"/>
      <c r="AT741" s="129"/>
      <c r="AU741" s="129"/>
      <c r="AV741" s="129"/>
      <c r="AW741" s="129"/>
      <c r="AX741" s="197"/>
      <c r="AY741" s="197"/>
      <c r="AZ741" s="197"/>
      <c r="BA741" s="197">
        <v>1</v>
      </c>
      <c r="BB741" s="129">
        <v>1</v>
      </c>
      <c r="BC741" s="129">
        <v>1</v>
      </c>
      <c r="BD741" s="129">
        <v>1</v>
      </c>
      <c r="BE741" s="129">
        <v>1</v>
      </c>
      <c r="BF741" s="129">
        <v>1</v>
      </c>
      <c r="BG741" s="129">
        <v>1</v>
      </c>
      <c r="BH741" s="129">
        <v>1</v>
      </c>
      <c r="BI741" s="129">
        <v>1</v>
      </c>
      <c r="BJ741" s="129">
        <v>1</v>
      </c>
      <c r="BK741" s="129">
        <v>1</v>
      </c>
      <c r="BL741" s="129"/>
      <c r="BM741" s="197"/>
    </row>
    <row r="742" spans="1:66" x14ac:dyDescent="0.25">
      <c r="A742" s="121" t="s">
        <v>126</v>
      </c>
      <c r="B742" s="121" t="s">
        <v>26</v>
      </c>
      <c r="C742" s="172" t="s">
        <v>397</v>
      </c>
      <c r="D742" s="161">
        <v>1</v>
      </c>
      <c r="E742" s="29" t="str">
        <f t="shared" si="210"/>
        <v>Expected nominal return (incl forecast asset revaluations)</v>
      </c>
      <c r="F742" s="122">
        <v>9530.2232734395438</v>
      </c>
      <c r="G742" s="122">
        <v>9286.9234123321821</v>
      </c>
      <c r="H742" s="122">
        <v>2361.7578881248328</v>
      </c>
      <c r="I742" s="122">
        <v>4677.6733344705153</v>
      </c>
      <c r="J742" s="122">
        <v>7074.9155360806681</v>
      </c>
      <c r="K742" s="122">
        <v>2693.9672814516757</v>
      </c>
      <c r="L742" s="122">
        <v>3890.7829268865894</v>
      </c>
      <c r="M742" s="122">
        <v>1432.3088641505835</v>
      </c>
      <c r="N742" s="122">
        <v>7009.6956386702168</v>
      </c>
      <c r="O742" s="122">
        <v>7084.6339260476898</v>
      </c>
      <c r="P742" s="122">
        <v>56749.86114748862</v>
      </c>
      <c r="Q742" s="122">
        <v>6312.7707893322658</v>
      </c>
      <c r="R742" s="122">
        <v>6412.3089410729872</v>
      </c>
      <c r="S742" s="122">
        <v>20101.987367379355</v>
      </c>
      <c r="T742" s="122">
        <v>86869.59038597632</v>
      </c>
      <c r="U742" s="122">
        <v>28215.901625263115</v>
      </c>
      <c r="V742" s="122">
        <v>10804.391720717695</v>
      </c>
      <c r="W742" s="54"/>
      <c r="X742" s="54"/>
      <c r="Y742" s="54"/>
      <c r="Z742" s="54"/>
      <c r="AA742" s="54"/>
      <c r="AB742" s="54"/>
      <c r="AC742" s="54"/>
      <c r="AD742" s="54"/>
      <c r="AE742" s="54"/>
      <c r="AF742" s="54"/>
      <c r="AG742" s="54"/>
      <c r="AH742" s="54"/>
      <c r="AI742" s="117">
        <f t="shared" si="211"/>
        <v>270509.69405888487</v>
      </c>
      <c r="AJ742" s="117">
        <f t="shared" si="212"/>
        <v>259705.30233816718</v>
      </c>
      <c r="AK742" s="117">
        <f t="shared" si="213"/>
        <v>0</v>
      </c>
      <c r="AL742" s="23"/>
      <c r="AM742" s="127" t="b">
        <f t="shared" si="214"/>
        <v>0</v>
      </c>
      <c r="AN742" s="127" t="str">
        <f t="shared" si="215"/>
        <v/>
      </c>
      <c r="AO742" s="129">
        <v>1</v>
      </c>
      <c r="AP742" s="129">
        <v>1</v>
      </c>
      <c r="AQ742" s="129">
        <v>1</v>
      </c>
      <c r="AR742" s="129"/>
      <c r="AS742" s="129"/>
      <c r="AT742" s="129"/>
      <c r="AU742" s="129"/>
      <c r="AV742" s="129"/>
      <c r="AW742" s="129"/>
      <c r="AX742" s="197"/>
      <c r="AY742" s="197"/>
      <c r="AZ742" s="197"/>
      <c r="BA742" s="197">
        <v>1</v>
      </c>
      <c r="BB742" s="129">
        <v>1</v>
      </c>
      <c r="BC742" s="129">
        <v>1</v>
      </c>
      <c r="BD742" s="129">
        <v>1</v>
      </c>
      <c r="BE742" s="129">
        <v>1</v>
      </c>
      <c r="BF742" s="129">
        <v>1</v>
      </c>
      <c r="BG742" s="129">
        <v>1</v>
      </c>
      <c r="BH742" s="129">
        <v>1</v>
      </c>
      <c r="BI742" s="129">
        <v>1</v>
      </c>
      <c r="BJ742" s="129">
        <v>1</v>
      </c>
      <c r="BK742" s="129">
        <v>1</v>
      </c>
      <c r="BL742" s="129"/>
      <c r="BM742" s="197"/>
    </row>
    <row r="743" spans="1:66" x14ac:dyDescent="0.25">
      <c r="A743" s="121" t="s">
        <v>126</v>
      </c>
      <c r="B743" s="121" t="s">
        <v>27</v>
      </c>
      <c r="C743" s="172" t="s">
        <v>397</v>
      </c>
      <c r="D743" s="161">
        <v>1</v>
      </c>
      <c r="E743" s="29" t="str">
        <f t="shared" si="210"/>
        <v>Expected nominal return (incl forecast asset revaluations)</v>
      </c>
      <c r="F743" s="122">
        <v>9973.674149043025</v>
      </c>
      <c r="G743" s="122">
        <v>9729.408248809912</v>
      </c>
      <c r="H743" s="122">
        <v>2433.0216933029615</v>
      </c>
      <c r="I743" s="122">
        <v>4797.3041282631038</v>
      </c>
      <c r="J743" s="122">
        <v>7327.3104186092423</v>
      </c>
      <c r="K743" s="122">
        <v>2763.6410854061105</v>
      </c>
      <c r="L743" s="122">
        <v>3986.0568909066128</v>
      </c>
      <c r="M743" s="122">
        <v>1466.941049424265</v>
      </c>
      <c r="N743" s="122">
        <v>7134.8271425651164</v>
      </c>
      <c r="O743" s="122">
        <v>7313.7563714231874</v>
      </c>
      <c r="P743" s="122">
        <v>57976.395598369389</v>
      </c>
      <c r="Q743" s="122">
        <v>6506.6133779145239</v>
      </c>
      <c r="R743" s="122">
        <v>6745.0151246236719</v>
      </c>
      <c r="S743" s="122">
        <v>21081.73198019866</v>
      </c>
      <c r="T743" s="122">
        <v>89863.802993584686</v>
      </c>
      <c r="U743" s="122">
        <v>28997.627811837228</v>
      </c>
      <c r="V743" s="122">
        <v>10922.456052530033</v>
      </c>
      <c r="W743" s="54"/>
      <c r="X743" s="54"/>
      <c r="Y743" s="54"/>
      <c r="Z743" s="54"/>
      <c r="AA743" s="54"/>
      <c r="AB743" s="54"/>
      <c r="AC743" s="54"/>
      <c r="AD743" s="54"/>
      <c r="AE743" s="54"/>
      <c r="AF743" s="54"/>
      <c r="AG743" s="54"/>
      <c r="AH743" s="54"/>
      <c r="AI743" s="117">
        <f t="shared" si="211"/>
        <v>279019.58411681175</v>
      </c>
      <c r="AJ743" s="117">
        <f t="shared" si="212"/>
        <v>268097.12806428171</v>
      </c>
      <c r="AK743" s="117">
        <f t="shared" si="213"/>
        <v>0</v>
      </c>
      <c r="AL743" s="23"/>
      <c r="AM743" s="127" t="b">
        <f t="shared" si="214"/>
        <v>0</v>
      </c>
      <c r="AN743" s="127" t="str">
        <f t="shared" si="215"/>
        <v/>
      </c>
      <c r="AO743" s="129">
        <v>1</v>
      </c>
      <c r="AP743" s="129">
        <v>1</v>
      </c>
      <c r="AQ743" s="129">
        <v>1</v>
      </c>
      <c r="AR743" s="129"/>
      <c r="AS743" s="129"/>
      <c r="AT743" s="129"/>
      <c r="AU743" s="129"/>
      <c r="AV743" s="129"/>
      <c r="AW743" s="129"/>
      <c r="AX743" s="197"/>
      <c r="AY743" s="197"/>
      <c r="AZ743" s="197"/>
      <c r="BA743" s="197">
        <v>1</v>
      </c>
      <c r="BB743" s="129">
        <v>1</v>
      </c>
      <c r="BC743" s="129">
        <v>1</v>
      </c>
      <c r="BD743" s="129">
        <v>1</v>
      </c>
      <c r="BE743" s="129">
        <v>1</v>
      </c>
      <c r="BF743" s="129">
        <v>1</v>
      </c>
      <c r="BG743" s="129">
        <v>1</v>
      </c>
      <c r="BH743" s="129">
        <v>1</v>
      </c>
      <c r="BI743" s="129">
        <v>1</v>
      </c>
      <c r="BJ743" s="129">
        <v>1</v>
      </c>
      <c r="BK743" s="129">
        <v>1</v>
      </c>
      <c r="BL743" s="129"/>
      <c r="BM743" s="197"/>
    </row>
    <row r="744" spans="1:66" x14ac:dyDescent="0.25">
      <c r="A744" s="166"/>
      <c r="B744" s="166"/>
      <c r="C744" s="172"/>
      <c r="D744" s="49"/>
      <c r="E744" s="49"/>
      <c r="F744" s="54"/>
      <c r="G744" s="54"/>
      <c r="H744" s="54"/>
      <c r="I744" s="54"/>
      <c r="J744" s="54"/>
      <c r="K744" s="54"/>
      <c r="L744" s="54"/>
      <c r="M744" s="54"/>
      <c r="N744" s="54"/>
      <c r="O744" s="54"/>
      <c r="P744" s="54"/>
      <c r="Q744" s="54"/>
      <c r="R744" s="54"/>
      <c r="S744" s="54"/>
      <c r="T744" s="54"/>
      <c r="U744" s="54"/>
      <c r="V744" s="54"/>
      <c r="W744" s="55"/>
      <c r="X744" s="55"/>
      <c r="Y744" s="55"/>
      <c r="Z744" s="55"/>
      <c r="AA744" s="55"/>
      <c r="AB744" s="55"/>
      <c r="AC744" s="55"/>
      <c r="AD744" s="55"/>
      <c r="AE744" s="55"/>
      <c r="AF744" s="55"/>
      <c r="AG744" s="55"/>
      <c r="AH744" s="55"/>
      <c r="AI744" s="54"/>
      <c r="AJ744" s="54"/>
      <c r="AK744" s="54"/>
      <c r="AL744" s="23"/>
      <c r="AM744" s="127"/>
      <c r="AN744" s="127"/>
      <c r="AO744" s="129"/>
      <c r="AP744" s="129"/>
      <c r="AQ744" s="129"/>
      <c r="AR744" s="129"/>
      <c r="AS744" s="129"/>
      <c r="AT744" s="129"/>
      <c r="AU744" s="129"/>
      <c r="AV744" s="129"/>
      <c r="AW744" s="129"/>
      <c r="AX744" s="197"/>
      <c r="AY744" s="197"/>
      <c r="AZ744" s="197"/>
      <c r="BA744" s="197"/>
      <c r="BB744" s="129"/>
      <c r="BC744" s="129"/>
      <c r="BD744" s="129"/>
      <c r="BE744" s="129"/>
      <c r="BF744" s="129"/>
      <c r="BG744" s="129"/>
      <c r="BH744" s="129"/>
      <c r="BI744" s="129"/>
      <c r="BJ744" s="129"/>
      <c r="BK744" s="129"/>
      <c r="BL744" s="129"/>
      <c r="BM744" s="197"/>
    </row>
    <row r="745" spans="1:66" x14ac:dyDescent="0.25">
      <c r="A745" s="166"/>
      <c r="B745" s="166"/>
      <c r="C745" s="172"/>
      <c r="D745" s="46"/>
      <c r="E745" s="46"/>
      <c r="F745" s="54"/>
      <c r="G745" s="54"/>
      <c r="H745" s="54"/>
      <c r="I745" s="54"/>
      <c r="J745" s="54"/>
      <c r="K745" s="54"/>
      <c r="L745" s="54"/>
      <c r="M745" s="54"/>
      <c r="N745" s="54"/>
      <c r="O745" s="54"/>
      <c r="P745" s="54"/>
      <c r="Q745" s="54"/>
      <c r="R745" s="54"/>
      <c r="S745" s="54"/>
      <c r="T745" s="54"/>
      <c r="U745" s="54"/>
      <c r="V745" s="54"/>
      <c r="W745" s="55"/>
      <c r="X745" s="55"/>
      <c r="Y745" s="55"/>
      <c r="Z745" s="55"/>
      <c r="AA745" s="55"/>
      <c r="AB745" s="55"/>
      <c r="AC745" s="55"/>
      <c r="AD745" s="55"/>
      <c r="AE745" s="55"/>
      <c r="AF745" s="55"/>
      <c r="AG745" s="55"/>
      <c r="AH745" s="55"/>
      <c r="AI745" s="54"/>
      <c r="AJ745" s="54"/>
      <c r="AK745" s="54"/>
      <c r="AL745" s="23"/>
      <c r="AM745" s="127"/>
      <c r="AN745" s="127"/>
      <c r="AO745" s="129"/>
      <c r="AP745" s="129"/>
      <c r="AQ745" s="129"/>
      <c r="AR745" s="129"/>
      <c r="AS745" s="129"/>
      <c r="AT745" s="129"/>
      <c r="AU745" s="129"/>
      <c r="AV745" s="129"/>
      <c r="AW745" s="129"/>
      <c r="AX745" s="197"/>
      <c r="AY745" s="197"/>
      <c r="AZ745" s="197"/>
      <c r="BA745" s="197"/>
      <c r="BB745" s="129"/>
      <c r="BC745" s="129"/>
      <c r="BD745" s="129"/>
      <c r="BE745" s="129"/>
      <c r="BF745" s="129"/>
      <c r="BG745" s="129"/>
      <c r="BH745" s="129"/>
      <c r="BI745" s="129"/>
      <c r="BJ745" s="129"/>
      <c r="BK745" s="129"/>
      <c r="BL745" s="129"/>
      <c r="BM745" s="197"/>
    </row>
    <row r="746" spans="1:66" x14ac:dyDescent="0.25">
      <c r="A746" s="166" t="s">
        <v>126</v>
      </c>
      <c r="B746" s="166" t="s">
        <v>22</v>
      </c>
      <c r="C746" s="172" t="s">
        <v>370</v>
      </c>
      <c r="D746" s="161">
        <v>4</v>
      </c>
      <c r="E746" s="29" t="str">
        <f t="shared" ref="E746:E751" si="216">INDEX(ra_ScName,MATCH(D746,ra_ScNumber,0))</f>
        <v>Net additions prior to 1 April 2012</v>
      </c>
      <c r="F746" s="122">
        <v>7644</v>
      </c>
      <c r="G746" s="122">
        <v>7786</v>
      </c>
      <c r="H746" s="122">
        <v>2023</v>
      </c>
      <c r="I746" s="122">
        <v>4225</v>
      </c>
      <c r="J746" s="122">
        <v>5894</v>
      </c>
      <c r="K746" s="122">
        <v>2382</v>
      </c>
      <c r="L746" s="122">
        <v>3449</v>
      </c>
      <c r="M746" s="122">
        <v>1084.6002031156527</v>
      </c>
      <c r="N746" s="122">
        <v>6387.6247468541751</v>
      </c>
      <c r="O746" s="122">
        <v>6303</v>
      </c>
      <c r="P746" s="122">
        <v>52421.999999999993</v>
      </c>
      <c r="Q746" s="122">
        <v>5635.3221811466228</v>
      </c>
      <c r="R746" s="122">
        <v>5234</v>
      </c>
      <c r="S746" s="122">
        <v>16649.2682399277</v>
      </c>
      <c r="T746" s="122">
        <v>76573.310789910291</v>
      </c>
      <c r="U746" s="122">
        <v>25343.756747688079</v>
      </c>
      <c r="V746" s="122"/>
      <c r="W746" s="54"/>
      <c r="X746" s="54"/>
      <c r="Y746" s="54"/>
      <c r="Z746" s="54"/>
      <c r="AA746" s="54"/>
      <c r="AB746" s="54"/>
      <c r="AC746" s="54"/>
      <c r="AD746" s="54"/>
      <c r="AE746" s="54"/>
      <c r="AF746" s="54"/>
      <c r="AG746" s="54"/>
      <c r="AH746" s="54"/>
      <c r="AI746" s="117">
        <f t="shared" ref="AI746:AI751" si="217">SUM(F746:AH746)</f>
        <v>229035.8829086425</v>
      </c>
      <c r="AJ746" s="117">
        <f t="shared" ref="AJ746:AJ751" si="218">SUM(F746:U746)</f>
        <v>229035.8829086425</v>
      </c>
      <c r="AK746" s="117">
        <f t="shared" ref="AK746:AK751" si="219">SUM(W746:AH746)</f>
        <v>0</v>
      </c>
      <c r="AL746" s="23"/>
      <c r="AM746" s="127" t="b">
        <f t="shared" ref="AM746:AM751" si="220">IF(INDEX($AO746:$BM746,0,$F$14)=1,TRUE,FALSE)</f>
        <v>0</v>
      </c>
      <c r="AN746" s="127" t="str">
        <f t="shared" ref="AN746:AN751" si="221">IF(AM746,A746&amp;", "&amp;B746,"")</f>
        <v/>
      </c>
      <c r="AO746" s="129"/>
      <c r="AP746" s="129"/>
      <c r="AQ746" s="129"/>
      <c r="AR746" s="129">
        <v>1</v>
      </c>
      <c r="AS746" s="129"/>
      <c r="AT746" s="129"/>
      <c r="AU746" s="129"/>
      <c r="AV746" s="129"/>
      <c r="AW746" s="129"/>
      <c r="AX746" s="197"/>
      <c r="AY746" s="197"/>
      <c r="AZ746" s="197"/>
      <c r="BA746" s="197"/>
      <c r="BB746" s="129"/>
      <c r="BC746" s="129"/>
      <c r="BD746" s="129"/>
      <c r="BE746" s="129"/>
      <c r="BF746" s="129"/>
      <c r="BG746" s="129"/>
      <c r="BH746" s="129"/>
      <c r="BI746" s="129"/>
      <c r="BJ746" s="129"/>
      <c r="BK746" s="129"/>
      <c r="BL746" s="129"/>
      <c r="BM746" s="197"/>
    </row>
    <row r="747" spans="1:66" x14ac:dyDescent="0.25">
      <c r="A747" s="166" t="s">
        <v>126</v>
      </c>
      <c r="B747" s="166" t="s">
        <v>23</v>
      </c>
      <c r="C747" s="172" t="s">
        <v>370</v>
      </c>
      <c r="D747" s="161">
        <v>4</v>
      </c>
      <c r="E747" s="29" t="str">
        <f t="shared" si="216"/>
        <v>Net additions prior to 1 April 2012</v>
      </c>
      <c r="F747" s="122">
        <v>7761.3029581220562</v>
      </c>
      <c r="G747" s="122">
        <v>8081.7333333333336</v>
      </c>
      <c r="H747" s="122">
        <v>2078.9835143810369</v>
      </c>
      <c r="I747" s="122">
        <v>4334.231845352957</v>
      </c>
      <c r="J747" s="122">
        <v>6168.2436097180789</v>
      </c>
      <c r="K747" s="122">
        <v>2446.6052171407432</v>
      </c>
      <c r="L747" s="122">
        <v>3495.6234094332171</v>
      </c>
      <c r="M747" s="122">
        <v>1112.1113142267639</v>
      </c>
      <c r="N747" s="122">
        <v>6483.4469690763963</v>
      </c>
      <c r="O747" s="122">
        <v>6418.333333333333</v>
      </c>
      <c r="P747" s="122">
        <v>53337.872898626425</v>
      </c>
      <c r="Q747" s="122">
        <v>5795.7716123642067</v>
      </c>
      <c r="R747" s="122">
        <v>5376.2517526675592</v>
      </c>
      <c r="S747" s="122">
        <v>17426.695562926536</v>
      </c>
      <c r="T747" s="122">
        <v>79257.518297225819</v>
      </c>
      <c r="U747" s="122">
        <v>26111.326352307129</v>
      </c>
      <c r="V747" s="122"/>
      <c r="W747" s="54"/>
      <c r="X747" s="54"/>
      <c r="Y747" s="54"/>
      <c r="Z747" s="54"/>
      <c r="AA747" s="54"/>
      <c r="AB747" s="54"/>
      <c r="AC747" s="54"/>
      <c r="AD747" s="54"/>
      <c r="AE747" s="54"/>
      <c r="AF747" s="54"/>
      <c r="AG747" s="54"/>
      <c r="AH747" s="54"/>
      <c r="AI747" s="117">
        <f t="shared" si="217"/>
        <v>235686.05198023561</v>
      </c>
      <c r="AJ747" s="117">
        <f t="shared" si="218"/>
        <v>235686.05198023561</v>
      </c>
      <c r="AK747" s="117">
        <f t="shared" si="219"/>
        <v>0</v>
      </c>
      <c r="AL747" s="23"/>
      <c r="AM747" s="127" t="b">
        <f t="shared" si="220"/>
        <v>0</v>
      </c>
      <c r="AN747" s="127" t="str">
        <f t="shared" si="221"/>
        <v/>
      </c>
      <c r="AO747" s="129"/>
      <c r="AP747" s="129"/>
      <c r="AQ747" s="129"/>
      <c r="AR747" s="129">
        <v>1</v>
      </c>
      <c r="AS747" s="129"/>
      <c r="AT747" s="129"/>
      <c r="AU747" s="129"/>
      <c r="AV747" s="129"/>
      <c r="AW747" s="129"/>
      <c r="AX747" s="197"/>
      <c r="AY747" s="197"/>
      <c r="AZ747" s="197"/>
      <c r="BA747" s="197"/>
      <c r="BB747" s="129"/>
      <c r="BC747" s="129"/>
      <c r="BD747" s="129"/>
      <c r="BE747" s="129"/>
      <c r="BF747" s="129"/>
      <c r="BG747" s="129"/>
      <c r="BH747" s="129"/>
      <c r="BI747" s="129"/>
      <c r="BJ747" s="129"/>
      <c r="BK747" s="129"/>
      <c r="BL747" s="129"/>
      <c r="BM747" s="197"/>
    </row>
    <row r="748" spans="1:66" x14ac:dyDescent="0.25">
      <c r="A748" s="166" t="s">
        <v>126</v>
      </c>
      <c r="B748" s="166" t="s">
        <v>24</v>
      </c>
      <c r="C748" s="172" t="s">
        <v>370</v>
      </c>
      <c r="D748" s="161">
        <v>4</v>
      </c>
      <c r="E748" s="29" t="str">
        <f t="shared" si="216"/>
        <v>Net additions prior to 1 April 2012</v>
      </c>
      <c r="F748" s="122">
        <v>7971.1191502295596</v>
      </c>
      <c r="G748" s="122">
        <v>8439.549361187539</v>
      </c>
      <c r="H748" s="122">
        <v>2241.8366194921477</v>
      </c>
      <c r="I748" s="122">
        <v>4438.1993635940416</v>
      </c>
      <c r="J748" s="122">
        <v>6529.4623330817103</v>
      </c>
      <c r="K748" s="122">
        <v>2499.7593646279029</v>
      </c>
      <c r="L748" s="122">
        <v>3575.7361748319199</v>
      </c>
      <c r="M748" s="122">
        <v>1158.6224253378748</v>
      </c>
      <c r="N748" s="122">
        <v>6588.908323478835</v>
      </c>
      <c r="O748" s="122">
        <v>6578.8394437432808</v>
      </c>
      <c r="P748" s="122">
        <v>54612.481272064746</v>
      </c>
      <c r="Q748" s="122">
        <v>5943.3029621138057</v>
      </c>
      <c r="R748" s="122">
        <v>5611.242399774279</v>
      </c>
      <c r="S748" s="122">
        <v>18113.876235809708</v>
      </c>
      <c r="T748" s="122">
        <v>81692.138092521898</v>
      </c>
      <c r="U748" s="122">
        <v>26582.09866043723</v>
      </c>
      <c r="V748" s="122"/>
      <c r="W748" s="54"/>
      <c r="X748" s="54"/>
      <c r="Y748" s="54"/>
      <c r="Z748" s="54"/>
      <c r="AA748" s="54"/>
      <c r="AB748" s="54"/>
      <c r="AC748" s="54"/>
      <c r="AD748" s="54"/>
      <c r="AE748" s="54"/>
      <c r="AF748" s="54"/>
      <c r="AG748" s="54"/>
      <c r="AH748" s="54"/>
      <c r="AI748" s="117">
        <f t="shared" si="217"/>
        <v>242577.1721823265</v>
      </c>
      <c r="AJ748" s="117">
        <f t="shared" si="218"/>
        <v>242577.1721823265</v>
      </c>
      <c r="AK748" s="117">
        <f t="shared" si="219"/>
        <v>0</v>
      </c>
      <c r="AL748" s="23"/>
      <c r="AM748" s="127" t="b">
        <f t="shared" si="220"/>
        <v>0</v>
      </c>
      <c r="AN748" s="127" t="str">
        <f t="shared" si="221"/>
        <v/>
      </c>
      <c r="AO748" s="129"/>
      <c r="AP748" s="129"/>
      <c r="AQ748" s="129"/>
      <c r="AR748" s="129">
        <v>1</v>
      </c>
      <c r="AS748" s="129"/>
      <c r="AT748" s="129"/>
      <c r="AU748" s="129"/>
      <c r="AV748" s="129"/>
      <c r="AW748" s="129"/>
      <c r="AX748" s="197"/>
      <c r="AY748" s="197"/>
      <c r="AZ748" s="197"/>
      <c r="BA748" s="197"/>
      <c r="BB748" s="129"/>
      <c r="BC748" s="129"/>
      <c r="BD748" s="129"/>
      <c r="BE748" s="129"/>
      <c r="BF748" s="129"/>
      <c r="BG748" s="129"/>
      <c r="BH748" s="129"/>
      <c r="BI748" s="129"/>
      <c r="BJ748" s="129"/>
      <c r="BK748" s="129"/>
      <c r="BL748" s="129"/>
      <c r="BM748" s="197"/>
    </row>
    <row r="749" spans="1:66" x14ac:dyDescent="0.25">
      <c r="A749" s="166" t="s">
        <v>126</v>
      </c>
      <c r="B749" s="166" t="s">
        <v>25</v>
      </c>
      <c r="C749" s="172" t="s">
        <v>370</v>
      </c>
      <c r="D749" s="161">
        <v>4</v>
      </c>
      <c r="E749" s="29" t="str">
        <f t="shared" si="216"/>
        <v>Net additions prior to 1 April 2012</v>
      </c>
      <c r="F749" s="122">
        <v>8131.2992146668739</v>
      </c>
      <c r="G749" s="122">
        <v>8705.6565126241185</v>
      </c>
      <c r="H749" s="122">
        <v>2302.6887192699255</v>
      </c>
      <c r="I749" s="122">
        <v>4540.7876636976562</v>
      </c>
      <c r="J749" s="122">
        <v>6751.5353904311378</v>
      </c>
      <c r="K749" s="122">
        <v>2547.7436536620908</v>
      </c>
      <c r="L749" s="122">
        <v>3647.8005305611873</v>
      </c>
      <c r="M749" s="122">
        <v>1179.1113142267639</v>
      </c>
      <c r="N749" s="122">
        <v>6641.1481974918624</v>
      </c>
      <c r="O749" s="122">
        <v>6702.481604443311</v>
      </c>
      <c r="P749" s="122">
        <v>55648.915501300165</v>
      </c>
      <c r="Q749" s="122">
        <v>6139.043183352057</v>
      </c>
      <c r="R749" s="122">
        <v>5916.2274004103319</v>
      </c>
      <c r="S749" s="122">
        <v>18584.602303432934</v>
      </c>
      <c r="T749" s="122">
        <v>83328.401473344464</v>
      </c>
      <c r="U749" s="122">
        <v>26930.809771548342</v>
      </c>
      <c r="V749" s="122"/>
      <c r="W749" s="54"/>
      <c r="X749" s="54"/>
      <c r="Y749" s="54"/>
      <c r="Z749" s="54"/>
      <c r="AA749" s="54"/>
      <c r="AB749" s="54"/>
      <c r="AC749" s="54"/>
      <c r="AD749" s="54"/>
      <c r="AE749" s="54"/>
      <c r="AF749" s="54"/>
      <c r="AG749" s="54"/>
      <c r="AH749" s="54"/>
      <c r="AI749" s="117">
        <f t="shared" si="217"/>
        <v>247698.25243446321</v>
      </c>
      <c r="AJ749" s="117">
        <f t="shared" si="218"/>
        <v>247698.25243446321</v>
      </c>
      <c r="AK749" s="117">
        <f t="shared" si="219"/>
        <v>0</v>
      </c>
      <c r="AL749" s="23"/>
      <c r="AM749" s="127" t="b">
        <f t="shared" si="220"/>
        <v>0</v>
      </c>
      <c r="AN749" s="127" t="str">
        <f t="shared" si="221"/>
        <v/>
      </c>
      <c r="AO749" s="129"/>
      <c r="AP749" s="129"/>
      <c r="AQ749" s="129"/>
      <c r="AR749" s="129">
        <v>1</v>
      </c>
      <c r="AS749" s="129"/>
      <c r="AT749" s="129"/>
      <c r="AU749" s="129"/>
      <c r="AV749" s="129"/>
      <c r="AW749" s="129"/>
      <c r="AX749" s="197"/>
      <c r="AY749" s="197"/>
      <c r="AZ749" s="197"/>
      <c r="BA749" s="197"/>
      <c r="BB749" s="129"/>
      <c r="BC749" s="129"/>
      <c r="BD749" s="129"/>
      <c r="BE749" s="129"/>
      <c r="BF749" s="129"/>
      <c r="BG749" s="129"/>
      <c r="BH749" s="129"/>
      <c r="BI749" s="129"/>
      <c r="BJ749" s="129"/>
      <c r="BK749" s="129"/>
      <c r="BL749" s="129"/>
      <c r="BM749" s="197"/>
    </row>
    <row r="750" spans="1:66" x14ac:dyDescent="0.25">
      <c r="A750" s="166" t="s">
        <v>126</v>
      </c>
      <c r="B750" s="166" t="s">
        <v>26</v>
      </c>
      <c r="C750" s="172" t="s">
        <v>370</v>
      </c>
      <c r="D750" s="161">
        <v>4</v>
      </c>
      <c r="E750" s="29" t="str">
        <f t="shared" si="216"/>
        <v>Net additions prior to 1 April 2012</v>
      </c>
      <c r="F750" s="122">
        <v>8748.3357490569324</v>
      </c>
      <c r="G750" s="122">
        <v>9077.6841477261896</v>
      </c>
      <c r="H750" s="122">
        <v>2384.7016261514477</v>
      </c>
      <c r="I750" s="122">
        <v>4659.6684505771682</v>
      </c>
      <c r="J750" s="122">
        <v>6916.8837753390981</v>
      </c>
      <c r="K750" s="122">
        <v>2624.5220763938137</v>
      </c>
      <c r="L750" s="122">
        <v>3771.6973804675545</v>
      </c>
      <c r="M750" s="122">
        <v>1221.4620656616394</v>
      </c>
      <c r="N750" s="122">
        <v>6783.1656040100088</v>
      </c>
      <c r="O750" s="122">
        <v>6932.8409726021819</v>
      </c>
      <c r="P750" s="122">
        <v>56783.87495865034</v>
      </c>
      <c r="Q750" s="122">
        <v>6326.7855133463881</v>
      </c>
      <c r="R750" s="122">
        <v>6260.5994315888029</v>
      </c>
      <c r="S750" s="122">
        <v>19545.772136399613</v>
      </c>
      <c r="T750" s="122">
        <v>86214.387704741734</v>
      </c>
      <c r="U750" s="122">
        <v>27698.78825235198</v>
      </c>
      <c r="V750" s="122"/>
      <c r="W750" s="54"/>
      <c r="X750" s="54"/>
      <c r="Y750" s="54"/>
      <c r="Z750" s="54"/>
      <c r="AA750" s="54"/>
      <c r="AB750" s="54"/>
      <c r="AC750" s="54"/>
      <c r="AD750" s="54"/>
      <c r="AE750" s="54"/>
      <c r="AF750" s="54"/>
      <c r="AG750" s="54"/>
      <c r="AH750" s="54"/>
      <c r="AI750" s="117">
        <f t="shared" si="217"/>
        <v>255951.1698450649</v>
      </c>
      <c r="AJ750" s="117">
        <f t="shared" si="218"/>
        <v>255951.1698450649</v>
      </c>
      <c r="AK750" s="117">
        <f t="shared" si="219"/>
        <v>0</v>
      </c>
      <c r="AL750" s="23"/>
      <c r="AM750" s="127" t="b">
        <f t="shared" si="220"/>
        <v>0</v>
      </c>
      <c r="AN750" s="127" t="str">
        <f t="shared" si="221"/>
        <v/>
      </c>
      <c r="AO750" s="129"/>
      <c r="AP750" s="129"/>
      <c r="AQ750" s="129"/>
      <c r="AR750" s="129">
        <v>1</v>
      </c>
      <c r="AS750" s="129"/>
      <c r="AT750" s="129"/>
      <c r="AU750" s="129"/>
      <c r="AV750" s="129"/>
      <c r="AW750" s="129"/>
      <c r="AX750" s="197"/>
      <c r="AY750" s="197"/>
      <c r="AZ750" s="197"/>
      <c r="BA750" s="197"/>
      <c r="BB750" s="129"/>
      <c r="BC750" s="129"/>
      <c r="BD750" s="129"/>
      <c r="BE750" s="129"/>
      <c r="BF750" s="129"/>
      <c r="BG750" s="129"/>
      <c r="BH750" s="129"/>
      <c r="BI750" s="129"/>
      <c r="BJ750" s="129"/>
      <c r="BK750" s="129"/>
      <c r="BL750" s="129"/>
      <c r="BM750" s="197"/>
    </row>
    <row r="751" spans="1:66" x14ac:dyDescent="0.25">
      <c r="A751" s="166" t="s">
        <v>126</v>
      </c>
      <c r="B751" s="166" t="s">
        <v>27</v>
      </c>
      <c r="C751" s="172" t="s">
        <v>370</v>
      </c>
      <c r="D751" s="161">
        <v>4</v>
      </c>
      <c r="E751" s="29" t="str">
        <f t="shared" si="216"/>
        <v>Net additions prior to 1 April 2012</v>
      </c>
      <c r="F751" s="122">
        <v>9158.1371285320874</v>
      </c>
      <c r="G751" s="122">
        <v>9536.3405062953098</v>
      </c>
      <c r="H751" s="122">
        <v>2453.0571808047771</v>
      </c>
      <c r="I751" s="122">
        <v>4779.1837222024433</v>
      </c>
      <c r="J751" s="122">
        <v>7112.7565952601153</v>
      </c>
      <c r="K751" s="122">
        <v>2693.2594965061744</v>
      </c>
      <c r="L751" s="122">
        <v>3867.3903603700992</v>
      </c>
      <c r="M751" s="122">
        <v>1256.094250935321</v>
      </c>
      <c r="N751" s="122">
        <v>6908.2971079049084</v>
      </c>
      <c r="O751" s="122">
        <v>7161.9634179776813</v>
      </c>
      <c r="P751" s="122">
        <v>58011.660075724649</v>
      </c>
      <c r="Q751" s="122">
        <v>6527.5197555408631</v>
      </c>
      <c r="R751" s="122">
        <v>6593.3056190536736</v>
      </c>
      <c r="S751" s="122">
        <v>20564.519700427623</v>
      </c>
      <c r="T751" s="122">
        <v>89301.106804337323</v>
      </c>
      <c r="U751" s="122">
        <v>28480.514437888916</v>
      </c>
      <c r="V751" s="122"/>
      <c r="W751" s="54"/>
      <c r="X751" s="54"/>
      <c r="Y751" s="54"/>
      <c r="Z751" s="54"/>
      <c r="AA751" s="54"/>
      <c r="AB751" s="54"/>
      <c r="AC751" s="54"/>
      <c r="AD751" s="54"/>
      <c r="AE751" s="54"/>
      <c r="AF751" s="54"/>
      <c r="AG751" s="54"/>
      <c r="AH751" s="54"/>
      <c r="AI751" s="117">
        <f t="shared" si="217"/>
        <v>264405.10615976196</v>
      </c>
      <c r="AJ751" s="117">
        <f t="shared" si="218"/>
        <v>264405.10615976196</v>
      </c>
      <c r="AK751" s="117">
        <f t="shared" si="219"/>
        <v>0</v>
      </c>
      <c r="AL751" s="23"/>
      <c r="AM751" s="127" t="b">
        <f t="shared" si="220"/>
        <v>0</v>
      </c>
      <c r="AN751" s="127" t="str">
        <f t="shared" si="221"/>
        <v/>
      </c>
      <c r="AO751" s="129"/>
      <c r="AP751" s="129"/>
      <c r="AQ751" s="129"/>
      <c r="AR751" s="129">
        <v>1</v>
      </c>
      <c r="AS751" s="129"/>
      <c r="AT751" s="129"/>
      <c r="AU751" s="129"/>
      <c r="AV751" s="129"/>
      <c r="AW751" s="129"/>
      <c r="AX751" s="197"/>
      <c r="AY751" s="197"/>
      <c r="AZ751" s="197"/>
      <c r="BA751" s="197"/>
      <c r="BB751" s="129"/>
      <c r="BC751" s="129"/>
      <c r="BD751" s="129"/>
      <c r="BE751" s="129"/>
      <c r="BF751" s="129"/>
      <c r="BG751" s="129"/>
      <c r="BH751" s="129"/>
      <c r="BI751" s="129"/>
      <c r="BJ751" s="129"/>
      <c r="BK751" s="129"/>
      <c r="BL751" s="129"/>
      <c r="BM751" s="197"/>
    </row>
    <row r="752" spans="1:66" s="4" customFormat="1" x14ac:dyDescent="0.25">
      <c r="A752" s="173"/>
      <c r="B752" s="173"/>
      <c r="C752" s="173"/>
      <c r="D752" s="49"/>
      <c r="E752" s="49"/>
      <c r="F752" s="54"/>
      <c r="G752" s="54"/>
      <c r="H752" s="54"/>
      <c r="I752" s="54"/>
      <c r="J752" s="54"/>
      <c r="K752" s="54"/>
      <c r="L752" s="54"/>
      <c r="M752" s="54"/>
      <c r="N752" s="54"/>
      <c r="O752" s="54"/>
      <c r="P752" s="54"/>
      <c r="Q752" s="54"/>
      <c r="R752" s="54"/>
      <c r="S752" s="54"/>
      <c r="T752" s="54"/>
      <c r="U752" s="54"/>
      <c r="V752" s="54"/>
      <c r="W752" s="55"/>
      <c r="X752" s="55"/>
      <c r="Y752" s="55"/>
      <c r="Z752" s="55"/>
      <c r="AA752" s="55"/>
      <c r="AB752" s="55"/>
      <c r="AC752" s="55"/>
      <c r="AD752" s="55"/>
      <c r="AE752" s="55"/>
      <c r="AF752" s="55"/>
      <c r="AG752" s="55"/>
      <c r="AH752" s="55"/>
      <c r="AI752" s="54"/>
      <c r="AJ752" s="54"/>
      <c r="AK752" s="54"/>
      <c r="AL752" s="23"/>
      <c r="AM752" s="127"/>
      <c r="AN752" s="127"/>
      <c r="AO752" s="129"/>
      <c r="AP752" s="129"/>
      <c r="AQ752" s="129"/>
      <c r="AR752" s="129"/>
      <c r="AS752" s="129"/>
      <c r="AT752" s="129"/>
      <c r="AU752" s="129"/>
      <c r="AV752" s="129"/>
      <c r="AW752" s="129"/>
      <c r="AX752" s="197"/>
      <c r="AY752" s="197"/>
      <c r="AZ752" s="197"/>
      <c r="BA752" s="197"/>
      <c r="BB752" s="129"/>
      <c r="BC752" s="129"/>
      <c r="BD752" s="129"/>
      <c r="BE752" s="129"/>
      <c r="BF752" s="129"/>
      <c r="BG752" s="129"/>
      <c r="BH752" s="129"/>
      <c r="BI752" s="129"/>
      <c r="BJ752" s="129"/>
      <c r="BK752" s="129"/>
      <c r="BL752" s="129"/>
      <c r="BM752" s="197"/>
      <c r="BN752"/>
    </row>
    <row r="753" spans="1:66" s="4" customFormat="1" x14ac:dyDescent="0.25">
      <c r="A753" s="173"/>
      <c r="B753" s="173"/>
      <c r="C753" s="173"/>
      <c r="D753" s="46"/>
      <c r="E753" s="46"/>
      <c r="F753" s="54"/>
      <c r="G753" s="54"/>
      <c r="H753" s="54"/>
      <c r="I753" s="54"/>
      <c r="J753" s="54"/>
      <c r="K753" s="54"/>
      <c r="L753" s="54"/>
      <c r="M753" s="54"/>
      <c r="N753" s="54"/>
      <c r="O753" s="54"/>
      <c r="P753" s="54"/>
      <c r="Q753" s="54"/>
      <c r="R753" s="54"/>
      <c r="S753" s="54"/>
      <c r="T753" s="54"/>
      <c r="U753" s="54"/>
      <c r="V753" s="54"/>
      <c r="W753" s="55"/>
      <c r="X753" s="55"/>
      <c r="Y753" s="55"/>
      <c r="Z753" s="55"/>
      <c r="AA753" s="55"/>
      <c r="AB753" s="55"/>
      <c r="AC753" s="55"/>
      <c r="AD753" s="55"/>
      <c r="AE753" s="55"/>
      <c r="AF753" s="55"/>
      <c r="AG753" s="55"/>
      <c r="AH753" s="55"/>
      <c r="AI753" s="54"/>
      <c r="AJ753" s="54"/>
      <c r="AK753" s="54"/>
      <c r="AL753" s="23"/>
      <c r="AM753" s="127"/>
      <c r="AN753" s="127"/>
      <c r="AO753" s="129"/>
      <c r="AP753" s="129"/>
      <c r="AQ753" s="129"/>
      <c r="AR753" s="129"/>
      <c r="AS753" s="129"/>
      <c r="AT753" s="129"/>
      <c r="AU753" s="129"/>
      <c r="AV753" s="129"/>
      <c r="AW753" s="129"/>
      <c r="AX753" s="197"/>
      <c r="AY753" s="197"/>
      <c r="AZ753" s="197"/>
      <c r="BA753" s="197"/>
      <c r="BB753" s="129"/>
      <c r="BC753" s="129"/>
      <c r="BD753" s="129"/>
      <c r="BE753" s="129"/>
      <c r="BF753" s="129"/>
      <c r="BG753" s="129"/>
      <c r="BH753" s="129"/>
      <c r="BI753" s="129"/>
      <c r="BJ753" s="129"/>
      <c r="BK753" s="129"/>
      <c r="BL753" s="129"/>
      <c r="BM753" s="197"/>
      <c r="BN753"/>
    </row>
    <row r="754" spans="1:66" s="4" customFormat="1" x14ac:dyDescent="0.25">
      <c r="A754" s="173" t="s">
        <v>126</v>
      </c>
      <c r="B754" s="173" t="s">
        <v>22</v>
      </c>
      <c r="C754" s="173" t="s">
        <v>399</v>
      </c>
      <c r="D754" s="161">
        <v>5</v>
      </c>
      <c r="E754" s="29" t="str">
        <f t="shared" ref="E754:E759" si="222">INDEX(ra_ScName,MATCH(D754,ra_ScNumber,0))</f>
        <v>Input price inflators 2013–15</v>
      </c>
      <c r="F754" s="122">
        <v>7644</v>
      </c>
      <c r="G754" s="122">
        <v>7786</v>
      </c>
      <c r="H754" s="122">
        <v>2023</v>
      </c>
      <c r="I754" s="122">
        <v>4225</v>
      </c>
      <c r="J754" s="122">
        <v>5894</v>
      </c>
      <c r="K754" s="122">
        <v>2382</v>
      </c>
      <c r="L754" s="122">
        <v>3449</v>
      </c>
      <c r="M754" s="122">
        <v>1084.6002031156527</v>
      </c>
      <c r="N754" s="122">
        <v>6387.6247468541751</v>
      </c>
      <c r="O754" s="122">
        <v>6303</v>
      </c>
      <c r="P754" s="122">
        <v>52421.999999999993</v>
      </c>
      <c r="Q754" s="122">
        <v>5635.3221811466228</v>
      </c>
      <c r="R754" s="122">
        <v>5234</v>
      </c>
      <c r="S754" s="122">
        <v>16649.2682399277</v>
      </c>
      <c r="T754" s="122">
        <v>76573.310789910291</v>
      </c>
      <c r="U754" s="122">
        <v>25343.756747688079</v>
      </c>
      <c r="V754" s="122"/>
      <c r="W754" s="54"/>
      <c r="X754" s="54"/>
      <c r="Y754" s="54"/>
      <c r="Z754" s="54"/>
      <c r="AA754" s="54"/>
      <c r="AB754" s="54"/>
      <c r="AC754" s="54"/>
      <c r="AD754" s="54"/>
      <c r="AE754" s="54"/>
      <c r="AF754" s="54"/>
      <c r="AG754" s="54"/>
      <c r="AH754" s="54"/>
      <c r="AI754" s="117">
        <f t="shared" ref="AI754:AI759" si="223">SUM(F754:AH754)</f>
        <v>229035.8829086425</v>
      </c>
      <c r="AJ754" s="117">
        <f t="shared" ref="AJ754:AJ759" si="224">SUM(F754:U754)</f>
        <v>229035.8829086425</v>
      </c>
      <c r="AK754" s="117">
        <f t="shared" ref="AK754:AK759" si="225">SUM(W754:AH754)</f>
        <v>0</v>
      </c>
      <c r="AL754" s="23"/>
      <c r="AM754" s="127" t="b">
        <f t="shared" ref="AM754:AM759" si="226">IF(INDEX($AO754:$BM754,0,$F$14)=1,TRUE,FALSE)</f>
        <v>0</v>
      </c>
      <c r="AN754" s="127" t="str">
        <f t="shared" ref="AN754:AN759" si="227">IF(AM754,A754&amp;", "&amp;B754,"")</f>
        <v/>
      </c>
      <c r="AO754" s="129"/>
      <c r="AP754" s="129"/>
      <c r="AQ754" s="129"/>
      <c r="AR754" s="129"/>
      <c r="AS754" s="129">
        <v>1</v>
      </c>
      <c r="AT754" s="129">
        <v>1</v>
      </c>
      <c r="AU754" s="129"/>
      <c r="AV754" s="129"/>
      <c r="AW754" s="129"/>
      <c r="AX754" s="197"/>
      <c r="AY754" s="197"/>
      <c r="AZ754" s="197"/>
      <c r="BA754" s="197"/>
      <c r="BB754" s="129"/>
      <c r="BC754" s="129"/>
      <c r="BD754" s="129"/>
      <c r="BE754" s="129"/>
      <c r="BF754" s="129"/>
      <c r="BG754" s="129"/>
      <c r="BH754" s="129"/>
      <c r="BI754" s="129"/>
      <c r="BJ754" s="129"/>
      <c r="BK754" s="129"/>
      <c r="BL754" s="129"/>
      <c r="BM754" s="197"/>
      <c r="BN754"/>
    </row>
    <row r="755" spans="1:66" s="4" customFormat="1" x14ac:dyDescent="0.25">
      <c r="A755" s="173" t="s">
        <v>126</v>
      </c>
      <c r="B755" s="173" t="s">
        <v>23</v>
      </c>
      <c r="C755" s="173" t="s">
        <v>399</v>
      </c>
      <c r="D755" s="161">
        <v>5</v>
      </c>
      <c r="E755" s="29" t="str">
        <f t="shared" si="222"/>
        <v>Input price inflators 2013–15</v>
      </c>
      <c r="F755" s="122">
        <v>7761.3029581220562</v>
      </c>
      <c r="G755" s="122">
        <v>8081.7333333333336</v>
      </c>
      <c r="H755" s="122">
        <v>2078.9835143810369</v>
      </c>
      <c r="I755" s="122">
        <v>4334.231845352957</v>
      </c>
      <c r="J755" s="122">
        <v>6168.2436097180789</v>
      </c>
      <c r="K755" s="122">
        <v>2446.6052171407432</v>
      </c>
      <c r="L755" s="122">
        <v>3495.6234094332171</v>
      </c>
      <c r="M755" s="122">
        <v>1112.1113142267639</v>
      </c>
      <c r="N755" s="122">
        <v>6483.4469690763963</v>
      </c>
      <c r="O755" s="122">
        <v>6418.333333333333</v>
      </c>
      <c r="P755" s="122">
        <v>53337.872898626425</v>
      </c>
      <c r="Q755" s="122">
        <v>5795.7716123642067</v>
      </c>
      <c r="R755" s="122">
        <v>5376.2517526675592</v>
      </c>
      <c r="S755" s="122">
        <v>17426.695562926536</v>
      </c>
      <c r="T755" s="122">
        <v>79257.518297225819</v>
      </c>
      <c r="U755" s="122">
        <v>26111.326352307129</v>
      </c>
      <c r="V755" s="122"/>
      <c r="W755" s="54"/>
      <c r="X755" s="54"/>
      <c r="Y755" s="54"/>
      <c r="Z755" s="54"/>
      <c r="AA755" s="54"/>
      <c r="AB755" s="54"/>
      <c r="AC755" s="54"/>
      <c r="AD755" s="54"/>
      <c r="AE755" s="54"/>
      <c r="AF755" s="54"/>
      <c r="AG755" s="54"/>
      <c r="AH755" s="54"/>
      <c r="AI755" s="117">
        <f t="shared" si="223"/>
        <v>235686.05198023561</v>
      </c>
      <c r="AJ755" s="117">
        <f t="shared" si="224"/>
        <v>235686.05198023561</v>
      </c>
      <c r="AK755" s="117">
        <f t="shared" si="225"/>
        <v>0</v>
      </c>
      <c r="AL755" s="23"/>
      <c r="AM755" s="127" t="b">
        <f t="shared" si="226"/>
        <v>0</v>
      </c>
      <c r="AN755" s="127" t="str">
        <f t="shared" si="227"/>
        <v/>
      </c>
      <c r="AO755" s="129"/>
      <c r="AP755" s="129"/>
      <c r="AQ755" s="129"/>
      <c r="AR755" s="129"/>
      <c r="AS755" s="129">
        <v>1</v>
      </c>
      <c r="AT755" s="129">
        <v>1</v>
      </c>
      <c r="AU755" s="129"/>
      <c r="AV755" s="129"/>
      <c r="AW755" s="129"/>
      <c r="AX755" s="197"/>
      <c r="AY755" s="197"/>
      <c r="AZ755" s="197"/>
      <c r="BA755" s="197"/>
      <c r="BB755" s="129"/>
      <c r="BC755" s="129"/>
      <c r="BD755" s="129"/>
      <c r="BE755" s="129"/>
      <c r="BF755" s="129"/>
      <c r="BG755" s="129"/>
      <c r="BH755" s="129"/>
      <c r="BI755" s="129"/>
      <c r="BJ755" s="129"/>
      <c r="BK755" s="129"/>
      <c r="BL755" s="129"/>
      <c r="BM755" s="197"/>
      <c r="BN755"/>
    </row>
    <row r="756" spans="1:66" s="4" customFormat="1" x14ac:dyDescent="0.25">
      <c r="A756" s="173" t="s">
        <v>126</v>
      </c>
      <c r="B756" s="173" t="s">
        <v>24</v>
      </c>
      <c r="C756" s="173" t="s">
        <v>399</v>
      </c>
      <c r="D756" s="161">
        <v>5</v>
      </c>
      <c r="E756" s="29" t="str">
        <f t="shared" si="222"/>
        <v>Input price inflators 2013–15</v>
      </c>
      <c r="F756" s="122">
        <v>7971.1191502295596</v>
      </c>
      <c r="G756" s="122">
        <v>8439.549361187539</v>
      </c>
      <c r="H756" s="122">
        <v>2241.8366194921477</v>
      </c>
      <c r="I756" s="122">
        <v>4438.1993635940416</v>
      </c>
      <c r="J756" s="122">
        <v>6529.4623330817103</v>
      </c>
      <c r="K756" s="122">
        <v>2499.7593646279029</v>
      </c>
      <c r="L756" s="122">
        <v>3575.7361748319199</v>
      </c>
      <c r="M756" s="122">
        <v>1158.6224253378748</v>
      </c>
      <c r="N756" s="122">
        <v>6588.908323478835</v>
      </c>
      <c r="O756" s="122">
        <v>6578.8394437432808</v>
      </c>
      <c r="P756" s="122">
        <v>54612.481272064746</v>
      </c>
      <c r="Q756" s="122">
        <v>5943.3029621138057</v>
      </c>
      <c r="R756" s="122">
        <v>5611.242399774279</v>
      </c>
      <c r="S756" s="122">
        <v>18113.876235809708</v>
      </c>
      <c r="T756" s="122">
        <v>81692.138092521898</v>
      </c>
      <c r="U756" s="122">
        <v>26582.09866043723</v>
      </c>
      <c r="V756" s="122"/>
      <c r="W756" s="54"/>
      <c r="X756" s="54"/>
      <c r="Y756" s="54"/>
      <c r="Z756" s="54"/>
      <c r="AA756" s="54"/>
      <c r="AB756" s="54"/>
      <c r="AC756" s="54"/>
      <c r="AD756" s="54"/>
      <c r="AE756" s="54"/>
      <c r="AF756" s="54"/>
      <c r="AG756" s="54"/>
      <c r="AH756" s="54"/>
      <c r="AI756" s="117">
        <f t="shared" si="223"/>
        <v>242577.1721823265</v>
      </c>
      <c r="AJ756" s="117">
        <f t="shared" si="224"/>
        <v>242577.1721823265</v>
      </c>
      <c r="AK756" s="117">
        <f t="shared" si="225"/>
        <v>0</v>
      </c>
      <c r="AL756" s="23"/>
      <c r="AM756" s="127" t="b">
        <f t="shared" si="226"/>
        <v>0</v>
      </c>
      <c r="AN756" s="127" t="str">
        <f t="shared" si="227"/>
        <v/>
      </c>
      <c r="AO756" s="129"/>
      <c r="AP756" s="129"/>
      <c r="AQ756" s="129"/>
      <c r="AR756" s="129"/>
      <c r="AS756" s="129">
        <v>1</v>
      </c>
      <c r="AT756" s="129">
        <v>1</v>
      </c>
      <c r="AU756" s="129"/>
      <c r="AV756" s="129"/>
      <c r="AW756" s="129"/>
      <c r="AX756" s="197"/>
      <c r="AY756" s="197"/>
      <c r="AZ756" s="197"/>
      <c r="BA756" s="197"/>
      <c r="BB756" s="129"/>
      <c r="BC756" s="129"/>
      <c r="BD756" s="129"/>
      <c r="BE756" s="129"/>
      <c r="BF756" s="129"/>
      <c r="BG756" s="129"/>
      <c r="BH756" s="129"/>
      <c r="BI756" s="129"/>
      <c r="BJ756" s="129"/>
      <c r="BK756" s="129"/>
      <c r="BL756" s="129"/>
      <c r="BM756" s="197"/>
      <c r="BN756"/>
    </row>
    <row r="757" spans="1:66" s="4" customFormat="1" x14ac:dyDescent="0.25">
      <c r="A757" s="173" t="s">
        <v>126</v>
      </c>
      <c r="B757" s="173" t="s">
        <v>25</v>
      </c>
      <c r="C757" s="173" t="s">
        <v>399</v>
      </c>
      <c r="D757" s="161">
        <v>5</v>
      </c>
      <c r="E757" s="29" t="str">
        <f t="shared" si="222"/>
        <v>Input price inflators 2013–15</v>
      </c>
      <c r="F757" s="122">
        <v>8131.2992146668739</v>
      </c>
      <c r="G757" s="122">
        <v>8705.6565126241185</v>
      </c>
      <c r="H757" s="122">
        <v>2302.6887192699255</v>
      </c>
      <c r="I757" s="122">
        <v>4540.7876636976562</v>
      </c>
      <c r="J757" s="122">
        <v>6751.5353904311378</v>
      </c>
      <c r="K757" s="122">
        <v>2547.7436536620908</v>
      </c>
      <c r="L757" s="122">
        <v>3647.8005305611873</v>
      </c>
      <c r="M757" s="122">
        <v>1179.1113142267639</v>
      </c>
      <c r="N757" s="122">
        <v>6641.1481974918624</v>
      </c>
      <c r="O757" s="122">
        <v>6702.481604443311</v>
      </c>
      <c r="P757" s="122">
        <v>55648.915501300165</v>
      </c>
      <c r="Q757" s="122">
        <v>6139.043183352057</v>
      </c>
      <c r="R757" s="122">
        <v>5916.2274004103319</v>
      </c>
      <c r="S757" s="122">
        <v>18584.602303432934</v>
      </c>
      <c r="T757" s="122">
        <v>83328.401473344464</v>
      </c>
      <c r="U757" s="122">
        <v>26930.809771548342</v>
      </c>
      <c r="V757" s="122"/>
      <c r="W757" s="54"/>
      <c r="X757" s="54"/>
      <c r="Y757" s="54"/>
      <c r="Z757" s="54"/>
      <c r="AA757" s="54"/>
      <c r="AB757" s="54"/>
      <c r="AC757" s="54"/>
      <c r="AD757" s="54"/>
      <c r="AE757" s="54"/>
      <c r="AF757" s="54"/>
      <c r="AG757" s="54"/>
      <c r="AH757" s="54"/>
      <c r="AI757" s="117">
        <f t="shared" si="223"/>
        <v>247698.25243446321</v>
      </c>
      <c r="AJ757" s="117">
        <f t="shared" si="224"/>
        <v>247698.25243446321</v>
      </c>
      <c r="AK757" s="117">
        <f t="shared" si="225"/>
        <v>0</v>
      </c>
      <c r="AL757" s="23"/>
      <c r="AM757" s="127" t="b">
        <f t="shared" si="226"/>
        <v>0</v>
      </c>
      <c r="AN757" s="127" t="str">
        <f t="shared" si="227"/>
        <v/>
      </c>
      <c r="AO757" s="129"/>
      <c r="AP757" s="129"/>
      <c r="AQ757" s="129"/>
      <c r="AR757" s="129"/>
      <c r="AS757" s="129">
        <v>1</v>
      </c>
      <c r="AT757" s="129">
        <v>1</v>
      </c>
      <c r="AU757" s="129"/>
      <c r="AV757" s="129"/>
      <c r="AW757" s="129"/>
      <c r="AX757" s="197"/>
      <c r="AY757" s="197"/>
      <c r="AZ757" s="197"/>
      <c r="BA757" s="197"/>
      <c r="BB757" s="129"/>
      <c r="BC757" s="129"/>
      <c r="BD757" s="129"/>
      <c r="BE757" s="129"/>
      <c r="BF757" s="129"/>
      <c r="BG757" s="129"/>
      <c r="BH757" s="129"/>
      <c r="BI757" s="129"/>
      <c r="BJ757" s="129"/>
      <c r="BK757" s="129"/>
      <c r="BL757" s="129"/>
      <c r="BM757" s="197"/>
      <c r="BN757"/>
    </row>
    <row r="758" spans="1:66" s="4" customFormat="1" x14ac:dyDescent="0.25">
      <c r="A758" s="173" t="s">
        <v>126</v>
      </c>
      <c r="B758" s="173" t="s">
        <v>26</v>
      </c>
      <c r="C758" s="173" t="s">
        <v>399</v>
      </c>
      <c r="D758" s="161">
        <v>5</v>
      </c>
      <c r="E758" s="29" t="str">
        <f t="shared" si="222"/>
        <v>Input price inflators 2013–15</v>
      </c>
      <c r="F758" s="122">
        <v>8747.1321399187127</v>
      </c>
      <c r="G758" s="122">
        <v>9076.9973818578201</v>
      </c>
      <c r="H758" s="122">
        <v>2384.5452587513437</v>
      </c>
      <c r="I758" s="122">
        <v>4659.4262798598502</v>
      </c>
      <c r="J758" s="122">
        <v>6916.4804982974401</v>
      </c>
      <c r="K758" s="122">
        <v>2624.3763468234088</v>
      </c>
      <c r="L758" s="122">
        <v>3771.4636682675196</v>
      </c>
      <c r="M758" s="122">
        <v>1221.3838858496013</v>
      </c>
      <c r="N758" s="122">
        <v>6782.9034387881047</v>
      </c>
      <c r="O758" s="122">
        <v>6932.4157274413828</v>
      </c>
      <c r="P758" s="122">
        <v>56780.697936209857</v>
      </c>
      <c r="Q758" s="122">
        <v>6326.4380158628301</v>
      </c>
      <c r="R758" s="122">
        <v>6259.961119822965</v>
      </c>
      <c r="S758" s="122">
        <v>19543.981329567981</v>
      </c>
      <c r="T758" s="122">
        <v>86208.526304586878</v>
      </c>
      <c r="U758" s="122">
        <v>27697.368546538142</v>
      </c>
      <c r="V758" s="122"/>
      <c r="W758" s="54"/>
      <c r="X758" s="54"/>
      <c r="Y758" s="54"/>
      <c r="Z758" s="54"/>
      <c r="AA758" s="54"/>
      <c r="AB758" s="54"/>
      <c r="AC758" s="54"/>
      <c r="AD758" s="54"/>
      <c r="AE758" s="54"/>
      <c r="AF758" s="54"/>
      <c r="AG758" s="54"/>
      <c r="AH758" s="54"/>
      <c r="AI758" s="117">
        <f t="shared" si="223"/>
        <v>255934.09787844383</v>
      </c>
      <c r="AJ758" s="117">
        <f t="shared" si="224"/>
        <v>255934.09787844383</v>
      </c>
      <c r="AK758" s="117">
        <f t="shared" si="225"/>
        <v>0</v>
      </c>
      <c r="AL758" s="23"/>
      <c r="AM758" s="127" t="b">
        <f t="shared" si="226"/>
        <v>0</v>
      </c>
      <c r="AN758" s="127" t="str">
        <f t="shared" si="227"/>
        <v/>
      </c>
      <c r="AO758" s="129"/>
      <c r="AP758" s="129"/>
      <c r="AQ758" s="129"/>
      <c r="AR758" s="129"/>
      <c r="AS758" s="129">
        <v>1</v>
      </c>
      <c r="AT758" s="129">
        <v>1</v>
      </c>
      <c r="AU758" s="129"/>
      <c r="AV758" s="129"/>
      <c r="AW758" s="129"/>
      <c r="AX758" s="197"/>
      <c r="AY758" s="197"/>
      <c r="AZ758" s="197"/>
      <c r="BA758" s="197"/>
      <c r="BB758" s="129"/>
      <c r="BC758" s="129"/>
      <c r="BD758" s="129"/>
      <c r="BE758" s="129"/>
      <c r="BF758" s="129"/>
      <c r="BG758" s="129"/>
      <c r="BH758" s="129"/>
      <c r="BI758" s="129"/>
      <c r="BJ758" s="129"/>
      <c r="BK758" s="129"/>
      <c r="BL758" s="129"/>
      <c r="BM758" s="197"/>
      <c r="BN758"/>
    </row>
    <row r="759" spans="1:66" s="4" customFormat="1" x14ac:dyDescent="0.25">
      <c r="A759" s="173" t="s">
        <v>126</v>
      </c>
      <c r="B759" s="173" t="s">
        <v>27</v>
      </c>
      <c r="C759" s="173" t="s">
        <v>399</v>
      </c>
      <c r="D759" s="161">
        <v>5</v>
      </c>
      <c r="E759" s="29" t="str">
        <f t="shared" si="222"/>
        <v>Input price inflators 2013–15</v>
      </c>
      <c r="F759" s="122">
        <v>9154.8005628440242</v>
      </c>
      <c r="G759" s="122">
        <v>9533.4721562891318</v>
      </c>
      <c r="H759" s="122">
        <v>2452.5618494198252</v>
      </c>
      <c r="I759" s="122">
        <v>4778.3108980193992</v>
      </c>
      <c r="J759" s="122">
        <v>7111.1528101214899</v>
      </c>
      <c r="K759" s="122">
        <v>2692.7758159175837</v>
      </c>
      <c r="L759" s="122">
        <v>3866.6878313357502</v>
      </c>
      <c r="M759" s="122">
        <v>1255.8513442539415</v>
      </c>
      <c r="N759" s="122">
        <v>6907.4397587311487</v>
      </c>
      <c r="O759" s="122">
        <v>7160.4483593146642</v>
      </c>
      <c r="P759" s="122">
        <v>57999.659415654955</v>
      </c>
      <c r="Q759" s="122">
        <v>6526.2149526591375</v>
      </c>
      <c r="R759" s="122">
        <v>6591.0776668856952</v>
      </c>
      <c r="S759" s="122">
        <v>20557.837944663275</v>
      </c>
      <c r="T759" s="122">
        <v>89279.106937158766</v>
      </c>
      <c r="U759" s="122">
        <v>28475.370868859838</v>
      </c>
      <c r="V759" s="122"/>
      <c r="W759" s="54"/>
      <c r="X759" s="54"/>
      <c r="Y759" s="54"/>
      <c r="Z759" s="54"/>
      <c r="AA759" s="54"/>
      <c r="AB759" s="54"/>
      <c r="AC759" s="54"/>
      <c r="AD759" s="54"/>
      <c r="AE759" s="54"/>
      <c r="AF759" s="54"/>
      <c r="AG759" s="54"/>
      <c r="AH759" s="54"/>
      <c r="AI759" s="117">
        <f t="shared" si="223"/>
        <v>264342.76917212864</v>
      </c>
      <c r="AJ759" s="117">
        <f t="shared" si="224"/>
        <v>264342.76917212864</v>
      </c>
      <c r="AK759" s="117">
        <f t="shared" si="225"/>
        <v>0</v>
      </c>
      <c r="AL759" s="23"/>
      <c r="AM759" s="127" t="b">
        <f t="shared" si="226"/>
        <v>0</v>
      </c>
      <c r="AN759" s="127" t="str">
        <f t="shared" si="227"/>
        <v/>
      </c>
      <c r="AO759" s="129"/>
      <c r="AP759" s="129"/>
      <c r="AQ759" s="129"/>
      <c r="AR759" s="129"/>
      <c r="AS759" s="129">
        <v>1</v>
      </c>
      <c r="AT759" s="129">
        <v>1</v>
      </c>
      <c r="AU759" s="129"/>
      <c r="AV759" s="129"/>
      <c r="AW759" s="129"/>
      <c r="AX759" s="197"/>
      <c r="AY759" s="197"/>
      <c r="AZ759" s="197"/>
      <c r="BA759" s="197"/>
      <c r="BB759" s="129"/>
      <c r="BC759" s="129"/>
      <c r="BD759" s="129"/>
      <c r="BE759" s="129"/>
      <c r="BF759" s="129"/>
      <c r="BG759" s="129"/>
      <c r="BH759" s="129"/>
      <c r="BI759" s="129"/>
      <c r="BJ759" s="129"/>
      <c r="BK759" s="129"/>
      <c r="BL759" s="129"/>
      <c r="BM759" s="197"/>
      <c r="BN759"/>
    </row>
    <row r="760" spans="1:66" x14ac:dyDescent="0.25">
      <c r="A760" s="166"/>
      <c r="B760" s="166"/>
      <c r="C760" s="172"/>
      <c r="D760" s="49"/>
      <c r="E760" s="49"/>
      <c r="F760" s="54"/>
      <c r="G760" s="54"/>
      <c r="H760" s="54"/>
      <c r="I760" s="54"/>
      <c r="J760" s="54"/>
      <c r="K760" s="54"/>
      <c r="L760" s="54"/>
      <c r="M760" s="54"/>
      <c r="N760" s="54"/>
      <c r="O760" s="54"/>
      <c r="P760" s="54"/>
      <c r="Q760" s="54"/>
      <c r="R760" s="54"/>
      <c r="S760" s="54"/>
      <c r="T760" s="54"/>
      <c r="U760" s="54"/>
      <c r="V760" s="54"/>
      <c r="W760" s="55"/>
      <c r="X760" s="55"/>
      <c r="Y760" s="55"/>
      <c r="Z760" s="55"/>
      <c r="AA760" s="55"/>
      <c r="AB760" s="55"/>
      <c r="AC760" s="55"/>
      <c r="AD760" s="55"/>
      <c r="AE760" s="55"/>
      <c r="AF760" s="55"/>
      <c r="AG760" s="55"/>
      <c r="AH760" s="55"/>
      <c r="AI760" s="54"/>
      <c r="AJ760" s="54"/>
      <c r="AK760" s="54"/>
      <c r="AL760" s="23"/>
      <c r="AM760" s="127"/>
      <c r="AN760" s="127"/>
      <c r="AO760" s="129"/>
      <c r="AP760" s="129"/>
      <c r="AQ760" s="129"/>
      <c r="AR760" s="129"/>
      <c r="AS760" s="129"/>
      <c r="AT760" s="129"/>
      <c r="AU760" s="129"/>
      <c r="AV760" s="129"/>
      <c r="AW760" s="129"/>
      <c r="AX760" s="197"/>
      <c r="AY760" s="197"/>
      <c r="AZ760" s="197"/>
      <c r="BA760" s="197"/>
      <c r="BB760" s="129"/>
      <c r="BC760" s="129"/>
      <c r="BD760" s="129"/>
      <c r="BE760" s="129"/>
      <c r="BF760" s="129"/>
      <c r="BG760" s="129"/>
      <c r="BH760" s="129"/>
      <c r="BI760" s="129"/>
      <c r="BJ760" s="129"/>
      <c r="BK760" s="129"/>
      <c r="BL760" s="129"/>
      <c r="BM760" s="197"/>
    </row>
    <row r="761" spans="1:66" x14ac:dyDescent="0.25">
      <c r="A761" s="166"/>
      <c r="B761" s="166"/>
      <c r="C761" s="172"/>
      <c r="D761" s="46"/>
      <c r="E761" s="46"/>
      <c r="F761" s="54"/>
      <c r="G761" s="54"/>
      <c r="H761" s="54"/>
      <c r="I761" s="54"/>
      <c r="J761" s="54"/>
      <c r="K761" s="54"/>
      <c r="L761" s="54"/>
      <c r="M761" s="54"/>
      <c r="N761" s="54"/>
      <c r="O761" s="54"/>
      <c r="P761" s="54"/>
      <c r="Q761" s="54"/>
      <c r="R761" s="54"/>
      <c r="S761" s="54"/>
      <c r="T761" s="54"/>
      <c r="U761" s="54"/>
      <c r="V761" s="54"/>
      <c r="W761" s="55"/>
      <c r="X761" s="55"/>
      <c r="Y761" s="55"/>
      <c r="Z761" s="55"/>
      <c r="AA761" s="55"/>
      <c r="AB761" s="55"/>
      <c r="AC761" s="55"/>
      <c r="AD761" s="55"/>
      <c r="AE761" s="55"/>
      <c r="AF761" s="55"/>
      <c r="AG761" s="55"/>
      <c r="AH761" s="55"/>
      <c r="AI761" s="54"/>
      <c r="AJ761" s="54"/>
      <c r="AK761" s="54"/>
      <c r="AL761" s="23"/>
      <c r="AM761" s="127"/>
      <c r="AN761" s="127"/>
      <c r="AO761" s="129"/>
      <c r="AP761" s="129"/>
      <c r="AQ761" s="129"/>
      <c r="AR761" s="129"/>
      <c r="AS761" s="129"/>
      <c r="AT761" s="129"/>
      <c r="AU761" s="129"/>
      <c r="AV761" s="129"/>
      <c r="AW761" s="129"/>
      <c r="AX761" s="197"/>
      <c r="AY761" s="197"/>
      <c r="AZ761" s="197"/>
      <c r="BA761" s="197"/>
      <c r="BB761" s="129"/>
      <c r="BC761" s="129"/>
      <c r="BD761" s="129"/>
      <c r="BE761" s="129"/>
      <c r="BF761" s="129"/>
      <c r="BG761" s="129"/>
      <c r="BH761" s="129"/>
      <c r="BI761" s="129"/>
      <c r="BJ761" s="129"/>
      <c r="BK761" s="129"/>
      <c r="BL761" s="129"/>
      <c r="BM761" s="197"/>
    </row>
    <row r="762" spans="1:66" x14ac:dyDescent="0.25">
      <c r="A762" s="166" t="s">
        <v>126</v>
      </c>
      <c r="B762" s="166" t="s">
        <v>22</v>
      </c>
      <c r="C762" s="172" t="s">
        <v>396</v>
      </c>
      <c r="D762" s="161">
        <v>7</v>
      </c>
      <c r="E762" s="29" t="str">
        <f t="shared" ref="E762:E767" si="228">INDEX(ra_ScName,MATCH(D762,ra_ScNumber,0))</f>
        <v>Commissioned assets 2013–15</v>
      </c>
      <c r="F762" s="122">
        <v>7644</v>
      </c>
      <c r="G762" s="122">
        <v>7786</v>
      </c>
      <c r="H762" s="122">
        <v>2023</v>
      </c>
      <c r="I762" s="122">
        <v>4225</v>
      </c>
      <c r="J762" s="122">
        <v>5894</v>
      </c>
      <c r="K762" s="122">
        <v>2382</v>
      </c>
      <c r="L762" s="122">
        <v>3449</v>
      </c>
      <c r="M762" s="122">
        <v>1084.6002031156527</v>
      </c>
      <c r="N762" s="122">
        <v>6387.6247468541751</v>
      </c>
      <c r="O762" s="122">
        <v>6303</v>
      </c>
      <c r="P762" s="122">
        <v>52421.999999999993</v>
      </c>
      <c r="Q762" s="122">
        <v>5635.3221811466228</v>
      </c>
      <c r="R762" s="122">
        <v>5234</v>
      </c>
      <c r="S762" s="122">
        <v>16649.2682399277</v>
      </c>
      <c r="T762" s="122">
        <v>76573.310789910291</v>
      </c>
      <c r="U762" s="122">
        <v>25343.756747688079</v>
      </c>
      <c r="V762" s="122"/>
      <c r="W762" s="54"/>
      <c r="X762" s="54"/>
      <c r="Y762" s="54"/>
      <c r="Z762" s="54"/>
      <c r="AA762" s="54"/>
      <c r="AB762" s="54"/>
      <c r="AC762" s="54"/>
      <c r="AD762" s="54"/>
      <c r="AE762" s="54"/>
      <c r="AF762" s="54"/>
      <c r="AG762" s="54"/>
      <c r="AH762" s="54"/>
      <c r="AI762" s="117">
        <f t="shared" ref="AI762:AI767" si="229">SUM(F762:AH762)</f>
        <v>229035.8829086425</v>
      </c>
      <c r="AJ762" s="117">
        <f t="shared" ref="AJ762:AJ767" si="230">SUM(F762:U762)</f>
        <v>229035.8829086425</v>
      </c>
      <c r="AK762" s="117">
        <f t="shared" ref="AK762:AK767" si="231">SUM(W762:AH762)</f>
        <v>0</v>
      </c>
      <c r="AL762" s="23"/>
      <c r="AM762" s="127" t="b">
        <f t="shared" ref="AM762:AM767" si="232">IF(INDEX($AO762:$BM762,0,$F$14)=1,TRUE,FALSE)</f>
        <v>0</v>
      </c>
      <c r="AN762" s="127" t="str">
        <f t="shared" ref="AN762:AN767" si="233">IF(AM762,A762&amp;", "&amp;B762,"")</f>
        <v/>
      </c>
      <c r="AO762" s="129"/>
      <c r="AP762" s="129"/>
      <c r="AQ762" s="129"/>
      <c r="AR762" s="129"/>
      <c r="AS762" s="129"/>
      <c r="AT762" s="129"/>
      <c r="AU762" s="129">
        <v>1</v>
      </c>
      <c r="AV762" s="129"/>
      <c r="AW762" s="129"/>
      <c r="AX762" s="197"/>
      <c r="AY762" s="197"/>
      <c r="AZ762" s="197"/>
      <c r="BA762" s="197"/>
      <c r="BB762" s="129"/>
      <c r="BC762" s="129"/>
      <c r="BD762" s="129"/>
      <c r="BE762" s="129"/>
      <c r="BF762" s="129"/>
      <c r="BG762" s="129"/>
      <c r="BH762" s="129"/>
      <c r="BI762" s="129"/>
      <c r="BJ762" s="129"/>
      <c r="BK762" s="129"/>
      <c r="BL762" s="129"/>
      <c r="BM762" s="197"/>
    </row>
    <row r="763" spans="1:66" x14ac:dyDescent="0.25">
      <c r="A763" s="166" t="s">
        <v>126</v>
      </c>
      <c r="B763" s="166" t="s">
        <v>23</v>
      </c>
      <c r="C763" s="172" t="s">
        <v>396</v>
      </c>
      <c r="D763" s="161">
        <v>7</v>
      </c>
      <c r="E763" s="29" t="str">
        <f t="shared" si="228"/>
        <v>Commissioned assets 2013–15</v>
      </c>
      <c r="F763" s="122">
        <v>7761.3029581220562</v>
      </c>
      <c r="G763" s="122">
        <v>8081.7333333333336</v>
      </c>
      <c r="H763" s="122">
        <v>2078.9835143810369</v>
      </c>
      <c r="I763" s="122">
        <v>4334.231845352957</v>
      </c>
      <c r="J763" s="122">
        <v>6168.2436097180789</v>
      </c>
      <c r="K763" s="122">
        <v>2446.6052171407432</v>
      </c>
      <c r="L763" s="122">
        <v>3495.6234094332171</v>
      </c>
      <c r="M763" s="122">
        <v>1112.1113142267639</v>
      </c>
      <c r="N763" s="122">
        <v>6483.4469690763963</v>
      </c>
      <c r="O763" s="122">
        <v>6418.333333333333</v>
      </c>
      <c r="P763" s="122">
        <v>53337.872898626425</v>
      </c>
      <c r="Q763" s="122">
        <v>5795.7716123642067</v>
      </c>
      <c r="R763" s="122">
        <v>5376.2517526675592</v>
      </c>
      <c r="S763" s="122">
        <v>17426.695562926536</v>
      </c>
      <c r="T763" s="122">
        <v>79257.518297225819</v>
      </c>
      <c r="U763" s="122">
        <v>26111.326352307129</v>
      </c>
      <c r="V763" s="122"/>
      <c r="W763" s="54"/>
      <c r="X763" s="54"/>
      <c r="Y763" s="54"/>
      <c r="Z763" s="54"/>
      <c r="AA763" s="54"/>
      <c r="AB763" s="54"/>
      <c r="AC763" s="54"/>
      <c r="AD763" s="54"/>
      <c r="AE763" s="54"/>
      <c r="AF763" s="54"/>
      <c r="AG763" s="54"/>
      <c r="AH763" s="54"/>
      <c r="AI763" s="117">
        <f t="shared" si="229"/>
        <v>235686.05198023561</v>
      </c>
      <c r="AJ763" s="117">
        <f t="shared" si="230"/>
        <v>235686.05198023561</v>
      </c>
      <c r="AK763" s="117">
        <f t="shared" si="231"/>
        <v>0</v>
      </c>
      <c r="AL763" s="23"/>
      <c r="AM763" s="127" t="b">
        <f t="shared" si="232"/>
        <v>0</v>
      </c>
      <c r="AN763" s="127" t="str">
        <f t="shared" si="233"/>
        <v/>
      </c>
      <c r="AO763" s="129"/>
      <c r="AP763" s="129"/>
      <c r="AQ763" s="129"/>
      <c r="AR763" s="129"/>
      <c r="AS763" s="129"/>
      <c r="AT763" s="129"/>
      <c r="AU763" s="129">
        <v>1</v>
      </c>
      <c r="AV763" s="129"/>
      <c r="AW763" s="129"/>
      <c r="AX763" s="197"/>
      <c r="AY763" s="197"/>
      <c r="AZ763" s="197"/>
      <c r="BA763" s="197"/>
      <c r="BB763" s="129"/>
      <c r="BC763" s="129"/>
      <c r="BD763" s="129"/>
      <c r="BE763" s="129"/>
      <c r="BF763" s="129"/>
      <c r="BG763" s="129"/>
      <c r="BH763" s="129"/>
      <c r="BI763" s="129"/>
      <c r="BJ763" s="129"/>
      <c r="BK763" s="129"/>
      <c r="BL763" s="129"/>
      <c r="BM763" s="197"/>
    </row>
    <row r="764" spans="1:66" x14ac:dyDescent="0.25">
      <c r="A764" s="166" t="s">
        <v>126</v>
      </c>
      <c r="B764" s="166" t="s">
        <v>24</v>
      </c>
      <c r="C764" s="172" t="s">
        <v>396</v>
      </c>
      <c r="D764" s="161">
        <v>7</v>
      </c>
      <c r="E764" s="29" t="str">
        <f t="shared" si="228"/>
        <v>Commissioned assets 2013–15</v>
      </c>
      <c r="F764" s="122">
        <v>7971.1191502295596</v>
      </c>
      <c r="G764" s="122">
        <v>8439.549361187539</v>
      </c>
      <c r="H764" s="122">
        <v>2241.8366194921477</v>
      </c>
      <c r="I764" s="122">
        <v>4438.1993635940416</v>
      </c>
      <c r="J764" s="122">
        <v>6529.4623330817103</v>
      </c>
      <c r="K764" s="122">
        <v>2499.7593646279029</v>
      </c>
      <c r="L764" s="122">
        <v>3575.7361748319199</v>
      </c>
      <c r="M764" s="122">
        <v>1158.6224253378748</v>
      </c>
      <c r="N764" s="122">
        <v>6588.908323478835</v>
      </c>
      <c r="O764" s="122">
        <v>6578.8394437432808</v>
      </c>
      <c r="P764" s="122">
        <v>54612.481272064746</v>
      </c>
      <c r="Q764" s="122">
        <v>5943.3029621138057</v>
      </c>
      <c r="R764" s="122">
        <v>5611.242399774279</v>
      </c>
      <c r="S764" s="122">
        <v>18113.876235809708</v>
      </c>
      <c r="T764" s="122">
        <v>81692.138092521898</v>
      </c>
      <c r="U764" s="122">
        <v>26582.09866043723</v>
      </c>
      <c r="V764" s="122"/>
      <c r="W764" s="54"/>
      <c r="X764" s="54"/>
      <c r="Y764" s="54"/>
      <c r="Z764" s="54"/>
      <c r="AA764" s="54"/>
      <c r="AB764" s="54"/>
      <c r="AC764" s="54"/>
      <c r="AD764" s="54"/>
      <c r="AE764" s="54"/>
      <c r="AF764" s="54"/>
      <c r="AG764" s="54"/>
      <c r="AH764" s="54"/>
      <c r="AI764" s="117">
        <f t="shared" si="229"/>
        <v>242577.1721823265</v>
      </c>
      <c r="AJ764" s="117">
        <f t="shared" si="230"/>
        <v>242577.1721823265</v>
      </c>
      <c r="AK764" s="117">
        <f t="shared" si="231"/>
        <v>0</v>
      </c>
      <c r="AL764" s="23"/>
      <c r="AM764" s="127" t="b">
        <f t="shared" si="232"/>
        <v>0</v>
      </c>
      <c r="AN764" s="127" t="str">
        <f t="shared" si="233"/>
        <v/>
      </c>
      <c r="AO764" s="129"/>
      <c r="AP764" s="129"/>
      <c r="AQ764" s="129"/>
      <c r="AR764" s="129"/>
      <c r="AS764" s="129"/>
      <c r="AT764" s="129"/>
      <c r="AU764" s="129">
        <v>1</v>
      </c>
      <c r="AV764" s="129"/>
      <c r="AW764" s="129"/>
      <c r="AX764" s="197"/>
      <c r="AY764" s="197"/>
      <c r="AZ764" s="197"/>
      <c r="BA764" s="197"/>
      <c r="BB764" s="129"/>
      <c r="BC764" s="129"/>
      <c r="BD764" s="129"/>
      <c r="BE764" s="129"/>
      <c r="BF764" s="129"/>
      <c r="BG764" s="129"/>
      <c r="BH764" s="129"/>
      <c r="BI764" s="129"/>
      <c r="BJ764" s="129"/>
      <c r="BK764" s="129"/>
      <c r="BL764" s="129"/>
      <c r="BM764" s="197"/>
    </row>
    <row r="765" spans="1:66" x14ac:dyDescent="0.25">
      <c r="A765" s="166" t="s">
        <v>126</v>
      </c>
      <c r="B765" s="166" t="s">
        <v>25</v>
      </c>
      <c r="C765" s="172" t="s">
        <v>396</v>
      </c>
      <c r="D765" s="161">
        <v>7</v>
      </c>
      <c r="E765" s="29" t="str">
        <f t="shared" si="228"/>
        <v>Commissioned assets 2013–15</v>
      </c>
      <c r="F765" s="122">
        <v>8131.2992146668739</v>
      </c>
      <c r="G765" s="122">
        <v>8705.6565126241185</v>
      </c>
      <c r="H765" s="122">
        <v>2302.6887192699255</v>
      </c>
      <c r="I765" s="122">
        <v>4540.7876636976562</v>
      </c>
      <c r="J765" s="122">
        <v>6751.5353904311378</v>
      </c>
      <c r="K765" s="122">
        <v>2547.7436536620908</v>
      </c>
      <c r="L765" s="122">
        <v>3647.8005305611873</v>
      </c>
      <c r="M765" s="122">
        <v>1179.1113142267639</v>
      </c>
      <c r="N765" s="122">
        <v>6641.1481974918624</v>
      </c>
      <c r="O765" s="122">
        <v>6702.481604443311</v>
      </c>
      <c r="P765" s="122">
        <v>55648.915501300165</v>
      </c>
      <c r="Q765" s="122">
        <v>6139.043183352057</v>
      </c>
      <c r="R765" s="122">
        <v>5916.2274004103319</v>
      </c>
      <c r="S765" s="122">
        <v>18584.602303432934</v>
      </c>
      <c r="T765" s="122">
        <v>83328.401473344464</v>
      </c>
      <c r="U765" s="122">
        <v>26930.809771548342</v>
      </c>
      <c r="V765" s="122"/>
      <c r="W765" s="54"/>
      <c r="X765" s="54"/>
      <c r="Y765" s="54"/>
      <c r="Z765" s="54"/>
      <c r="AA765" s="54"/>
      <c r="AB765" s="54"/>
      <c r="AC765" s="54"/>
      <c r="AD765" s="54"/>
      <c r="AE765" s="54"/>
      <c r="AF765" s="54"/>
      <c r="AG765" s="54"/>
      <c r="AH765" s="54"/>
      <c r="AI765" s="117">
        <f t="shared" si="229"/>
        <v>247698.25243446321</v>
      </c>
      <c r="AJ765" s="117">
        <f t="shared" si="230"/>
        <v>247698.25243446321</v>
      </c>
      <c r="AK765" s="117">
        <f t="shared" si="231"/>
        <v>0</v>
      </c>
      <c r="AL765" s="23"/>
      <c r="AM765" s="127" t="b">
        <f t="shared" si="232"/>
        <v>0</v>
      </c>
      <c r="AN765" s="127" t="str">
        <f t="shared" si="233"/>
        <v/>
      </c>
      <c r="AO765" s="129"/>
      <c r="AP765" s="129"/>
      <c r="AQ765" s="129"/>
      <c r="AR765" s="129"/>
      <c r="AS765" s="129"/>
      <c r="AT765" s="129"/>
      <c r="AU765" s="129">
        <v>1</v>
      </c>
      <c r="AV765" s="129"/>
      <c r="AW765" s="129"/>
      <c r="AX765" s="197"/>
      <c r="AY765" s="197"/>
      <c r="AZ765" s="197"/>
      <c r="BA765" s="197"/>
      <c r="BB765" s="129"/>
      <c r="BC765" s="129"/>
      <c r="BD765" s="129"/>
      <c r="BE765" s="129"/>
      <c r="BF765" s="129"/>
      <c r="BG765" s="129"/>
      <c r="BH765" s="129"/>
      <c r="BI765" s="129"/>
      <c r="BJ765" s="129"/>
      <c r="BK765" s="129"/>
      <c r="BL765" s="129"/>
      <c r="BM765" s="197"/>
    </row>
    <row r="766" spans="1:66" x14ac:dyDescent="0.25">
      <c r="A766" s="166" t="s">
        <v>126</v>
      </c>
      <c r="B766" s="166" t="s">
        <v>26</v>
      </c>
      <c r="C766" s="172" t="s">
        <v>396</v>
      </c>
      <c r="D766" s="161">
        <v>7</v>
      </c>
      <c r="E766" s="29" t="str">
        <f t="shared" si="228"/>
        <v>Commissioned assets 2013–15</v>
      </c>
      <c r="F766" s="122">
        <v>8743.7077659480565</v>
      </c>
      <c r="G766" s="122">
        <v>8992.0120681796743</v>
      </c>
      <c r="H766" s="122">
        <v>2378.2735978219762</v>
      </c>
      <c r="I766" s="122">
        <v>4635.8397474146395</v>
      </c>
      <c r="J766" s="122">
        <v>7231.180302849205</v>
      </c>
      <c r="K766" s="122">
        <v>2628.1567529791091</v>
      </c>
      <c r="L766" s="122">
        <v>3793.7072916936859</v>
      </c>
      <c r="M766" s="122">
        <v>1214.6313142267638</v>
      </c>
      <c r="N766" s="122">
        <v>6710.3259752696404</v>
      </c>
      <c r="O766" s="122">
        <v>6926.9704933321991</v>
      </c>
      <c r="P766" s="122">
        <v>56788.073758426515</v>
      </c>
      <c r="Q766" s="122">
        <v>6316.1650272945471</v>
      </c>
      <c r="R766" s="122">
        <v>6568.351180292595</v>
      </c>
      <c r="S766" s="122">
        <v>19021.188896249096</v>
      </c>
      <c r="T766" s="122">
        <v>85570.366772312453</v>
      </c>
      <c r="U766" s="122">
        <v>27420.808932133874</v>
      </c>
      <c r="V766" s="122"/>
      <c r="W766" s="54"/>
      <c r="X766" s="54"/>
      <c r="Y766" s="54"/>
      <c r="Z766" s="54"/>
      <c r="AA766" s="54"/>
      <c r="AB766" s="54"/>
      <c r="AC766" s="54"/>
      <c r="AD766" s="54"/>
      <c r="AE766" s="54"/>
      <c r="AF766" s="54"/>
      <c r="AG766" s="54"/>
      <c r="AH766" s="54"/>
      <c r="AI766" s="117">
        <f t="shared" si="229"/>
        <v>254939.75987642401</v>
      </c>
      <c r="AJ766" s="117">
        <f t="shared" si="230"/>
        <v>254939.75987642401</v>
      </c>
      <c r="AK766" s="117">
        <f t="shared" si="231"/>
        <v>0</v>
      </c>
      <c r="AL766" s="23"/>
      <c r="AM766" s="127" t="b">
        <f t="shared" si="232"/>
        <v>0</v>
      </c>
      <c r="AN766" s="127" t="str">
        <f t="shared" si="233"/>
        <v/>
      </c>
      <c r="AO766" s="129"/>
      <c r="AP766" s="129"/>
      <c r="AQ766" s="129"/>
      <c r="AR766" s="129"/>
      <c r="AS766" s="129"/>
      <c r="AT766" s="129"/>
      <c r="AU766" s="129">
        <v>1</v>
      </c>
      <c r="AV766" s="129"/>
      <c r="AW766" s="129"/>
      <c r="AX766" s="197"/>
      <c r="AY766" s="197"/>
      <c r="AZ766" s="197"/>
      <c r="BA766" s="197"/>
      <c r="BB766" s="129"/>
      <c r="BC766" s="129"/>
      <c r="BD766" s="129"/>
      <c r="BE766" s="129"/>
      <c r="BF766" s="129"/>
      <c r="BG766" s="129"/>
      <c r="BH766" s="129"/>
      <c r="BI766" s="129"/>
      <c r="BJ766" s="129"/>
      <c r="BK766" s="129"/>
      <c r="BL766" s="129"/>
      <c r="BM766" s="197"/>
    </row>
    <row r="767" spans="1:66" x14ac:dyDescent="0.25">
      <c r="A767" s="166" t="s">
        <v>126</v>
      </c>
      <c r="B767" s="166" t="s">
        <v>27</v>
      </c>
      <c r="C767" s="172" t="s">
        <v>396</v>
      </c>
      <c r="D767" s="161">
        <v>7</v>
      </c>
      <c r="E767" s="29" t="str">
        <f t="shared" si="228"/>
        <v>Commissioned assets 2013–15</v>
      </c>
      <c r="F767" s="122">
        <v>8952.8883915714287</v>
      </c>
      <c r="G767" s="122">
        <v>9289.2120681796732</v>
      </c>
      <c r="H767" s="122">
        <v>2426.8952572971775</v>
      </c>
      <c r="I767" s="122">
        <v>4750.8605727695876</v>
      </c>
      <c r="J767" s="122">
        <v>7599.9077177972049</v>
      </c>
      <c r="K767" s="122">
        <v>2657.5285562973845</v>
      </c>
      <c r="L767" s="122">
        <v>3997.0259466274219</v>
      </c>
      <c r="M767" s="122">
        <v>1493.772043560097</v>
      </c>
      <c r="N767" s="122">
        <v>6916.5481974918621</v>
      </c>
      <c r="O767" s="122">
        <v>7088.8570711099783</v>
      </c>
      <c r="P767" s="122">
        <v>58415.669861211529</v>
      </c>
      <c r="Q767" s="122">
        <v>6513.5686678895263</v>
      </c>
      <c r="R767" s="122">
        <v>7013.2401663134688</v>
      </c>
      <c r="S767" s="122">
        <v>20093.374222426446</v>
      </c>
      <c r="T767" s="122">
        <v>88443.289310832173</v>
      </c>
      <c r="U767" s="122">
        <v>28130.195395112147</v>
      </c>
      <c r="V767" s="122"/>
      <c r="W767" s="54"/>
      <c r="X767" s="54"/>
      <c r="Y767" s="54"/>
      <c r="Z767" s="54"/>
      <c r="AA767" s="54"/>
      <c r="AB767" s="54"/>
      <c r="AC767" s="54"/>
      <c r="AD767" s="54"/>
      <c r="AE767" s="54"/>
      <c r="AF767" s="54"/>
      <c r="AG767" s="54"/>
      <c r="AH767" s="54"/>
      <c r="AI767" s="117">
        <f t="shared" si="229"/>
        <v>263782.83344648714</v>
      </c>
      <c r="AJ767" s="117">
        <f t="shared" si="230"/>
        <v>263782.83344648714</v>
      </c>
      <c r="AK767" s="117">
        <f t="shared" si="231"/>
        <v>0</v>
      </c>
      <c r="AL767" s="23"/>
      <c r="AM767" s="127" t="b">
        <f t="shared" si="232"/>
        <v>0</v>
      </c>
      <c r="AN767" s="127" t="str">
        <f t="shared" si="233"/>
        <v/>
      </c>
      <c r="AO767" s="129"/>
      <c r="AP767" s="129"/>
      <c r="AQ767" s="129"/>
      <c r="AR767" s="129"/>
      <c r="AS767" s="129"/>
      <c r="AT767" s="129"/>
      <c r="AU767" s="129">
        <v>1</v>
      </c>
      <c r="AV767" s="129"/>
      <c r="AW767" s="129"/>
      <c r="AX767" s="197"/>
      <c r="AY767" s="197"/>
      <c r="AZ767" s="197"/>
      <c r="BA767" s="197"/>
      <c r="BB767" s="129"/>
      <c r="BC767" s="129"/>
      <c r="BD767" s="129"/>
      <c r="BE767" s="129"/>
      <c r="BF767" s="129"/>
      <c r="BG767" s="129"/>
      <c r="BH767" s="129"/>
      <c r="BI767" s="129"/>
      <c r="BJ767" s="129"/>
      <c r="BK767" s="129"/>
      <c r="BL767" s="129"/>
      <c r="BM767" s="197"/>
    </row>
    <row r="768" spans="1:66" s="4" customFormat="1" x14ac:dyDescent="0.25">
      <c r="A768" s="177"/>
      <c r="B768" s="177"/>
      <c r="C768" s="177"/>
      <c r="D768" s="25"/>
      <c r="E768" s="25"/>
      <c r="F768" s="25"/>
      <c r="G768" s="25"/>
      <c r="H768" s="25"/>
      <c r="I768" s="25"/>
      <c r="J768" s="25"/>
      <c r="K768" s="25"/>
      <c r="L768" s="25"/>
      <c r="M768" s="26"/>
      <c r="N768" s="26"/>
      <c r="O768" s="26"/>
      <c r="P768" s="26"/>
      <c r="Q768" s="26"/>
      <c r="R768" s="26"/>
      <c r="S768" s="26"/>
      <c r="T768" s="26"/>
      <c r="U768" s="26"/>
      <c r="V768" s="25"/>
      <c r="W768" s="23"/>
      <c r="X768" s="23"/>
      <c r="Y768" s="23"/>
      <c r="Z768" s="23"/>
      <c r="AA768" s="23"/>
      <c r="AB768" s="23"/>
      <c r="AC768" s="23"/>
      <c r="AD768" s="23"/>
      <c r="AE768" s="23"/>
      <c r="AF768" s="23"/>
      <c r="AG768" s="23"/>
      <c r="AH768" s="23"/>
      <c r="AI768" s="54"/>
      <c r="AJ768" s="54"/>
      <c r="AK768" s="54"/>
      <c r="AL768" s="23"/>
      <c r="AM768" s="127"/>
      <c r="AN768" s="127"/>
      <c r="AO768" s="129"/>
      <c r="AP768" s="129"/>
      <c r="AQ768" s="129"/>
      <c r="AR768" s="129"/>
      <c r="AS768" s="129"/>
      <c r="AT768" s="129"/>
      <c r="AU768" s="129"/>
      <c r="AV768" s="129"/>
      <c r="AW768" s="129"/>
      <c r="AX768" s="197"/>
      <c r="AY768" s="197"/>
      <c r="AZ768" s="197"/>
      <c r="BA768" s="197"/>
      <c r="BB768" s="129"/>
      <c r="BC768" s="129"/>
      <c r="BD768" s="129"/>
      <c r="BE768" s="129"/>
      <c r="BF768" s="129"/>
      <c r="BG768" s="129"/>
      <c r="BH768" s="129"/>
      <c r="BI768" s="129"/>
      <c r="BJ768" s="129"/>
      <c r="BK768" s="129"/>
      <c r="BL768" s="129"/>
      <c r="BM768" s="197"/>
    </row>
    <row r="769" spans="1:65" s="4" customFormat="1" x14ac:dyDescent="0.25">
      <c r="A769" s="177"/>
      <c r="B769" s="177"/>
      <c r="C769" s="177"/>
      <c r="D769" s="46"/>
      <c r="E769" s="46"/>
      <c r="F769" s="54"/>
      <c r="G769" s="54"/>
      <c r="H769" s="54"/>
      <c r="I769" s="54"/>
      <c r="J769" s="54"/>
      <c r="K769" s="54"/>
      <c r="L769" s="54"/>
      <c r="M769" s="54"/>
      <c r="N769" s="54"/>
      <c r="O769" s="54"/>
      <c r="P769" s="54"/>
      <c r="Q769" s="54"/>
      <c r="R769" s="54"/>
      <c r="S769" s="54"/>
      <c r="T769" s="54"/>
      <c r="U769" s="54"/>
      <c r="V769" s="54"/>
      <c r="W769" s="55"/>
      <c r="X769" s="55"/>
      <c r="Y769" s="55"/>
      <c r="Z769" s="55"/>
      <c r="AA769" s="55"/>
      <c r="AB769" s="55"/>
      <c r="AC769" s="55"/>
      <c r="AD769" s="55"/>
      <c r="AE769" s="55"/>
      <c r="AF769" s="55"/>
      <c r="AG769" s="55"/>
      <c r="AH769" s="55"/>
      <c r="AI769" s="54"/>
      <c r="AJ769" s="54"/>
      <c r="AK769" s="54"/>
      <c r="AL769" s="23"/>
      <c r="AM769" s="127"/>
      <c r="AN769" s="127"/>
      <c r="AO769" s="129"/>
      <c r="AP769" s="129"/>
      <c r="AQ769" s="129"/>
      <c r="AR769" s="129"/>
      <c r="AS769" s="129"/>
      <c r="AT769" s="129"/>
      <c r="AU769" s="129"/>
      <c r="AV769" s="129"/>
      <c r="AW769" s="129"/>
      <c r="AX769" s="197"/>
      <c r="AY769" s="197"/>
      <c r="AZ769" s="197"/>
      <c r="BA769" s="197"/>
      <c r="BB769" s="129"/>
      <c r="BC769" s="129"/>
      <c r="BD769" s="129"/>
      <c r="BE769" s="129"/>
      <c r="BF769" s="129"/>
      <c r="BG769" s="129"/>
      <c r="BH769" s="129"/>
      <c r="BI769" s="129"/>
      <c r="BJ769" s="129"/>
      <c r="BK769" s="129"/>
      <c r="BL769" s="129"/>
      <c r="BM769" s="197"/>
    </row>
    <row r="770" spans="1:65" s="4" customFormat="1" x14ac:dyDescent="0.25">
      <c r="A770" s="177" t="s">
        <v>126</v>
      </c>
      <c r="B770" s="177" t="s">
        <v>22</v>
      </c>
      <c r="C770" s="177" t="s">
        <v>402</v>
      </c>
      <c r="D770" s="161">
        <v>8</v>
      </c>
      <c r="E770" s="29" t="str">
        <f t="shared" ref="E770:E775" si="234">INDEX(ra_ScName,MATCH(D770,ra_ScNumber,0))</f>
        <v>Asset disposals 2013–15</v>
      </c>
      <c r="F770" s="122">
        <v>7644</v>
      </c>
      <c r="G770" s="122">
        <v>7786</v>
      </c>
      <c r="H770" s="122">
        <v>2023</v>
      </c>
      <c r="I770" s="122">
        <v>4225</v>
      </c>
      <c r="J770" s="122">
        <v>5894</v>
      </c>
      <c r="K770" s="122">
        <v>2382</v>
      </c>
      <c r="L770" s="122">
        <v>3449</v>
      </c>
      <c r="M770" s="122">
        <v>1084.6002031156527</v>
      </c>
      <c r="N770" s="122">
        <v>6387.6247468541751</v>
      </c>
      <c r="O770" s="122">
        <v>6303</v>
      </c>
      <c r="P770" s="122">
        <v>52422</v>
      </c>
      <c r="Q770" s="122">
        <v>5635.3221811466228</v>
      </c>
      <c r="R770" s="122">
        <v>5234</v>
      </c>
      <c r="S770" s="122">
        <v>16649.2682399277</v>
      </c>
      <c r="T770" s="122">
        <v>76573.310789910291</v>
      </c>
      <c r="U770" s="122">
        <v>25343.756747688079</v>
      </c>
      <c r="V770" s="122"/>
      <c r="W770" s="122"/>
      <c r="X770" s="122"/>
      <c r="Y770" s="122"/>
      <c r="Z770" s="122"/>
      <c r="AA770" s="122"/>
      <c r="AB770" s="122"/>
      <c r="AC770" s="122"/>
      <c r="AD770" s="122"/>
      <c r="AE770" s="122"/>
      <c r="AF770" s="122"/>
      <c r="AG770" s="122"/>
      <c r="AH770" s="122"/>
      <c r="AI770" s="117">
        <f t="shared" ref="AI770:AI775" si="235">SUM(F770:AH770)</f>
        <v>229035.8829086425</v>
      </c>
      <c r="AJ770" s="117">
        <f t="shared" ref="AJ770:AJ775" si="236">SUM(F770:U770)</f>
        <v>229035.8829086425</v>
      </c>
      <c r="AK770" s="117">
        <f t="shared" ref="AK770:AK775" si="237">SUM(W770:AH770)</f>
        <v>0</v>
      </c>
      <c r="AL770" s="23"/>
      <c r="AM770" s="127" t="b">
        <f t="shared" ref="AM770:AM775" si="238">IF(INDEX($AO770:$BM770,0,$F$14)=1,TRUE,FALSE)</f>
        <v>0</v>
      </c>
      <c r="AN770" s="127" t="str">
        <f t="shared" ref="AN770:AN775" si="239">IF(AM770,A770&amp;", "&amp;B770,"")</f>
        <v/>
      </c>
      <c r="AO770" s="129"/>
      <c r="AP770" s="129"/>
      <c r="AQ770" s="129"/>
      <c r="AR770" s="129"/>
      <c r="AS770" s="129"/>
      <c r="AT770" s="129"/>
      <c r="AU770" s="129"/>
      <c r="AV770" s="129">
        <v>1</v>
      </c>
      <c r="AW770" s="129"/>
      <c r="AX770" s="197"/>
      <c r="AY770" s="197"/>
      <c r="AZ770" s="197"/>
      <c r="BA770" s="197"/>
      <c r="BB770" s="129"/>
      <c r="BC770" s="129"/>
      <c r="BD770" s="129"/>
      <c r="BE770" s="129"/>
      <c r="BF770" s="129"/>
      <c r="BG770" s="129"/>
      <c r="BH770" s="129"/>
      <c r="BI770" s="129"/>
      <c r="BJ770" s="129"/>
      <c r="BK770" s="129"/>
      <c r="BL770" s="129">
        <v>1</v>
      </c>
      <c r="BM770" s="197"/>
    </row>
    <row r="771" spans="1:65" s="4" customFormat="1" x14ac:dyDescent="0.25">
      <c r="A771" s="177" t="s">
        <v>126</v>
      </c>
      <c r="B771" s="177" t="s">
        <v>23</v>
      </c>
      <c r="C771" s="177" t="s">
        <v>402</v>
      </c>
      <c r="D771" s="161">
        <v>8</v>
      </c>
      <c r="E771" s="29" t="str">
        <f t="shared" si="234"/>
        <v>Asset disposals 2013–15</v>
      </c>
      <c r="F771" s="122">
        <v>7761.3029581220562</v>
      </c>
      <c r="G771" s="122">
        <v>8081.7333333333336</v>
      </c>
      <c r="H771" s="122">
        <v>2078.9835143810369</v>
      </c>
      <c r="I771" s="122">
        <v>4334.231845352957</v>
      </c>
      <c r="J771" s="122">
        <v>6168.2436097180789</v>
      </c>
      <c r="K771" s="122">
        <v>2446.6052171407432</v>
      </c>
      <c r="L771" s="122">
        <v>3495.6234094332171</v>
      </c>
      <c r="M771" s="122">
        <v>1112.1113142267639</v>
      </c>
      <c r="N771" s="122">
        <v>6483.4469690763963</v>
      </c>
      <c r="O771" s="122">
        <v>6418.333333333333</v>
      </c>
      <c r="P771" s="122">
        <v>53337.872898626425</v>
      </c>
      <c r="Q771" s="122">
        <v>5795.7716123642067</v>
      </c>
      <c r="R771" s="122">
        <v>5376.2517526675592</v>
      </c>
      <c r="S771" s="122">
        <v>17426.695562926536</v>
      </c>
      <c r="T771" s="122">
        <v>79257.518297225819</v>
      </c>
      <c r="U771" s="122">
        <v>26111.326352307129</v>
      </c>
      <c r="V771" s="122"/>
      <c r="W771" s="122"/>
      <c r="X771" s="122"/>
      <c r="Y771" s="122"/>
      <c r="Z771" s="122"/>
      <c r="AA771" s="122"/>
      <c r="AB771" s="122"/>
      <c r="AC771" s="122"/>
      <c r="AD771" s="122"/>
      <c r="AE771" s="122"/>
      <c r="AF771" s="122"/>
      <c r="AG771" s="122"/>
      <c r="AH771" s="122"/>
      <c r="AI771" s="117">
        <f t="shared" si="235"/>
        <v>235686.05198023561</v>
      </c>
      <c r="AJ771" s="117">
        <f t="shared" si="236"/>
        <v>235686.05198023561</v>
      </c>
      <c r="AK771" s="117">
        <f t="shared" si="237"/>
        <v>0</v>
      </c>
      <c r="AL771" s="23"/>
      <c r="AM771" s="127" t="b">
        <f t="shared" si="238"/>
        <v>0</v>
      </c>
      <c r="AN771" s="127" t="str">
        <f t="shared" si="239"/>
        <v/>
      </c>
      <c r="AO771" s="129"/>
      <c r="AP771" s="129"/>
      <c r="AQ771" s="129"/>
      <c r="AR771" s="129"/>
      <c r="AS771" s="129"/>
      <c r="AT771" s="129"/>
      <c r="AU771" s="129"/>
      <c r="AV771" s="129">
        <v>1</v>
      </c>
      <c r="AW771" s="129"/>
      <c r="AX771" s="197"/>
      <c r="AY771" s="197"/>
      <c r="AZ771" s="197"/>
      <c r="BA771" s="197"/>
      <c r="BB771" s="129"/>
      <c r="BC771" s="129"/>
      <c r="BD771" s="129"/>
      <c r="BE771" s="129"/>
      <c r="BF771" s="129"/>
      <c r="BG771" s="129"/>
      <c r="BH771" s="129"/>
      <c r="BI771" s="129"/>
      <c r="BJ771" s="129"/>
      <c r="BK771" s="129"/>
      <c r="BL771" s="129">
        <v>1</v>
      </c>
      <c r="BM771" s="197"/>
    </row>
    <row r="772" spans="1:65" s="4" customFormat="1" x14ac:dyDescent="0.25">
      <c r="A772" s="177" t="s">
        <v>126</v>
      </c>
      <c r="B772" s="177" t="s">
        <v>24</v>
      </c>
      <c r="C772" s="177" t="s">
        <v>402</v>
      </c>
      <c r="D772" s="161">
        <v>8</v>
      </c>
      <c r="E772" s="29" t="str">
        <f t="shared" si="234"/>
        <v>Asset disposals 2013–15</v>
      </c>
      <c r="F772" s="122">
        <v>7971.1191502295596</v>
      </c>
      <c r="G772" s="122">
        <v>8439.549361187539</v>
      </c>
      <c r="H772" s="122">
        <v>2241.8366194921477</v>
      </c>
      <c r="I772" s="122">
        <v>4438.1993635940416</v>
      </c>
      <c r="J772" s="122">
        <v>6529.4623330817103</v>
      </c>
      <c r="K772" s="122">
        <v>2499.7593646279029</v>
      </c>
      <c r="L772" s="122">
        <v>3575.7361748319199</v>
      </c>
      <c r="M772" s="122">
        <v>1158.6224253378748</v>
      </c>
      <c r="N772" s="122">
        <v>6588.908323478835</v>
      </c>
      <c r="O772" s="122">
        <v>6578.8394437432808</v>
      </c>
      <c r="P772" s="122">
        <v>54612.481272064746</v>
      </c>
      <c r="Q772" s="122">
        <v>5943.3029621138057</v>
      </c>
      <c r="R772" s="122">
        <v>5611.242399774279</v>
      </c>
      <c r="S772" s="122">
        <v>18113.876235809708</v>
      </c>
      <c r="T772" s="122">
        <v>81692.138092521898</v>
      </c>
      <c r="U772" s="122">
        <v>26582.09866043723</v>
      </c>
      <c r="V772" s="122"/>
      <c r="W772" s="122"/>
      <c r="X772" s="122"/>
      <c r="Y772" s="122"/>
      <c r="Z772" s="122"/>
      <c r="AA772" s="122"/>
      <c r="AB772" s="122"/>
      <c r="AC772" s="122"/>
      <c r="AD772" s="122"/>
      <c r="AE772" s="122"/>
      <c r="AF772" s="122"/>
      <c r="AG772" s="122"/>
      <c r="AH772" s="122"/>
      <c r="AI772" s="117">
        <f t="shared" si="235"/>
        <v>242577.1721823265</v>
      </c>
      <c r="AJ772" s="117">
        <f t="shared" si="236"/>
        <v>242577.1721823265</v>
      </c>
      <c r="AK772" s="117">
        <f t="shared" si="237"/>
        <v>0</v>
      </c>
      <c r="AL772" s="23"/>
      <c r="AM772" s="127" t="b">
        <f t="shared" si="238"/>
        <v>0</v>
      </c>
      <c r="AN772" s="127" t="str">
        <f t="shared" si="239"/>
        <v/>
      </c>
      <c r="AO772" s="129"/>
      <c r="AP772" s="129"/>
      <c r="AQ772" s="129"/>
      <c r="AR772" s="129"/>
      <c r="AS772" s="129"/>
      <c r="AT772" s="129"/>
      <c r="AU772" s="129"/>
      <c r="AV772" s="129">
        <v>1</v>
      </c>
      <c r="AW772" s="129"/>
      <c r="AX772" s="197"/>
      <c r="AY772" s="197"/>
      <c r="AZ772" s="197"/>
      <c r="BA772" s="197"/>
      <c r="BB772" s="129"/>
      <c r="BC772" s="129"/>
      <c r="BD772" s="129"/>
      <c r="BE772" s="129"/>
      <c r="BF772" s="129"/>
      <c r="BG772" s="129"/>
      <c r="BH772" s="129"/>
      <c r="BI772" s="129"/>
      <c r="BJ772" s="129"/>
      <c r="BK772" s="129"/>
      <c r="BL772" s="129">
        <v>1</v>
      </c>
      <c r="BM772" s="197"/>
    </row>
    <row r="773" spans="1:65" s="4" customFormat="1" x14ac:dyDescent="0.25">
      <c r="A773" s="177" t="s">
        <v>126</v>
      </c>
      <c r="B773" s="177" t="s">
        <v>25</v>
      </c>
      <c r="C773" s="177" t="s">
        <v>402</v>
      </c>
      <c r="D773" s="161">
        <v>8</v>
      </c>
      <c r="E773" s="29" t="str">
        <f t="shared" si="234"/>
        <v>Asset disposals 2013–15</v>
      </c>
      <c r="F773" s="122">
        <v>8131.2992146668739</v>
      </c>
      <c r="G773" s="122">
        <v>8705.6565126241185</v>
      </c>
      <c r="H773" s="122">
        <v>2302.6887192699255</v>
      </c>
      <c r="I773" s="122">
        <v>4540.7876636976562</v>
      </c>
      <c r="J773" s="122">
        <v>6751.5353904311378</v>
      </c>
      <c r="K773" s="122">
        <v>2547.7436536620908</v>
      </c>
      <c r="L773" s="122">
        <v>3647.8005305611873</v>
      </c>
      <c r="M773" s="122">
        <v>1179.1113142267639</v>
      </c>
      <c r="N773" s="122">
        <v>6641.1481974918624</v>
      </c>
      <c r="O773" s="122">
        <v>6702.481604443311</v>
      </c>
      <c r="P773" s="122">
        <v>55648.915501300165</v>
      </c>
      <c r="Q773" s="122">
        <v>6139.043183352057</v>
      </c>
      <c r="R773" s="122">
        <v>5916.2274004103319</v>
      </c>
      <c r="S773" s="122">
        <v>18584.602303432934</v>
      </c>
      <c r="T773" s="122">
        <v>83328.401473344464</v>
      </c>
      <c r="U773" s="122">
        <v>26930.809771548342</v>
      </c>
      <c r="V773" s="122"/>
      <c r="W773" s="122"/>
      <c r="X773" s="122"/>
      <c r="Y773" s="122"/>
      <c r="Z773" s="122"/>
      <c r="AA773" s="122"/>
      <c r="AB773" s="122"/>
      <c r="AC773" s="122"/>
      <c r="AD773" s="122"/>
      <c r="AE773" s="122"/>
      <c r="AF773" s="122"/>
      <c r="AG773" s="122"/>
      <c r="AH773" s="122"/>
      <c r="AI773" s="117">
        <f t="shared" si="235"/>
        <v>247698.25243446321</v>
      </c>
      <c r="AJ773" s="117">
        <f t="shared" si="236"/>
        <v>247698.25243446321</v>
      </c>
      <c r="AK773" s="117">
        <f t="shared" si="237"/>
        <v>0</v>
      </c>
      <c r="AL773" s="23"/>
      <c r="AM773" s="127" t="b">
        <f t="shared" si="238"/>
        <v>0</v>
      </c>
      <c r="AN773" s="127" t="str">
        <f t="shared" si="239"/>
        <v/>
      </c>
      <c r="AO773" s="129"/>
      <c r="AP773" s="129"/>
      <c r="AQ773" s="129"/>
      <c r="AR773" s="129"/>
      <c r="AS773" s="129"/>
      <c r="AT773" s="129"/>
      <c r="AU773" s="129"/>
      <c r="AV773" s="129">
        <v>1</v>
      </c>
      <c r="AW773" s="129"/>
      <c r="AX773" s="197"/>
      <c r="AY773" s="197"/>
      <c r="AZ773" s="197"/>
      <c r="BA773" s="197"/>
      <c r="BB773" s="129"/>
      <c r="BC773" s="129"/>
      <c r="BD773" s="129"/>
      <c r="BE773" s="129"/>
      <c r="BF773" s="129"/>
      <c r="BG773" s="129"/>
      <c r="BH773" s="129"/>
      <c r="BI773" s="129"/>
      <c r="BJ773" s="129"/>
      <c r="BK773" s="129"/>
      <c r="BL773" s="129">
        <v>1</v>
      </c>
      <c r="BM773" s="197"/>
    </row>
    <row r="774" spans="1:65" s="4" customFormat="1" x14ac:dyDescent="0.25">
      <c r="A774" s="177" t="s">
        <v>126</v>
      </c>
      <c r="B774" s="177" t="s">
        <v>26</v>
      </c>
      <c r="C774" s="177" t="s">
        <v>402</v>
      </c>
      <c r="D774" s="161">
        <v>8</v>
      </c>
      <c r="E774" s="29" t="str">
        <f t="shared" si="234"/>
        <v>Asset disposals 2013–15</v>
      </c>
      <c r="F774" s="122">
        <v>8730.1155883568554</v>
      </c>
      <c r="G774" s="122">
        <v>8992.0120681796743</v>
      </c>
      <c r="H774" s="122">
        <v>2380.9664061588142</v>
      </c>
      <c r="I774" s="122">
        <v>4637.0924199034898</v>
      </c>
      <c r="J774" s="122">
        <v>7213.9281333546151</v>
      </c>
      <c r="K774" s="122">
        <v>2623.6893907380017</v>
      </c>
      <c r="L774" s="122">
        <v>3780.122458477525</v>
      </c>
      <c r="M774" s="122">
        <v>1214.6313142267638</v>
      </c>
      <c r="N774" s="122">
        <v>6691.1093715607749</v>
      </c>
      <c r="O774" s="122">
        <v>6926.3746664824694</v>
      </c>
      <c r="P774" s="122">
        <v>56975.283606279248</v>
      </c>
      <c r="Q774" s="122">
        <v>6315.8161700325727</v>
      </c>
      <c r="R774" s="122">
        <v>6567.3144361796085</v>
      </c>
      <c r="S774" s="122">
        <v>19006.823872273741</v>
      </c>
      <c r="T774" s="122">
        <v>85729.260731782997</v>
      </c>
      <c r="U774" s="122">
        <v>27421.851429452039</v>
      </c>
      <c r="V774" s="122"/>
      <c r="W774" s="122"/>
      <c r="X774" s="122"/>
      <c r="Y774" s="122"/>
      <c r="Z774" s="122"/>
      <c r="AA774" s="122"/>
      <c r="AB774" s="122"/>
      <c r="AC774" s="122"/>
      <c r="AD774" s="122"/>
      <c r="AE774" s="122"/>
      <c r="AF774" s="122"/>
      <c r="AG774" s="122"/>
      <c r="AH774" s="122"/>
      <c r="AI774" s="117">
        <f t="shared" si="235"/>
        <v>255206.39206343918</v>
      </c>
      <c r="AJ774" s="117">
        <f t="shared" si="236"/>
        <v>255206.39206343918</v>
      </c>
      <c r="AK774" s="117">
        <f t="shared" si="237"/>
        <v>0</v>
      </c>
      <c r="AL774" s="23"/>
      <c r="AM774" s="127" t="b">
        <f t="shared" si="238"/>
        <v>0</v>
      </c>
      <c r="AN774" s="127" t="str">
        <f t="shared" si="239"/>
        <v/>
      </c>
      <c r="AO774" s="129"/>
      <c r="AP774" s="129"/>
      <c r="AQ774" s="129"/>
      <c r="AR774" s="129"/>
      <c r="AS774" s="129"/>
      <c r="AT774" s="129"/>
      <c r="AU774" s="129"/>
      <c r="AV774" s="129">
        <v>1</v>
      </c>
      <c r="AW774" s="129"/>
      <c r="AX774" s="197"/>
      <c r="AY774" s="197"/>
      <c r="AZ774" s="197"/>
      <c r="BA774" s="197"/>
      <c r="BB774" s="129"/>
      <c r="BC774" s="129"/>
      <c r="BD774" s="129"/>
      <c r="BE774" s="129"/>
      <c r="BF774" s="129"/>
      <c r="BG774" s="129"/>
      <c r="BH774" s="129"/>
      <c r="BI774" s="129"/>
      <c r="BJ774" s="129"/>
      <c r="BK774" s="129"/>
      <c r="BL774" s="129">
        <v>1</v>
      </c>
      <c r="BM774" s="197"/>
    </row>
    <row r="775" spans="1:65" s="4" customFormat="1" x14ac:dyDescent="0.25">
      <c r="A775" s="177" t="s">
        <v>126</v>
      </c>
      <c r="B775" s="177" t="s">
        <v>27</v>
      </c>
      <c r="C775" s="177" t="s">
        <v>402</v>
      </c>
      <c r="D775" s="161">
        <v>8</v>
      </c>
      <c r="E775" s="29" t="str">
        <f t="shared" si="234"/>
        <v>Asset disposals 2013–15</v>
      </c>
      <c r="F775" s="122">
        <v>8963.5286186989342</v>
      </c>
      <c r="G775" s="122">
        <v>9285.140470217917</v>
      </c>
      <c r="H775" s="122">
        <v>2432.3947840448081</v>
      </c>
      <c r="I775" s="122">
        <v>4758.7719355402869</v>
      </c>
      <c r="J775" s="122">
        <v>7565.429866070438</v>
      </c>
      <c r="K775" s="122">
        <v>2644.645943068339</v>
      </c>
      <c r="L775" s="122">
        <v>3982.1125389011672</v>
      </c>
      <c r="M775" s="122">
        <v>1493.772043560097</v>
      </c>
      <c r="N775" s="122">
        <v>6882.5322819794746</v>
      </c>
      <c r="O775" s="122">
        <v>7087.057447821795</v>
      </c>
      <c r="P775" s="122">
        <v>58802.212996233226</v>
      </c>
      <c r="Q775" s="122">
        <v>6513.187381953825</v>
      </c>
      <c r="R775" s="122">
        <v>7010.7532485634547</v>
      </c>
      <c r="S775" s="122">
        <v>19823.925861331176</v>
      </c>
      <c r="T775" s="122">
        <v>88566.367135714885</v>
      </c>
      <c r="U775" s="122">
        <v>28109.002959825528</v>
      </c>
      <c r="V775" s="122"/>
      <c r="W775" s="122"/>
      <c r="X775" s="122"/>
      <c r="Y775" s="122"/>
      <c r="Z775" s="122"/>
      <c r="AA775" s="122"/>
      <c r="AB775" s="122"/>
      <c r="AC775" s="122"/>
      <c r="AD775" s="122"/>
      <c r="AE775" s="122"/>
      <c r="AF775" s="122"/>
      <c r="AG775" s="122"/>
      <c r="AH775" s="122"/>
      <c r="AI775" s="117">
        <f t="shared" si="235"/>
        <v>263920.83551352535</v>
      </c>
      <c r="AJ775" s="117">
        <f t="shared" si="236"/>
        <v>263920.83551352535</v>
      </c>
      <c r="AK775" s="117">
        <f t="shared" si="237"/>
        <v>0</v>
      </c>
      <c r="AL775" s="23"/>
      <c r="AM775" s="127" t="b">
        <f t="shared" si="238"/>
        <v>0</v>
      </c>
      <c r="AN775" s="127" t="str">
        <f t="shared" si="239"/>
        <v/>
      </c>
      <c r="AO775" s="129"/>
      <c r="AP775" s="129"/>
      <c r="AQ775" s="129"/>
      <c r="AR775" s="129"/>
      <c r="AS775" s="129"/>
      <c r="AT775" s="129"/>
      <c r="AU775" s="129"/>
      <c r="AV775" s="129">
        <v>1</v>
      </c>
      <c r="AW775" s="129"/>
      <c r="AX775" s="197"/>
      <c r="AY775" s="197"/>
      <c r="AZ775" s="197"/>
      <c r="BA775" s="197"/>
      <c r="BB775" s="129"/>
      <c r="BC775" s="129"/>
      <c r="BD775" s="129"/>
      <c r="BE775" s="129"/>
      <c r="BF775" s="129"/>
      <c r="BG775" s="129"/>
      <c r="BH775" s="129"/>
      <c r="BI775" s="129"/>
      <c r="BJ775" s="129"/>
      <c r="BK775" s="129"/>
      <c r="BL775" s="129">
        <v>1</v>
      </c>
      <c r="BM775" s="197"/>
    </row>
    <row r="776" spans="1:65" x14ac:dyDescent="0.25">
      <c r="A776" s="121"/>
      <c r="B776" s="121"/>
      <c r="C776" s="172"/>
      <c r="D776" s="25"/>
      <c r="E776" s="25"/>
      <c r="F776" s="25"/>
      <c r="G776" s="25"/>
      <c r="H776" s="25"/>
      <c r="I776" s="25"/>
      <c r="J776" s="25"/>
      <c r="K776" s="25"/>
      <c r="L776" s="25"/>
      <c r="M776" s="26"/>
      <c r="N776" s="26"/>
      <c r="O776" s="26"/>
      <c r="P776" s="26"/>
      <c r="Q776" s="26"/>
      <c r="R776" s="26"/>
      <c r="S776" s="26"/>
      <c r="T776" s="26"/>
      <c r="U776" s="26"/>
      <c r="V776" s="25"/>
      <c r="W776" s="23"/>
      <c r="X776" s="23"/>
      <c r="Y776" s="23"/>
      <c r="Z776" s="23"/>
      <c r="AA776" s="23"/>
      <c r="AB776" s="23"/>
      <c r="AC776" s="23"/>
      <c r="AD776" s="23"/>
      <c r="AE776" s="23"/>
      <c r="AF776" s="23"/>
      <c r="AG776" s="23"/>
      <c r="AH776" s="23"/>
      <c r="AI776" s="54"/>
      <c r="AJ776" s="54"/>
      <c r="AK776" s="54"/>
      <c r="AL776" s="23"/>
      <c r="AM776" s="127"/>
      <c r="AN776" s="127"/>
      <c r="AO776" s="129"/>
      <c r="AP776" s="129"/>
      <c r="AQ776" s="129"/>
      <c r="AR776" s="129"/>
      <c r="AS776" s="129"/>
      <c r="AT776" s="129"/>
      <c r="AU776" s="129"/>
      <c r="AV776" s="129"/>
      <c r="AW776" s="129"/>
      <c r="AX776" s="197"/>
      <c r="AY776" s="197"/>
      <c r="AZ776" s="197"/>
      <c r="BA776" s="197"/>
      <c r="BB776" s="129"/>
      <c r="BC776" s="129"/>
      <c r="BD776" s="129"/>
      <c r="BE776" s="129"/>
      <c r="BF776" s="129"/>
      <c r="BG776" s="129"/>
      <c r="BH776" s="129"/>
      <c r="BI776" s="129"/>
      <c r="BJ776" s="129"/>
      <c r="BK776" s="129"/>
      <c r="BL776" s="129"/>
      <c r="BM776" s="197"/>
    </row>
    <row r="777" spans="1:65" x14ac:dyDescent="0.25">
      <c r="A777" s="121"/>
      <c r="B777" s="121"/>
      <c r="C777" s="172"/>
      <c r="D777" s="46"/>
      <c r="E777" s="46"/>
      <c r="F777" s="54"/>
      <c r="G777" s="54"/>
      <c r="H777" s="54"/>
      <c r="I777" s="54"/>
      <c r="J777" s="54"/>
      <c r="K777" s="54"/>
      <c r="L777" s="54"/>
      <c r="M777" s="54"/>
      <c r="N777" s="54"/>
      <c r="O777" s="54"/>
      <c r="P777" s="54"/>
      <c r="Q777" s="54"/>
      <c r="R777" s="54"/>
      <c r="S777" s="54"/>
      <c r="T777" s="54"/>
      <c r="U777" s="54"/>
      <c r="V777" s="54"/>
      <c r="W777" s="55"/>
      <c r="X777" s="55"/>
      <c r="Y777" s="55"/>
      <c r="Z777" s="55"/>
      <c r="AA777" s="55"/>
      <c r="AB777" s="55"/>
      <c r="AC777" s="55"/>
      <c r="AD777" s="55"/>
      <c r="AE777" s="55"/>
      <c r="AF777" s="55"/>
      <c r="AG777" s="55"/>
      <c r="AH777" s="55"/>
      <c r="AI777" s="54"/>
      <c r="AJ777" s="54"/>
      <c r="AK777" s="54"/>
      <c r="AL777" s="23"/>
      <c r="AM777" s="127"/>
      <c r="AN777" s="127"/>
      <c r="AO777" s="129"/>
      <c r="AP777" s="129"/>
      <c r="AQ777" s="129"/>
      <c r="AR777" s="129"/>
      <c r="AS777" s="129"/>
      <c r="AT777" s="129"/>
      <c r="AU777" s="129"/>
      <c r="AV777" s="129"/>
      <c r="AW777" s="129"/>
      <c r="AX777" s="197"/>
      <c r="AY777" s="197"/>
      <c r="AZ777" s="197"/>
      <c r="BA777" s="197"/>
      <c r="BB777" s="129"/>
      <c r="BC777" s="129"/>
      <c r="BD777" s="129"/>
      <c r="BE777" s="129"/>
      <c r="BF777" s="129"/>
      <c r="BG777" s="129"/>
      <c r="BH777" s="129"/>
      <c r="BI777" s="129"/>
      <c r="BJ777" s="129"/>
      <c r="BK777" s="129"/>
      <c r="BL777" s="129"/>
      <c r="BM777" s="197"/>
    </row>
    <row r="778" spans="1:65" x14ac:dyDescent="0.25">
      <c r="A778" s="121" t="s">
        <v>126</v>
      </c>
      <c r="B778" s="121" t="s">
        <v>22</v>
      </c>
      <c r="C778" s="172" t="s">
        <v>214</v>
      </c>
      <c r="D778" s="161">
        <v>10</v>
      </c>
      <c r="E778" s="29" t="str">
        <f t="shared" ref="E778:E783" si="240">INDEX(ra_ScName,MATCH(D778,ra_ScNumber,0))</f>
        <v>Disclosed nominal return (incl actual asset revaluations)</v>
      </c>
      <c r="F778" s="122">
        <v>9560.5908951936708</v>
      </c>
      <c r="G778" s="122">
        <v>10133.333333333334</v>
      </c>
      <c r="H778" s="122">
        <v>1927.8730803301003</v>
      </c>
      <c r="I778" s="122">
        <v>6912.2225473860171</v>
      </c>
      <c r="J778" s="122">
        <v>5850</v>
      </c>
      <c r="K778" s="122">
        <v>2365.6639999999998</v>
      </c>
      <c r="L778" s="122">
        <v>4178.9466368228195</v>
      </c>
      <c r="M778" s="122">
        <v>1076.6680000000001</v>
      </c>
      <c r="N778" s="122">
        <v>6020</v>
      </c>
      <c r="O778" s="122">
        <v>5713.0950000000003</v>
      </c>
      <c r="P778" s="122">
        <v>51226.666666666672</v>
      </c>
      <c r="Q778" s="122">
        <v>9923.1022340792279</v>
      </c>
      <c r="R778" s="122">
        <v>5352.3298912600903</v>
      </c>
      <c r="S778" s="122">
        <v>15286.355522666667</v>
      </c>
      <c r="T778" s="122">
        <v>80506.666666666672</v>
      </c>
      <c r="U778" s="122">
        <v>23245.089366257343</v>
      </c>
      <c r="V778" s="122">
        <v>29014.195383248534</v>
      </c>
      <c r="W778" s="122">
        <v>1286.5011065954102</v>
      </c>
      <c r="X778" s="122">
        <v>5469.2223541561762</v>
      </c>
      <c r="Y778" s="122">
        <v>5035.66813</v>
      </c>
      <c r="Z778" s="122">
        <v>8040</v>
      </c>
      <c r="AA778" s="122">
        <v>8925.2569667747011</v>
      </c>
      <c r="AB778" s="122">
        <v>3061.9142019496053</v>
      </c>
      <c r="AC778" s="122">
        <v>9022.7278748470744</v>
      </c>
      <c r="AD778" s="122">
        <v>843</v>
      </c>
      <c r="AE778" s="122">
        <v>11584</v>
      </c>
      <c r="AF778" s="122">
        <v>2944.8127643917405</v>
      </c>
      <c r="AG778" s="122">
        <v>12056.001064113667</v>
      </c>
      <c r="AH778" s="122">
        <v>3490</v>
      </c>
      <c r="AI778" s="117">
        <f t="shared" ref="AI778:AI783" si="241">SUM(F778:AH778)</f>
        <v>340051.90368673956</v>
      </c>
      <c r="AJ778" s="117">
        <f t="shared" ref="AJ778:AJ783" si="242">SUM(F778:U778)</f>
        <v>239278.6038406626</v>
      </c>
      <c r="AK778" s="117">
        <f t="shared" ref="AK778:AK783" si="243">SUM(W778:AH778)</f>
        <v>71759.104462828371</v>
      </c>
      <c r="AL778" s="23"/>
      <c r="AM778" s="127" t="b">
        <f t="shared" ref="AM778:AM783" si="244">IF(INDEX($AO778:$BM778,0,$F$14)=1,TRUE,FALSE)</f>
        <v>1</v>
      </c>
      <c r="AN778" s="127" t="str">
        <f t="shared" ref="AN778:AN783" si="245">IF(AM778,A778&amp;", "&amp;B778,"")</f>
        <v>Adjusted depreciation, 2009/10</v>
      </c>
      <c r="AO778" s="129"/>
      <c r="AP778" s="129"/>
      <c r="AQ778" s="129"/>
      <c r="AR778" s="129"/>
      <c r="AS778" s="129"/>
      <c r="AT778" s="129"/>
      <c r="AU778" s="129"/>
      <c r="AV778" s="129"/>
      <c r="AW778" s="129">
        <v>1</v>
      </c>
      <c r="AX778" s="197">
        <v>1</v>
      </c>
      <c r="AY778" s="197">
        <v>1</v>
      </c>
      <c r="AZ778" s="197">
        <v>1</v>
      </c>
      <c r="BA778" s="197"/>
      <c r="BB778" s="129"/>
      <c r="BC778" s="129"/>
      <c r="BD778" s="129"/>
      <c r="BE778" s="129"/>
      <c r="BF778" s="129"/>
      <c r="BG778" s="129"/>
      <c r="BH778" s="129"/>
      <c r="BI778" s="129"/>
      <c r="BJ778" s="129"/>
      <c r="BK778" s="129"/>
      <c r="BL778" s="129"/>
      <c r="BM778" s="197">
        <v>1</v>
      </c>
    </row>
    <row r="779" spans="1:65" x14ac:dyDescent="0.25">
      <c r="A779" s="121" t="s">
        <v>126</v>
      </c>
      <c r="B779" s="121" t="s">
        <v>23</v>
      </c>
      <c r="C779" s="172" t="s">
        <v>214</v>
      </c>
      <c r="D779" s="161">
        <v>10</v>
      </c>
      <c r="E779" s="29" t="str">
        <f t="shared" si="240"/>
        <v>Disclosed nominal return (incl actual asset revaluations)</v>
      </c>
      <c r="F779" s="122">
        <v>7963.9132478245774</v>
      </c>
      <c r="G779" s="122">
        <v>10080</v>
      </c>
      <c r="H779" s="122">
        <v>1955.3195408976933</v>
      </c>
      <c r="I779" s="122">
        <v>4259.5673120592874</v>
      </c>
      <c r="J779" s="122">
        <v>6143.3333333333339</v>
      </c>
      <c r="K779" s="122">
        <v>2436</v>
      </c>
      <c r="L779" s="122">
        <v>4173.5311032345498</v>
      </c>
      <c r="M779" s="122">
        <v>1123.8889999999997</v>
      </c>
      <c r="N779" s="122">
        <v>5980</v>
      </c>
      <c r="O779" s="122">
        <v>5917.8029999999999</v>
      </c>
      <c r="P779" s="122">
        <v>53463.333333333336</v>
      </c>
      <c r="Q779" s="122">
        <v>8989.1633463971339</v>
      </c>
      <c r="R779" s="122">
        <v>5131.481261246644</v>
      </c>
      <c r="S779" s="122">
        <v>16082.681505333212</v>
      </c>
      <c r="T779" s="122">
        <v>81223.333333333343</v>
      </c>
      <c r="U779" s="122">
        <v>26930</v>
      </c>
      <c r="V779" s="122">
        <v>30172.774184902264</v>
      </c>
      <c r="W779" s="122">
        <v>1168.0997853331562</v>
      </c>
      <c r="X779" s="122">
        <v>5412.7447098765069</v>
      </c>
      <c r="Y779" s="122">
        <v>5212.9279800000004</v>
      </c>
      <c r="Z779" s="122">
        <v>8353.3333333333339</v>
      </c>
      <c r="AA779" s="122">
        <v>8652.2269410418503</v>
      </c>
      <c r="AB779" s="122">
        <v>2515.1997566124719</v>
      </c>
      <c r="AC779" s="122">
        <v>9204.5108633179261</v>
      </c>
      <c r="AD779" s="122">
        <v>897.00000000000011</v>
      </c>
      <c r="AE779" s="122">
        <v>12138</v>
      </c>
      <c r="AF779" s="122">
        <v>2944.5400761968635</v>
      </c>
      <c r="AG779" s="122">
        <v>12269.338442423586</v>
      </c>
      <c r="AH779" s="122">
        <v>3620</v>
      </c>
      <c r="AI779" s="117">
        <f t="shared" si="241"/>
        <v>344414.04539003107</v>
      </c>
      <c r="AJ779" s="117">
        <f t="shared" si="242"/>
        <v>241853.34931699312</v>
      </c>
      <c r="AK779" s="117">
        <f t="shared" si="243"/>
        <v>72387.921888135694</v>
      </c>
      <c r="AL779" s="23"/>
      <c r="AM779" s="127" t="b">
        <f t="shared" si="244"/>
        <v>1</v>
      </c>
      <c r="AN779" s="127" t="str">
        <f t="shared" si="245"/>
        <v>Adjusted depreciation, 2010/11</v>
      </c>
      <c r="AO779" s="129"/>
      <c r="AP779" s="129"/>
      <c r="AQ779" s="129"/>
      <c r="AR779" s="129"/>
      <c r="AS779" s="129"/>
      <c r="AT779" s="129"/>
      <c r="AU779" s="129"/>
      <c r="AV779" s="129"/>
      <c r="AW779" s="129">
        <v>1</v>
      </c>
      <c r="AX779" s="197">
        <v>1</v>
      </c>
      <c r="AY779" s="197">
        <v>1</v>
      </c>
      <c r="AZ779" s="197">
        <v>1</v>
      </c>
      <c r="BA779" s="197"/>
      <c r="BB779" s="129"/>
      <c r="BC779" s="129"/>
      <c r="BD779" s="129"/>
      <c r="BE779" s="129"/>
      <c r="BF779" s="129"/>
      <c r="BG779" s="129"/>
      <c r="BH779" s="129"/>
      <c r="BI779" s="129"/>
      <c r="BJ779" s="129"/>
      <c r="BK779" s="129"/>
      <c r="BL779" s="129"/>
      <c r="BM779" s="197">
        <v>1</v>
      </c>
    </row>
    <row r="780" spans="1:65" x14ac:dyDescent="0.25">
      <c r="A780" s="121" t="s">
        <v>126</v>
      </c>
      <c r="B780" s="121" t="s">
        <v>24</v>
      </c>
      <c r="C780" s="172" t="s">
        <v>214</v>
      </c>
      <c r="D780" s="161">
        <v>10</v>
      </c>
      <c r="E780" s="29" t="str">
        <f t="shared" si="240"/>
        <v>Disclosed nominal return (incl actual asset revaluations)</v>
      </c>
      <c r="F780" s="122">
        <v>8480.1940848334343</v>
      </c>
      <c r="G780" s="122">
        <v>10314.285714285714</v>
      </c>
      <c r="H780" s="122">
        <v>2251.5973448143891</v>
      </c>
      <c r="I780" s="122">
        <v>4222.8941547364848</v>
      </c>
      <c r="J780" s="122">
        <v>6849.9999999999991</v>
      </c>
      <c r="K780" s="122">
        <v>2451</v>
      </c>
      <c r="L780" s="122">
        <v>4227.606842658518</v>
      </c>
      <c r="M780" s="122">
        <v>1127.8</v>
      </c>
      <c r="N780" s="122">
        <v>6053.5714285714284</v>
      </c>
      <c r="O780" s="122">
        <v>6174.0519999999997</v>
      </c>
      <c r="P780" s="122">
        <v>55182.142857142855</v>
      </c>
      <c r="Q780" s="122">
        <v>8860.7895377243531</v>
      </c>
      <c r="R780" s="122">
        <v>5880.4926605654282</v>
      </c>
      <c r="S780" s="122">
        <v>18649.500209999896</v>
      </c>
      <c r="T780" s="122">
        <v>83724.999999999985</v>
      </c>
      <c r="U780" s="122">
        <v>27050</v>
      </c>
      <c r="V780" s="122">
        <v>30901.915038810283</v>
      </c>
      <c r="W780" s="122">
        <v>1244.2747428571431</v>
      </c>
      <c r="X780" s="122">
        <v>5691.5264094226131</v>
      </c>
      <c r="Y780" s="122">
        <v>4989.5756999999994</v>
      </c>
      <c r="Z780" s="122">
        <v>8944.6071428571413</v>
      </c>
      <c r="AA780" s="122">
        <v>8693.1608526397977</v>
      </c>
      <c r="AB780" s="122">
        <v>3447.2571240928655</v>
      </c>
      <c r="AC780" s="122">
        <v>7909.9848314290421</v>
      </c>
      <c r="AD780" s="122">
        <v>955.99999999999989</v>
      </c>
      <c r="AE780" s="122">
        <v>11823.999999999998</v>
      </c>
      <c r="AF780" s="122">
        <v>2991.0801131102753</v>
      </c>
      <c r="AG780" s="122">
        <v>14028.311302177617</v>
      </c>
      <c r="AH780" s="122">
        <v>3689.2857142857138</v>
      </c>
      <c r="AI780" s="117">
        <f t="shared" si="241"/>
        <v>356811.90580701496</v>
      </c>
      <c r="AJ780" s="117">
        <f t="shared" si="242"/>
        <v>251500.92683533247</v>
      </c>
      <c r="AK780" s="117">
        <f t="shared" si="243"/>
        <v>74409.063932872203</v>
      </c>
      <c r="AL780" s="23"/>
      <c r="AM780" s="127" t="b">
        <f t="shared" si="244"/>
        <v>1</v>
      </c>
      <c r="AN780" s="127" t="str">
        <f t="shared" si="245"/>
        <v>Adjusted depreciation, 2011/12</v>
      </c>
      <c r="AO780" s="129"/>
      <c r="AP780" s="129"/>
      <c r="AQ780" s="129"/>
      <c r="AR780" s="129"/>
      <c r="AS780" s="129"/>
      <c r="AT780" s="129"/>
      <c r="AU780" s="129"/>
      <c r="AV780" s="129"/>
      <c r="AW780" s="129">
        <v>1</v>
      </c>
      <c r="AX780" s="197">
        <v>1</v>
      </c>
      <c r="AY780" s="197">
        <v>1</v>
      </c>
      <c r="AZ780" s="197">
        <v>1</v>
      </c>
      <c r="BA780" s="197"/>
      <c r="BB780" s="129"/>
      <c r="BC780" s="129"/>
      <c r="BD780" s="129"/>
      <c r="BE780" s="129"/>
      <c r="BF780" s="129"/>
      <c r="BG780" s="129"/>
      <c r="BH780" s="129"/>
      <c r="BI780" s="129"/>
      <c r="BJ780" s="129"/>
      <c r="BK780" s="129"/>
      <c r="BL780" s="129"/>
      <c r="BM780" s="197">
        <v>1</v>
      </c>
    </row>
    <row r="781" spans="1:65" x14ac:dyDescent="0.25">
      <c r="A781" s="121" t="s">
        <v>126</v>
      </c>
      <c r="B781" s="121" t="s">
        <v>25</v>
      </c>
      <c r="C781" s="172" t="s">
        <v>215</v>
      </c>
      <c r="D781" s="161">
        <v>10</v>
      </c>
      <c r="E781" s="29" t="str">
        <f t="shared" si="240"/>
        <v>Disclosed nominal return (incl actual asset revaluations)</v>
      </c>
      <c r="F781" s="122">
        <v>7586.2214268711086</v>
      </c>
      <c r="G781" s="122">
        <v>10393</v>
      </c>
      <c r="H781" s="122">
        <v>2394</v>
      </c>
      <c r="I781" s="122">
        <v>4271.9945638844274</v>
      </c>
      <c r="J781" s="122">
        <v>6312</v>
      </c>
      <c r="K781" s="122">
        <v>2454.92</v>
      </c>
      <c r="L781" s="122">
        <v>4108.3464081663378</v>
      </c>
      <c r="M781" s="122">
        <v>1100</v>
      </c>
      <c r="N781" s="122">
        <v>6129</v>
      </c>
      <c r="O781" s="122">
        <v>6168.7650000000003</v>
      </c>
      <c r="P781" s="122">
        <v>54905</v>
      </c>
      <c r="Q781" s="122">
        <v>9015.1964789573849</v>
      </c>
      <c r="R781" s="122">
        <v>6428</v>
      </c>
      <c r="S781" s="122">
        <v>19388.240449999998</v>
      </c>
      <c r="T781" s="122">
        <v>80120</v>
      </c>
      <c r="U781" s="122">
        <v>24685</v>
      </c>
      <c r="V781" s="122">
        <v>31587.333858436599</v>
      </c>
      <c r="W781" s="122">
        <v>1243.6929785715486</v>
      </c>
      <c r="X781" s="122">
        <v>5976.6166745762403</v>
      </c>
      <c r="Y781" s="122">
        <v>5004.7642000000005</v>
      </c>
      <c r="Z781" s="122">
        <v>9278</v>
      </c>
      <c r="AA781" s="122">
        <v>8454.3444693352249</v>
      </c>
      <c r="AB781" s="122">
        <v>2849.0768701367761</v>
      </c>
      <c r="AC781" s="122">
        <v>8051.0417450759414</v>
      </c>
      <c r="AD781" s="122">
        <v>984</v>
      </c>
      <c r="AE781" s="122">
        <v>11947</v>
      </c>
      <c r="AF781" s="122">
        <v>3040</v>
      </c>
      <c r="AG781" s="122">
        <v>15082.197669435036</v>
      </c>
      <c r="AH781" s="122">
        <v>3795</v>
      </c>
      <c r="AI781" s="117">
        <f t="shared" si="241"/>
        <v>352752.75279344665</v>
      </c>
      <c r="AJ781" s="117">
        <f t="shared" si="242"/>
        <v>245459.68432787925</v>
      </c>
      <c r="AK781" s="117">
        <f t="shared" si="243"/>
        <v>75705.734607130769</v>
      </c>
      <c r="AL781" s="23"/>
      <c r="AM781" s="127" t="b">
        <f t="shared" si="244"/>
        <v>1</v>
      </c>
      <c r="AN781" s="127" t="str">
        <f t="shared" si="245"/>
        <v>Adjusted depreciation, 2012/13</v>
      </c>
      <c r="AO781" s="129"/>
      <c r="AP781" s="129"/>
      <c r="AQ781" s="129"/>
      <c r="AR781" s="129"/>
      <c r="AS781" s="129"/>
      <c r="AT781" s="129"/>
      <c r="AU781" s="129"/>
      <c r="AV781" s="129"/>
      <c r="AW781" s="129">
        <v>1</v>
      </c>
      <c r="AX781" s="197">
        <v>1</v>
      </c>
      <c r="AY781" s="197">
        <v>1</v>
      </c>
      <c r="AZ781" s="197">
        <v>1</v>
      </c>
      <c r="BA781" s="197"/>
      <c r="BB781" s="129"/>
      <c r="BC781" s="129"/>
      <c r="BD781" s="129"/>
      <c r="BE781" s="129"/>
      <c r="BF781" s="129"/>
      <c r="BG781" s="129"/>
      <c r="BH781" s="129"/>
      <c r="BI781" s="129"/>
      <c r="BJ781" s="129"/>
      <c r="BK781" s="129"/>
      <c r="BL781" s="129"/>
      <c r="BM781" s="197">
        <v>1</v>
      </c>
    </row>
    <row r="782" spans="1:65" x14ac:dyDescent="0.25">
      <c r="A782" s="121" t="s">
        <v>126</v>
      </c>
      <c r="B782" s="121" t="s">
        <v>26</v>
      </c>
      <c r="C782" s="172" t="s">
        <v>215</v>
      </c>
      <c r="D782" s="161">
        <v>10</v>
      </c>
      <c r="E782" s="29" t="str">
        <f t="shared" si="240"/>
        <v>Disclosed nominal return (incl actual asset revaluations)</v>
      </c>
      <c r="F782" s="122">
        <v>9044.8335228191881</v>
      </c>
      <c r="G782" s="122">
        <v>10727</v>
      </c>
      <c r="H782" s="122">
        <v>2422.7205299999978</v>
      </c>
      <c r="I782" s="122">
        <v>4594.4920010231417</v>
      </c>
      <c r="J782" s="122">
        <v>6459</v>
      </c>
      <c r="K782" s="122">
        <v>2326.4580000000001</v>
      </c>
      <c r="L782" s="122">
        <v>4378.6461700009932</v>
      </c>
      <c r="M782" s="122">
        <v>1078</v>
      </c>
      <c r="N782" s="122">
        <v>6184.0269695235347</v>
      </c>
      <c r="O782" s="122">
        <v>6400</v>
      </c>
      <c r="P782" s="122">
        <v>56102</v>
      </c>
      <c r="Q782" s="122">
        <v>8599</v>
      </c>
      <c r="R782" s="122">
        <v>6297</v>
      </c>
      <c r="S782" s="122">
        <v>18564</v>
      </c>
      <c r="T782" s="122">
        <v>85581</v>
      </c>
      <c r="U782" s="122">
        <v>25002.705953980876</v>
      </c>
      <c r="V782" s="122">
        <v>32282.400000000001</v>
      </c>
      <c r="W782" s="122">
        <v>1208</v>
      </c>
      <c r="X782" s="122">
        <v>6220.1776841133615</v>
      </c>
      <c r="Y782" s="122">
        <v>5205.3540499999999</v>
      </c>
      <c r="Z782" s="122">
        <v>9772</v>
      </c>
      <c r="AA782" s="122">
        <v>8572</v>
      </c>
      <c r="AB782" s="122">
        <v>3098</v>
      </c>
      <c r="AC782" s="122">
        <v>8149.2543390304108</v>
      </c>
      <c r="AD782" s="122">
        <v>952</v>
      </c>
      <c r="AE782" s="122">
        <v>10926.808999999999</v>
      </c>
      <c r="AF782" s="122">
        <v>3097</v>
      </c>
      <c r="AG782" s="122">
        <v>18172.05948</v>
      </c>
      <c r="AH782" s="122">
        <v>3869</v>
      </c>
      <c r="AI782" s="117">
        <f t="shared" si="241"/>
        <v>365284.93770049157</v>
      </c>
      <c r="AJ782" s="117">
        <f t="shared" si="242"/>
        <v>253760.88314734775</v>
      </c>
      <c r="AK782" s="117">
        <f t="shared" si="243"/>
        <v>79241.654553143773</v>
      </c>
      <c r="AL782" s="23"/>
      <c r="AM782" s="127" t="b">
        <f t="shared" si="244"/>
        <v>1</v>
      </c>
      <c r="AN782" s="127" t="str">
        <f t="shared" si="245"/>
        <v>Adjusted depreciation, 2013/14</v>
      </c>
      <c r="AO782" s="129"/>
      <c r="AP782" s="129"/>
      <c r="AQ782" s="129"/>
      <c r="AR782" s="129"/>
      <c r="AS782" s="129"/>
      <c r="AT782" s="129"/>
      <c r="AU782" s="129"/>
      <c r="AV782" s="129"/>
      <c r="AW782" s="129">
        <v>1</v>
      </c>
      <c r="AX782" s="197">
        <v>1</v>
      </c>
      <c r="AY782" s="197">
        <v>1</v>
      </c>
      <c r="AZ782" s="197">
        <v>1</v>
      </c>
      <c r="BA782" s="197"/>
      <c r="BB782" s="129"/>
      <c r="BC782" s="129"/>
      <c r="BD782" s="129"/>
      <c r="BE782" s="129"/>
      <c r="BF782" s="129"/>
      <c r="BG782" s="129"/>
      <c r="BH782" s="129"/>
      <c r="BI782" s="129"/>
      <c r="BJ782" s="129"/>
      <c r="BK782" s="129"/>
      <c r="BL782" s="129"/>
      <c r="BM782" s="197">
        <v>1</v>
      </c>
    </row>
    <row r="783" spans="1:65" x14ac:dyDescent="0.25">
      <c r="A783" s="121" t="s">
        <v>126</v>
      </c>
      <c r="B783" s="121" t="s">
        <v>27</v>
      </c>
      <c r="C783" s="172" t="s">
        <v>216</v>
      </c>
      <c r="D783" s="161">
        <v>10</v>
      </c>
      <c r="E783" s="29" t="str">
        <f t="shared" si="240"/>
        <v>Disclosed nominal return (incl actual asset revaluations)</v>
      </c>
      <c r="F783" s="122">
        <v>8676</v>
      </c>
      <c r="G783" s="122">
        <v>11026</v>
      </c>
      <c r="H783" s="122">
        <v>2521</v>
      </c>
      <c r="I783" s="122">
        <v>4691.1581142349805</v>
      </c>
      <c r="J783" s="122">
        <v>6874.4918691738621</v>
      </c>
      <c r="K783" s="122">
        <v>2347.3890000000001</v>
      </c>
      <c r="L783" s="122">
        <v>4652.3492300008966</v>
      </c>
      <c r="M783" s="122">
        <v>1332</v>
      </c>
      <c r="N783" s="122">
        <v>6405</v>
      </c>
      <c r="O783" s="122">
        <v>6613.0360000000001</v>
      </c>
      <c r="P783" s="122">
        <v>53490.536170799998</v>
      </c>
      <c r="Q783" s="122">
        <v>8827</v>
      </c>
      <c r="R783" s="122">
        <v>6976.2392811407735</v>
      </c>
      <c r="S783" s="122">
        <v>21404</v>
      </c>
      <c r="T783" s="122">
        <v>85783.000794381049</v>
      </c>
      <c r="U783" s="122">
        <v>20484.746292758413</v>
      </c>
      <c r="V783" s="122">
        <v>33502.445999999996</v>
      </c>
      <c r="W783" s="122">
        <v>1215.3714299999999</v>
      </c>
      <c r="X783" s="122">
        <v>6644</v>
      </c>
      <c r="Y783" s="122">
        <v>5261</v>
      </c>
      <c r="Z783" s="122">
        <v>10255</v>
      </c>
      <c r="AA783" s="122">
        <v>8639</v>
      </c>
      <c r="AB783" s="122">
        <v>3120</v>
      </c>
      <c r="AC783" s="122">
        <v>9126</v>
      </c>
      <c r="AD783" s="122">
        <v>1171</v>
      </c>
      <c r="AE783" s="122">
        <v>11091</v>
      </c>
      <c r="AF783" s="122">
        <v>3310.712</v>
      </c>
      <c r="AG783" s="122">
        <v>17476.755229999999</v>
      </c>
      <c r="AH783" s="122">
        <v>3928</v>
      </c>
      <c r="AI783" s="117">
        <f t="shared" si="241"/>
        <v>366844.23141249001</v>
      </c>
      <c r="AJ783" s="117">
        <f t="shared" si="242"/>
        <v>252103.94675248998</v>
      </c>
      <c r="AK783" s="117">
        <f t="shared" si="243"/>
        <v>81237.838659999994</v>
      </c>
      <c r="AL783" s="23"/>
      <c r="AM783" s="127" t="b">
        <f t="shared" si="244"/>
        <v>1</v>
      </c>
      <c r="AN783" s="127" t="str">
        <f t="shared" si="245"/>
        <v>Adjusted depreciation, 2014/15</v>
      </c>
      <c r="AO783" s="129"/>
      <c r="AP783" s="129"/>
      <c r="AQ783" s="129"/>
      <c r="AR783" s="129"/>
      <c r="AS783" s="129"/>
      <c r="AT783" s="129"/>
      <c r="AU783" s="129"/>
      <c r="AV783" s="129"/>
      <c r="AW783" s="129">
        <v>1</v>
      </c>
      <c r="AX783" s="197">
        <v>1</v>
      </c>
      <c r="AY783" s="197">
        <v>1</v>
      </c>
      <c r="AZ783" s="197">
        <v>1</v>
      </c>
      <c r="BA783" s="197"/>
      <c r="BB783" s="129"/>
      <c r="BC783" s="129"/>
      <c r="BD783" s="129"/>
      <c r="BE783" s="129"/>
      <c r="BF783" s="129"/>
      <c r="BG783" s="129"/>
      <c r="BH783" s="129"/>
      <c r="BI783" s="129"/>
      <c r="BJ783" s="129"/>
      <c r="BK783" s="129"/>
      <c r="BL783" s="129"/>
      <c r="BM783" s="197">
        <v>1</v>
      </c>
    </row>
    <row r="784" spans="1:65" x14ac:dyDescent="0.25">
      <c r="A784" s="121"/>
      <c r="B784" s="121"/>
      <c r="C784" s="172"/>
      <c r="D784" s="25"/>
      <c r="E784" s="25"/>
      <c r="F784" s="25"/>
      <c r="G784" s="25"/>
      <c r="H784" s="25"/>
      <c r="I784" s="25"/>
      <c r="J784" s="25"/>
      <c r="K784" s="25"/>
      <c r="L784" s="25"/>
      <c r="M784" s="26"/>
      <c r="N784" s="26"/>
      <c r="O784" s="26"/>
      <c r="P784" s="26"/>
      <c r="Q784" s="26"/>
      <c r="R784" s="26"/>
      <c r="S784" s="26"/>
      <c r="T784" s="26"/>
      <c r="U784" s="26"/>
      <c r="V784" s="25"/>
      <c r="W784" s="23"/>
      <c r="X784" s="23"/>
      <c r="Y784" s="23"/>
      <c r="Z784" s="23"/>
      <c r="AA784" s="23"/>
      <c r="AB784" s="23"/>
      <c r="AC784" s="23"/>
      <c r="AD784" s="23"/>
      <c r="AE784" s="23"/>
      <c r="AF784" s="23"/>
      <c r="AG784" s="23"/>
      <c r="AH784" s="23"/>
      <c r="AI784" s="54"/>
      <c r="AJ784" s="54"/>
      <c r="AK784" s="54"/>
      <c r="AL784" s="23"/>
      <c r="AM784" s="127"/>
      <c r="AN784" s="127"/>
      <c r="AO784" s="129"/>
      <c r="AP784" s="129"/>
      <c r="AQ784" s="129"/>
      <c r="AR784" s="129"/>
      <c r="AS784" s="129"/>
      <c r="AT784" s="129"/>
      <c r="AU784" s="129"/>
      <c r="AV784" s="129"/>
      <c r="AW784" s="129"/>
      <c r="AX784" s="197"/>
      <c r="AY784" s="197"/>
      <c r="AZ784" s="197"/>
      <c r="BA784" s="197"/>
      <c r="BB784" s="129"/>
      <c r="BC784" s="129"/>
      <c r="BD784" s="129"/>
      <c r="BE784" s="129"/>
      <c r="BF784" s="129"/>
      <c r="BG784" s="129"/>
      <c r="BH784" s="129"/>
      <c r="BI784" s="129"/>
      <c r="BJ784" s="129"/>
      <c r="BK784" s="129"/>
      <c r="BL784" s="129"/>
      <c r="BM784" s="197"/>
    </row>
    <row r="785" spans="1:66" x14ac:dyDescent="0.25">
      <c r="A785" s="121"/>
      <c r="B785" s="121"/>
      <c r="C785" s="172"/>
      <c r="D785" s="46"/>
      <c r="E785" s="46"/>
      <c r="F785" s="54"/>
      <c r="G785" s="54"/>
      <c r="H785" s="54"/>
      <c r="I785" s="54"/>
      <c r="J785" s="54"/>
      <c r="K785" s="54"/>
      <c r="L785" s="54"/>
      <c r="M785" s="54"/>
      <c r="N785" s="54"/>
      <c r="O785" s="54"/>
      <c r="P785" s="54"/>
      <c r="Q785" s="54"/>
      <c r="R785" s="54"/>
      <c r="S785" s="54"/>
      <c r="T785" s="54"/>
      <c r="U785" s="54"/>
      <c r="V785" s="54"/>
      <c r="W785" s="55"/>
      <c r="X785" s="55"/>
      <c r="Y785" s="55"/>
      <c r="Z785" s="55"/>
      <c r="AA785" s="55"/>
      <c r="AB785" s="55"/>
      <c r="AC785" s="55"/>
      <c r="AD785" s="55"/>
      <c r="AE785" s="55"/>
      <c r="AF785" s="55"/>
      <c r="AG785" s="55"/>
      <c r="AH785" s="55"/>
      <c r="AI785" s="54"/>
      <c r="AJ785" s="54"/>
      <c r="AK785" s="54"/>
      <c r="AL785" s="23"/>
      <c r="AM785" s="127"/>
      <c r="AN785" s="127"/>
      <c r="AO785" s="129"/>
      <c r="AP785" s="129"/>
      <c r="AQ785" s="129"/>
      <c r="AR785" s="129"/>
      <c r="AS785" s="129"/>
      <c r="AT785" s="129"/>
      <c r="AU785" s="129"/>
      <c r="AV785" s="129"/>
      <c r="AW785" s="129"/>
      <c r="AX785" s="197"/>
      <c r="AY785" s="197"/>
      <c r="AZ785" s="197"/>
      <c r="BA785" s="197"/>
      <c r="BB785" s="129"/>
      <c r="BC785" s="129"/>
      <c r="BD785" s="129"/>
      <c r="BE785" s="129"/>
      <c r="BF785" s="129"/>
      <c r="BG785" s="129"/>
      <c r="BH785" s="129"/>
      <c r="BI785" s="129"/>
      <c r="BJ785" s="129"/>
      <c r="BK785" s="129"/>
      <c r="BL785" s="129"/>
      <c r="BM785" s="197"/>
    </row>
    <row r="786" spans="1:66" x14ac:dyDescent="0.25">
      <c r="A786" s="121" t="s">
        <v>127</v>
      </c>
      <c r="B786" s="121" t="s">
        <v>22</v>
      </c>
      <c r="C786" s="172" t="s">
        <v>397</v>
      </c>
      <c r="D786" s="161">
        <v>1</v>
      </c>
      <c r="E786" s="29" t="str">
        <f t="shared" ref="E786:E791" si="246">INDEX(ra_ScName,MATCH(D786,ra_ScNumber,0))</f>
        <v>Expected nominal return (incl forecast asset revaluations)</v>
      </c>
      <c r="F786" s="122">
        <v>6432</v>
      </c>
      <c r="G786" s="122">
        <v>13769</v>
      </c>
      <c r="H786" s="122">
        <v>1623</v>
      </c>
      <c r="I786" s="122">
        <v>5625</v>
      </c>
      <c r="J786" s="122">
        <v>7099</v>
      </c>
      <c r="K786" s="122">
        <v>2348</v>
      </c>
      <c r="L786" s="122">
        <v>2561.6080000000002</v>
      </c>
      <c r="M786" s="122">
        <v>608</v>
      </c>
      <c r="N786" s="122">
        <v>3793.4187615999958</v>
      </c>
      <c r="O786" s="122">
        <v>7144</v>
      </c>
      <c r="P786" s="122">
        <v>59202</v>
      </c>
      <c r="Q786" s="122">
        <v>4851.8784151308691</v>
      </c>
      <c r="R786" s="122">
        <v>3774</v>
      </c>
      <c r="S786" s="122">
        <v>23479</v>
      </c>
      <c r="T786" s="122">
        <v>82690</v>
      </c>
      <c r="U786" s="122">
        <v>34488.45398000002</v>
      </c>
      <c r="V786" s="122">
        <v>8876</v>
      </c>
      <c r="W786" s="54"/>
      <c r="X786" s="54"/>
      <c r="Y786" s="54"/>
      <c r="Z786" s="54"/>
      <c r="AA786" s="54"/>
      <c r="AB786" s="54"/>
      <c r="AC786" s="54"/>
      <c r="AD786" s="54"/>
      <c r="AE786" s="54"/>
      <c r="AF786" s="54"/>
      <c r="AG786" s="54"/>
      <c r="AH786" s="54"/>
      <c r="AI786" s="117">
        <f t="shared" ref="AI786:AI791" si="247">SUM(F786:AH786)</f>
        <v>268364.35915673088</v>
      </c>
      <c r="AJ786" s="117">
        <f t="shared" ref="AJ786:AJ791" si="248">SUM(F786:U786)</f>
        <v>259488.35915673088</v>
      </c>
      <c r="AK786" s="117">
        <f t="shared" ref="AK786:AK791" si="249">SUM(W786:AH786)</f>
        <v>0</v>
      </c>
      <c r="AL786" s="23"/>
      <c r="AM786" s="127" t="b">
        <f t="shared" ref="AM786:AM791" si="250">IF(INDEX($AO786:$BM786,0,$F$14)=1,TRUE,FALSE)</f>
        <v>0</v>
      </c>
      <c r="AN786" s="127" t="str">
        <f t="shared" ref="AN786:AN791" si="251">IF(AM786,A786&amp;", "&amp;B786,"")</f>
        <v/>
      </c>
      <c r="AO786" s="129">
        <v>1</v>
      </c>
      <c r="AP786" s="129">
        <v>1</v>
      </c>
      <c r="AQ786" s="129">
        <v>1</v>
      </c>
      <c r="AR786" s="129"/>
      <c r="AS786" s="129"/>
      <c r="AT786" s="129"/>
      <c r="AU786" s="129"/>
      <c r="AV786" s="129"/>
      <c r="AW786" s="129"/>
      <c r="AX786" s="197"/>
      <c r="AY786" s="197"/>
      <c r="AZ786" s="197"/>
      <c r="BA786" s="197">
        <v>1</v>
      </c>
      <c r="BB786" s="129">
        <v>1</v>
      </c>
      <c r="BC786" s="129">
        <v>1</v>
      </c>
      <c r="BD786" s="129">
        <v>1</v>
      </c>
      <c r="BE786" s="129">
        <v>1</v>
      </c>
      <c r="BF786" s="129">
        <v>1</v>
      </c>
      <c r="BG786" s="129">
        <v>1</v>
      </c>
      <c r="BH786" s="129">
        <v>1</v>
      </c>
      <c r="BI786" s="129">
        <v>1</v>
      </c>
      <c r="BJ786" s="129">
        <v>1</v>
      </c>
      <c r="BK786" s="129">
        <v>1</v>
      </c>
      <c r="BL786" s="129"/>
      <c r="BM786" s="197"/>
    </row>
    <row r="787" spans="1:66" x14ac:dyDescent="0.25">
      <c r="A787" s="121" t="s">
        <v>127</v>
      </c>
      <c r="B787" s="121" t="s">
        <v>23</v>
      </c>
      <c r="C787" s="172" t="s">
        <v>397</v>
      </c>
      <c r="D787" s="161">
        <v>1</v>
      </c>
      <c r="E787" s="29" t="str">
        <f t="shared" si="246"/>
        <v>Expected nominal return (incl forecast asset revaluations)</v>
      </c>
      <c r="F787" s="122">
        <v>6806.5172138075868</v>
      </c>
      <c r="G787" s="122">
        <v>13677.073864164267</v>
      </c>
      <c r="H787" s="122">
        <v>1712.2381924031586</v>
      </c>
      <c r="I787" s="122">
        <v>5572.3052180738514</v>
      </c>
      <c r="J787" s="122">
        <v>7799.1438965238476</v>
      </c>
      <c r="K787" s="122">
        <v>2414.1977498345468</v>
      </c>
      <c r="L787" s="122">
        <v>2566.570835934956</v>
      </c>
      <c r="M787" s="122">
        <v>667.46481389578173</v>
      </c>
      <c r="N787" s="122">
        <v>3928.6273640418276</v>
      </c>
      <c r="O787" s="122">
        <v>6995.5486112688213</v>
      </c>
      <c r="P787" s="122">
        <v>59485.416300598787</v>
      </c>
      <c r="Q787" s="122">
        <v>5076.9052499434711</v>
      </c>
      <c r="R787" s="122">
        <v>3996.7983937649969</v>
      </c>
      <c r="S787" s="122">
        <v>24514.131985944601</v>
      </c>
      <c r="T787" s="122">
        <v>87461.526677100963</v>
      </c>
      <c r="U787" s="122">
        <v>34531.758520755764</v>
      </c>
      <c r="V787" s="122">
        <v>8643.8755864991672</v>
      </c>
      <c r="W787" s="54"/>
      <c r="X787" s="54"/>
      <c r="Y787" s="54"/>
      <c r="Z787" s="54"/>
      <c r="AA787" s="54"/>
      <c r="AB787" s="54"/>
      <c r="AC787" s="54"/>
      <c r="AD787" s="54"/>
      <c r="AE787" s="54"/>
      <c r="AF787" s="54"/>
      <c r="AG787" s="54"/>
      <c r="AH787" s="54"/>
      <c r="AI787" s="117">
        <f t="shared" si="247"/>
        <v>275850.10047455638</v>
      </c>
      <c r="AJ787" s="117">
        <f t="shared" si="248"/>
        <v>267206.22488805722</v>
      </c>
      <c r="AK787" s="117">
        <f t="shared" si="249"/>
        <v>0</v>
      </c>
      <c r="AL787" s="23"/>
      <c r="AM787" s="127" t="b">
        <f t="shared" si="250"/>
        <v>0</v>
      </c>
      <c r="AN787" s="127" t="str">
        <f t="shared" si="251"/>
        <v/>
      </c>
      <c r="AO787" s="129">
        <v>1</v>
      </c>
      <c r="AP787" s="129">
        <v>1</v>
      </c>
      <c r="AQ787" s="129">
        <v>1</v>
      </c>
      <c r="AR787" s="129"/>
      <c r="AS787" s="129"/>
      <c r="AT787" s="129"/>
      <c r="AU787" s="129"/>
      <c r="AV787" s="129"/>
      <c r="AW787" s="129"/>
      <c r="AX787" s="197"/>
      <c r="AY787" s="197"/>
      <c r="AZ787" s="197"/>
      <c r="BA787" s="197">
        <v>1</v>
      </c>
      <c r="BB787" s="129">
        <v>1</v>
      </c>
      <c r="BC787" s="129">
        <v>1</v>
      </c>
      <c r="BD787" s="129">
        <v>1</v>
      </c>
      <c r="BE787" s="129">
        <v>1</v>
      </c>
      <c r="BF787" s="129">
        <v>1</v>
      </c>
      <c r="BG787" s="129">
        <v>1</v>
      </c>
      <c r="BH787" s="129">
        <v>1</v>
      </c>
      <c r="BI787" s="129">
        <v>1</v>
      </c>
      <c r="BJ787" s="129">
        <v>1</v>
      </c>
      <c r="BK787" s="129">
        <v>1</v>
      </c>
      <c r="BL787" s="129"/>
      <c r="BM787" s="197"/>
    </row>
    <row r="788" spans="1:66" x14ac:dyDescent="0.25">
      <c r="A788" s="121" t="s">
        <v>127</v>
      </c>
      <c r="B788" s="121" t="s">
        <v>24</v>
      </c>
      <c r="C788" s="172" t="s">
        <v>397</v>
      </c>
      <c r="D788" s="161">
        <v>1</v>
      </c>
      <c r="E788" s="29" t="str">
        <f t="shared" si="246"/>
        <v>Expected nominal return (incl forecast asset revaluations)</v>
      </c>
      <c r="F788" s="122">
        <v>8631.2716853601396</v>
      </c>
      <c r="G788" s="122">
        <v>14258.768122871181</v>
      </c>
      <c r="H788" s="122">
        <v>2112.835223842128</v>
      </c>
      <c r="I788" s="122">
        <v>5565.5618163367972</v>
      </c>
      <c r="J788" s="122">
        <v>8277.5889348116671</v>
      </c>
      <c r="K788" s="122">
        <v>2587.9716550868438</v>
      </c>
      <c r="L788" s="122">
        <v>2950.2286937847512</v>
      </c>
      <c r="M788" s="122">
        <v>1185.2974598010378</v>
      </c>
      <c r="N788" s="122">
        <v>4359.4073623376844</v>
      </c>
      <c r="O788" s="122">
        <v>7208.269787295103</v>
      </c>
      <c r="P788" s="122">
        <v>60426.860156339324</v>
      </c>
      <c r="Q788" s="122">
        <v>5493.4232066396307</v>
      </c>
      <c r="R788" s="122">
        <v>4889.7138518260645</v>
      </c>
      <c r="S788" s="122">
        <v>25640.689026788721</v>
      </c>
      <c r="T788" s="122">
        <v>90639.300940563728</v>
      </c>
      <c r="U788" s="122">
        <v>33985.187511666591</v>
      </c>
      <c r="V788" s="122">
        <v>8732.1696500922535</v>
      </c>
      <c r="W788" s="54"/>
      <c r="X788" s="54"/>
      <c r="Y788" s="54"/>
      <c r="Z788" s="54"/>
      <c r="AA788" s="54"/>
      <c r="AB788" s="54"/>
      <c r="AC788" s="54"/>
      <c r="AD788" s="54"/>
      <c r="AE788" s="54"/>
      <c r="AF788" s="54"/>
      <c r="AG788" s="54"/>
      <c r="AH788" s="54"/>
      <c r="AI788" s="117">
        <f t="shared" si="247"/>
        <v>286944.54508544365</v>
      </c>
      <c r="AJ788" s="117">
        <f t="shared" si="248"/>
        <v>278212.37543535139</v>
      </c>
      <c r="AK788" s="117">
        <f t="shared" si="249"/>
        <v>0</v>
      </c>
      <c r="AL788" s="23"/>
      <c r="AM788" s="127" t="b">
        <f t="shared" si="250"/>
        <v>0</v>
      </c>
      <c r="AN788" s="127" t="str">
        <f t="shared" si="251"/>
        <v/>
      </c>
      <c r="AO788" s="129">
        <v>1</v>
      </c>
      <c r="AP788" s="129">
        <v>1</v>
      </c>
      <c r="AQ788" s="129">
        <v>1</v>
      </c>
      <c r="AR788" s="129"/>
      <c r="AS788" s="129"/>
      <c r="AT788" s="129"/>
      <c r="AU788" s="129"/>
      <c r="AV788" s="129"/>
      <c r="AW788" s="129"/>
      <c r="AX788" s="197"/>
      <c r="AY788" s="197"/>
      <c r="AZ788" s="197"/>
      <c r="BA788" s="197">
        <v>1</v>
      </c>
      <c r="BB788" s="129">
        <v>1</v>
      </c>
      <c r="BC788" s="129">
        <v>1</v>
      </c>
      <c r="BD788" s="129">
        <v>1</v>
      </c>
      <c r="BE788" s="129">
        <v>1</v>
      </c>
      <c r="BF788" s="129">
        <v>1</v>
      </c>
      <c r="BG788" s="129">
        <v>1</v>
      </c>
      <c r="BH788" s="129">
        <v>1</v>
      </c>
      <c r="BI788" s="129">
        <v>1</v>
      </c>
      <c r="BJ788" s="129">
        <v>1</v>
      </c>
      <c r="BK788" s="129">
        <v>1</v>
      </c>
      <c r="BL788" s="129"/>
      <c r="BM788" s="197"/>
    </row>
    <row r="789" spans="1:66" x14ac:dyDescent="0.25">
      <c r="A789" s="121" t="s">
        <v>127</v>
      </c>
      <c r="B789" s="121" t="s">
        <v>25</v>
      </c>
      <c r="C789" s="172" t="s">
        <v>397</v>
      </c>
      <c r="D789" s="161">
        <v>1</v>
      </c>
      <c r="E789" s="29" t="str">
        <f t="shared" si="246"/>
        <v>Expected nominal return (incl forecast asset revaluations)</v>
      </c>
      <c r="F789" s="122">
        <v>10059.891344282407</v>
      </c>
      <c r="G789" s="122">
        <v>14834.752587187169</v>
      </c>
      <c r="H789" s="122">
        <v>2199.5566840488768</v>
      </c>
      <c r="I789" s="122">
        <v>5596.6041792292281</v>
      </c>
      <c r="J789" s="122">
        <v>9057.4974090506057</v>
      </c>
      <c r="K789" s="122">
        <v>2694.6739166925299</v>
      </c>
      <c r="L789" s="122">
        <v>3307.7553112155579</v>
      </c>
      <c r="M789" s="122">
        <v>1671.6552332893675</v>
      </c>
      <c r="N789" s="122">
        <v>4654.9350079365086</v>
      </c>
      <c r="O789" s="122">
        <v>7424.6409991455994</v>
      </c>
      <c r="P789" s="122">
        <v>61361.984099769666</v>
      </c>
      <c r="Q789" s="122">
        <v>5803.9193831752073</v>
      </c>
      <c r="R789" s="122">
        <v>5856.2182054191262</v>
      </c>
      <c r="S789" s="122">
        <v>27466.246844541736</v>
      </c>
      <c r="T789" s="122">
        <v>94585.330127132154</v>
      </c>
      <c r="U789" s="122">
        <v>33772.252881805754</v>
      </c>
      <c r="V789" s="122">
        <v>8799.5164704103281</v>
      </c>
      <c r="W789" s="54"/>
      <c r="X789" s="54"/>
      <c r="Y789" s="54"/>
      <c r="Z789" s="54"/>
      <c r="AA789" s="54"/>
      <c r="AB789" s="54"/>
      <c r="AC789" s="54"/>
      <c r="AD789" s="54"/>
      <c r="AE789" s="54"/>
      <c r="AF789" s="54"/>
      <c r="AG789" s="54"/>
      <c r="AH789" s="54"/>
      <c r="AI789" s="117">
        <f t="shared" si="247"/>
        <v>299147.43068433186</v>
      </c>
      <c r="AJ789" s="117">
        <f t="shared" si="248"/>
        <v>290347.91421392153</v>
      </c>
      <c r="AK789" s="117">
        <f t="shared" si="249"/>
        <v>0</v>
      </c>
      <c r="AL789" s="23"/>
      <c r="AM789" s="127" t="b">
        <f t="shared" si="250"/>
        <v>0</v>
      </c>
      <c r="AN789" s="127" t="str">
        <f t="shared" si="251"/>
        <v/>
      </c>
      <c r="AO789" s="129">
        <v>1</v>
      </c>
      <c r="AP789" s="129">
        <v>1</v>
      </c>
      <c r="AQ789" s="129">
        <v>1</v>
      </c>
      <c r="AR789" s="129"/>
      <c r="AS789" s="129"/>
      <c r="AT789" s="129"/>
      <c r="AU789" s="129"/>
      <c r="AV789" s="129"/>
      <c r="AW789" s="129"/>
      <c r="AX789" s="197"/>
      <c r="AY789" s="197"/>
      <c r="AZ789" s="197"/>
      <c r="BA789" s="197">
        <v>1</v>
      </c>
      <c r="BB789" s="129">
        <v>1</v>
      </c>
      <c r="BC789" s="129">
        <v>1</v>
      </c>
      <c r="BD789" s="129">
        <v>1</v>
      </c>
      <c r="BE789" s="129">
        <v>1</v>
      </c>
      <c r="BF789" s="129">
        <v>1</v>
      </c>
      <c r="BG789" s="129">
        <v>1</v>
      </c>
      <c r="BH789" s="129">
        <v>1</v>
      </c>
      <c r="BI789" s="129">
        <v>1</v>
      </c>
      <c r="BJ789" s="129">
        <v>1</v>
      </c>
      <c r="BK789" s="129">
        <v>1</v>
      </c>
      <c r="BL789" s="129"/>
      <c r="BM789" s="197"/>
    </row>
    <row r="790" spans="1:66" x14ac:dyDescent="0.25">
      <c r="A790" s="121" t="s">
        <v>127</v>
      </c>
      <c r="B790" s="121" t="s">
        <v>26</v>
      </c>
      <c r="C790" s="172" t="s">
        <v>397</v>
      </c>
      <c r="D790" s="161">
        <v>1</v>
      </c>
      <c r="E790" s="29" t="str">
        <f t="shared" si="246"/>
        <v>Expected nominal return (incl forecast asset revaluations)</v>
      </c>
      <c r="F790" s="122">
        <v>12094.468745846403</v>
      </c>
      <c r="G790" s="122">
        <v>15008.963670624067</v>
      </c>
      <c r="H790" s="122">
        <v>2354.8846182520815</v>
      </c>
      <c r="I790" s="122">
        <v>5626.0493776986305</v>
      </c>
      <c r="J790" s="122">
        <v>9132.7019730916618</v>
      </c>
      <c r="K790" s="122">
        <v>2783.534879216405</v>
      </c>
      <c r="L790" s="122">
        <v>3577.2220412136417</v>
      </c>
      <c r="M790" s="122">
        <v>1693.7318737078324</v>
      </c>
      <c r="N790" s="122">
        <v>4812.0055705145151</v>
      </c>
      <c r="O790" s="122">
        <v>7663.2608340173774</v>
      </c>
      <c r="P790" s="122">
        <v>62385.443370661043</v>
      </c>
      <c r="Q790" s="122">
        <v>6131.8420688783381</v>
      </c>
      <c r="R790" s="122">
        <v>6663.3407723160981</v>
      </c>
      <c r="S790" s="122">
        <v>28883.969088934962</v>
      </c>
      <c r="T790" s="122">
        <v>99299.33064460184</v>
      </c>
      <c r="U790" s="122">
        <v>33845.330063945265</v>
      </c>
      <c r="V790" s="122">
        <v>8994.0714208810186</v>
      </c>
      <c r="W790" s="54"/>
      <c r="X790" s="54"/>
      <c r="Y790" s="54"/>
      <c r="Z790" s="54"/>
      <c r="AA790" s="54"/>
      <c r="AB790" s="54"/>
      <c r="AC790" s="54"/>
      <c r="AD790" s="54"/>
      <c r="AE790" s="54"/>
      <c r="AF790" s="54"/>
      <c r="AG790" s="54"/>
      <c r="AH790" s="54"/>
      <c r="AI790" s="117">
        <f t="shared" si="247"/>
        <v>310950.15101440117</v>
      </c>
      <c r="AJ790" s="117">
        <f t="shared" si="248"/>
        <v>301956.07959352015</v>
      </c>
      <c r="AK790" s="117">
        <f t="shared" si="249"/>
        <v>0</v>
      </c>
      <c r="AL790" s="23"/>
      <c r="AM790" s="127" t="b">
        <f t="shared" si="250"/>
        <v>0</v>
      </c>
      <c r="AN790" s="127" t="str">
        <f t="shared" si="251"/>
        <v/>
      </c>
      <c r="AO790" s="129">
        <v>1</v>
      </c>
      <c r="AP790" s="129">
        <v>1</v>
      </c>
      <c r="AQ790" s="129">
        <v>1</v>
      </c>
      <c r="AR790" s="129"/>
      <c r="AS790" s="129"/>
      <c r="AT790" s="129"/>
      <c r="AU790" s="129"/>
      <c r="AV790" s="129"/>
      <c r="AW790" s="129"/>
      <c r="AX790" s="197"/>
      <c r="AY790" s="197"/>
      <c r="AZ790" s="197"/>
      <c r="BA790" s="197">
        <v>1</v>
      </c>
      <c r="BB790" s="129">
        <v>1</v>
      </c>
      <c r="BC790" s="129">
        <v>1</v>
      </c>
      <c r="BD790" s="129">
        <v>1</v>
      </c>
      <c r="BE790" s="129">
        <v>1</v>
      </c>
      <c r="BF790" s="129">
        <v>1</v>
      </c>
      <c r="BG790" s="129">
        <v>1</v>
      </c>
      <c r="BH790" s="129">
        <v>1</v>
      </c>
      <c r="BI790" s="129">
        <v>1</v>
      </c>
      <c r="BJ790" s="129">
        <v>1</v>
      </c>
      <c r="BK790" s="129">
        <v>1</v>
      </c>
      <c r="BL790" s="129"/>
      <c r="BM790" s="197"/>
    </row>
    <row r="791" spans="1:66" x14ac:dyDescent="0.25">
      <c r="A791" s="121" t="s">
        <v>127</v>
      </c>
      <c r="B791" s="121" t="s">
        <v>27</v>
      </c>
      <c r="C791" s="172" t="s">
        <v>397</v>
      </c>
      <c r="D791" s="161">
        <v>1</v>
      </c>
      <c r="E791" s="29" t="str">
        <f t="shared" si="246"/>
        <v>Expected nominal return (incl forecast asset revaluations)</v>
      </c>
      <c r="F791" s="122">
        <v>12947.644905737447</v>
      </c>
      <c r="G791" s="122">
        <v>15523.473381607442</v>
      </c>
      <c r="H791" s="122">
        <v>2436.9695207044865</v>
      </c>
      <c r="I791" s="122">
        <v>5658.7257435417732</v>
      </c>
      <c r="J791" s="122">
        <v>9349.1325924302455</v>
      </c>
      <c r="K791" s="122">
        <v>2826.3979612399189</v>
      </c>
      <c r="L791" s="122">
        <v>3674.0007131292045</v>
      </c>
      <c r="M791" s="122">
        <v>1680.9756097304082</v>
      </c>
      <c r="N791" s="122">
        <v>4886.1059317495947</v>
      </c>
      <c r="O791" s="122">
        <v>7878.0082773109871</v>
      </c>
      <c r="P791" s="122">
        <v>63727.645919874973</v>
      </c>
      <c r="Q791" s="122">
        <v>6491.4912772654061</v>
      </c>
      <c r="R791" s="122">
        <v>7360.0122170437626</v>
      </c>
      <c r="S791" s="122">
        <v>30406.802819407989</v>
      </c>
      <c r="T791" s="122">
        <v>104509.73144746352</v>
      </c>
      <c r="U791" s="122">
        <v>33966.458776745276</v>
      </c>
      <c r="V791" s="122">
        <v>8899.2572418529326</v>
      </c>
      <c r="W791" s="54"/>
      <c r="X791" s="54"/>
      <c r="Y791" s="54"/>
      <c r="Z791" s="54"/>
      <c r="AA791" s="54"/>
      <c r="AB791" s="54"/>
      <c r="AC791" s="54"/>
      <c r="AD791" s="54"/>
      <c r="AE791" s="54"/>
      <c r="AF791" s="54"/>
      <c r="AG791" s="54"/>
      <c r="AH791" s="54"/>
      <c r="AI791" s="117">
        <f t="shared" si="247"/>
        <v>322222.83433683531</v>
      </c>
      <c r="AJ791" s="117">
        <f t="shared" si="248"/>
        <v>313323.57709498238</v>
      </c>
      <c r="AK791" s="117">
        <f t="shared" si="249"/>
        <v>0</v>
      </c>
      <c r="AL791" s="23"/>
      <c r="AM791" s="127" t="b">
        <f t="shared" si="250"/>
        <v>0</v>
      </c>
      <c r="AN791" s="127" t="str">
        <f t="shared" si="251"/>
        <v/>
      </c>
      <c r="AO791" s="129">
        <v>1</v>
      </c>
      <c r="AP791" s="129">
        <v>1</v>
      </c>
      <c r="AQ791" s="129">
        <v>1</v>
      </c>
      <c r="AR791" s="129"/>
      <c r="AS791" s="129"/>
      <c r="AT791" s="129"/>
      <c r="AU791" s="129"/>
      <c r="AV791" s="129"/>
      <c r="AW791" s="129"/>
      <c r="AX791" s="197"/>
      <c r="AY791" s="197"/>
      <c r="AZ791" s="197"/>
      <c r="BA791" s="197">
        <v>1</v>
      </c>
      <c r="BB791" s="129">
        <v>1</v>
      </c>
      <c r="BC791" s="129">
        <v>1</v>
      </c>
      <c r="BD791" s="129">
        <v>1</v>
      </c>
      <c r="BE791" s="129">
        <v>1</v>
      </c>
      <c r="BF791" s="129">
        <v>1</v>
      </c>
      <c r="BG791" s="129">
        <v>1</v>
      </c>
      <c r="BH791" s="129">
        <v>1</v>
      </c>
      <c r="BI791" s="129">
        <v>1</v>
      </c>
      <c r="BJ791" s="129">
        <v>1</v>
      </c>
      <c r="BK791" s="129">
        <v>1</v>
      </c>
      <c r="BL791" s="129"/>
      <c r="BM791" s="197"/>
    </row>
    <row r="792" spans="1:66" x14ac:dyDescent="0.25">
      <c r="A792" s="166"/>
      <c r="B792" s="166"/>
      <c r="C792" s="172"/>
      <c r="D792" s="49"/>
      <c r="E792" s="49"/>
      <c r="F792" s="54"/>
      <c r="G792" s="54"/>
      <c r="H792" s="54"/>
      <c r="I792" s="54"/>
      <c r="J792" s="54"/>
      <c r="K792" s="54"/>
      <c r="L792" s="54"/>
      <c r="M792" s="54"/>
      <c r="N792" s="54"/>
      <c r="O792" s="54"/>
      <c r="P792" s="54"/>
      <c r="Q792" s="54"/>
      <c r="R792" s="54"/>
      <c r="S792" s="54"/>
      <c r="T792" s="54"/>
      <c r="U792" s="54"/>
      <c r="V792" s="54"/>
      <c r="W792" s="55"/>
      <c r="X792" s="55"/>
      <c r="Y792" s="55"/>
      <c r="Z792" s="55"/>
      <c r="AA792" s="55"/>
      <c r="AB792" s="55"/>
      <c r="AC792" s="55"/>
      <c r="AD792" s="55"/>
      <c r="AE792" s="55"/>
      <c r="AF792" s="55"/>
      <c r="AG792" s="55"/>
      <c r="AH792" s="55"/>
      <c r="AI792" s="54"/>
      <c r="AJ792" s="54"/>
      <c r="AK792" s="54"/>
      <c r="AL792" s="23"/>
      <c r="AM792" s="127"/>
      <c r="AN792" s="127"/>
      <c r="AO792" s="129"/>
      <c r="AP792" s="129"/>
      <c r="AQ792" s="129"/>
      <c r="AR792" s="129"/>
      <c r="AS792" s="129"/>
      <c r="AT792" s="129"/>
      <c r="AU792" s="129"/>
      <c r="AV792" s="129"/>
      <c r="AW792" s="129"/>
      <c r="AX792" s="197"/>
      <c r="AY792" s="197"/>
      <c r="AZ792" s="197"/>
      <c r="BA792" s="197"/>
      <c r="BB792" s="129"/>
      <c r="BC792" s="129"/>
      <c r="BD792" s="129"/>
      <c r="BE792" s="129"/>
      <c r="BF792" s="129"/>
      <c r="BG792" s="129"/>
      <c r="BH792" s="129"/>
      <c r="BI792" s="129"/>
      <c r="BJ792" s="129"/>
      <c r="BK792" s="129"/>
      <c r="BL792" s="129"/>
      <c r="BM792" s="197"/>
    </row>
    <row r="793" spans="1:66" x14ac:dyDescent="0.25">
      <c r="A793" s="166"/>
      <c r="B793" s="166"/>
      <c r="C793" s="172"/>
      <c r="D793" s="46"/>
      <c r="E793" s="46"/>
      <c r="F793" s="54"/>
      <c r="G793" s="54"/>
      <c r="H793" s="54"/>
      <c r="I793" s="54"/>
      <c r="J793" s="54"/>
      <c r="K793" s="54"/>
      <c r="L793" s="54"/>
      <c r="M793" s="54"/>
      <c r="N793" s="54"/>
      <c r="O793" s="54"/>
      <c r="P793" s="54"/>
      <c r="Q793" s="54"/>
      <c r="R793" s="54"/>
      <c r="S793" s="54"/>
      <c r="T793" s="54"/>
      <c r="U793" s="54"/>
      <c r="V793" s="54"/>
      <c r="W793" s="55"/>
      <c r="X793" s="55"/>
      <c r="Y793" s="55"/>
      <c r="Z793" s="55"/>
      <c r="AA793" s="55"/>
      <c r="AB793" s="55"/>
      <c r="AC793" s="55"/>
      <c r="AD793" s="55"/>
      <c r="AE793" s="55"/>
      <c r="AF793" s="55"/>
      <c r="AG793" s="55"/>
      <c r="AH793" s="55"/>
      <c r="AI793" s="54"/>
      <c r="AJ793" s="54"/>
      <c r="AK793" s="54"/>
      <c r="AL793" s="23"/>
      <c r="AM793" s="127"/>
      <c r="AN793" s="127"/>
      <c r="AO793" s="129"/>
      <c r="AP793" s="129"/>
      <c r="AQ793" s="129"/>
      <c r="AR793" s="129"/>
      <c r="AS793" s="129"/>
      <c r="AT793" s="129"/>
      <c r="AU793" s="129"/>
      <c r="AV793" s="129"/>
      <c r="AW793" s="129"/>
      <c r="AX793" s="197"/>
      <c r="AY793" s="197"/>
      <c r="AZ793" s="197"/>
      <c r="BA793" s="197"/>
      <c r="BB793" s="129"/>
      <c r="BC793" s="129"/>
      <c r="BD793" s="129"/>
      <c r="BE793" s="129"/>
      <c r="BF793" s="129"/>
      <c r="BG793" s="129"/>
      <c r="BH793" s="129"/>
      <c r="BI793" s="129"/>
      <c r="BJ793" s="129"/>
      <c r="BK793" s="129"/>
      <c r="BL793" s="129"/>
      <c r="BM793" s="197"/>
    </row>
    <row r="794" spans="1:66" x14ac:dyDescent="0.25">
      <c r="A794" s="166" t="s">
        <v>127</v>
      </c>
      <c r="B794" s="166" t="s">
        <v>22</v>
      </c>
      <c r="C794" s="172" t="s">
        <v>370</v>
      </c>
      <c r="D794" s="161">
        <v>4</v>
      </c>
      <c r="E794" s="29" t="str">
        <f t="shared" ref="E794:E799" si="252">INDEX(ra_ScName,MATCH(D794,ra_ScNumber,0))</f>
        <v>Net additions prior to 1 April 2012</v>
      </c>
      <c r="F794" s="122">
        <v>6432</v>
      </c>
      <c r="G794" s="122">
        <v>13769</v>
      </c>
      <c r="H794" s="122">
        <v>1623</v>
      </c>
      <c r="I794" s="122">
        <v>5625</v>
      </c>
      <c r="J794" s="122">
        <v>7099</v>
      </c>
      <c r="K794" s="122">
        <v>2348</v>
      </c>
      <c r="L794" s="122">
        <v>2561.6080000000002</v>
      </c>
      <c r="M794" s="122">
        <v>608</v>
      </c>
      <c r="N794" s="122">
        <v>3793.4187615999958</v>
      </c>
      <c r="O794" s="122">
        <v>7144</v>
      </c>
      <c r="P794" s="122">
        <v>59202</v>
      </c>
      <c r="Q794" s="122">
        <v>4851.8784151308691</v>
      </c>
      <c r="R794" s="122">
        <v>3774</v>
      </c>
      <c r="S794" s="122">
        <v>23479</v>
      </c>
      <c r="T794" s="122">
        <v>82690</v>
      </c>
      <c r="U794" s="122">
        <v>34488.45398000002</v>
      </c>
      <c r="V794" s="122"/>
      <c r="W794" s="54"/>
      <c r="X794" s="54"/>
      <c r="Y794" s="54"/>
      <c r="Z794" s="54"/>
      <c r="AA794" s="54"/>
      <c r="AB794" s="54"/>
      <c r="AC794" s="54"/>
      <c r="AD794" s="54"/>
      <c r="AE794" s="54"/>
      <c r="AF794" s="54"/>
      <c r="AG794" s="54"/>
      <c r="AH794" s="54"/>
      <c r="AI794" s="117">
        <f t="shared" ref="AI794:AI799" si="253">SUM(F794:AH794)</f>
        <v>259488.35915673088</v>
      </c>
      <c r="AJ794" s="117">
        <f t="shared" ref="AJ794:AJ799" si="254">SUM(F794:U794)</f>
        <v>259488.35915673088</v>
      </c>
      <c r="AK794" s="117">
        <f t="shared" ref="AK794:AK799" si="255">SUM(W794:AH794)</f>
        <v>0</v>
      </c>
      <c r="AL794" s="23"/>
      <c r="AM794" s="127" t="b">
        <f t="shared" ref="AM794:AM799" si="256">IF(INDEX($AO794:$BM794,0,$F$14)=1,TRUE,FALSE)</f>
        <v>0</v>
      </c>
      <c r="AN794" s="127" t="str">
        <f t="shared" ref="AN794:AN799" si="257">IF(AM794,A794&amp;", "&amp;B794,"")</f>
        <v/>
      </c>
      <c r="AO794" s="129"/>
      <c r="AP794" s="129"/>
      <c r="AQ794" s="129"/>
      <c r="AR794" s="129">
        <v>1</v>
      </c>
      <c r="AS794" s="129"/>
      <c r="AT794" s="129"/>
      <c r="AU794" s="129"/>
      <c r="AV794" s="129"/>
      <c r="AW794" s="129"/>
      <c r="AX794" s="197"/>
      <c r="AY794" s="197"/>
      <c r="AZ794" s="197"/>
      <c r="BA794" s="197"/>
      <c r="BB794" s="129"/>
      <c r="BC794" s="129"/>
      <c r="BD794" s="129"/>
      <c r="BE794" s="129"/>
      <c r="BF794" s="129"/>
      <c r="BG794" s="129"/>
      <c r="BH794" s="129"/>
      <c r="BI794" s="129"/>
      <c r="BJ794" s="129"/>
      <c r="BK794" s="129"/>
      <c r="BL794" s="129"/>
      <c r="BM794" s="197"/>
    </row>
    <row r="795" spans="1:66" x14ac:dyDescent="0.25">
      <c r="A795" s="166" t="s">
        <v>127</v>
      </c>
      <c r="B795" s="166" t="s">
        <v>23</v>
      </c>
      <c r="C795" s="172" t="s">
        <v>370</v>
      </c>
      <c r="D795" s="161">
        <v>4</v>
      </c>
      <c r="E795" s="29" t="str">
        <f t="shared" si="252"/>
        <v>Net additions prior to 1 April 2012</v>
      </c>
      <c r="F795" s="122">
        <v>6434.6447896049358</v>
      </c>
      <c r="G795" s="122">
        <v>13726.874802564342</v>
      </c>
      <c r="H795" s="122">
        <v>1718.5639547612832</v>
      </c>
      <c r="I795" s="122">
        <v>5600.5836654707864</v>
      </c>
      <c r="J795" s="122">
        <v>7799.1438965238476</v>
      </c>
      <c r="K795" s="122">
        <v>2414.1065854842268</v>
      </c>
      <c r="L795" s="122">
        <v>2520.6764405678318</v>
      </c>
      <c r="M795" s="122">
        <v>667.40446650124068</v>
      </c>
      <c r="N795" s="122">
        <v>3840.3432811815283</v>
      </c>
      <c r="O795" s="122">
        <v>6985.4896100651786</v>
      </c>
      <c r="P795" s="122">
        <v>59411.221552844363</v>
      </c>
      <c r="Q795" s="122">
        <v>5144.4045537063848</v>
      </c>
      <c r="R795" s="122">
        <v>3996.8268611980434</v>
      </c>
      <c r="S795" s="122">
        <v>24515.208116145965</v>
      </c>
      <c r="T795" s="122">
        <v>87461.526677100963</v>
      </c>
      <c r="U795" s="122">
        <v>34496.385300214686</v>
      </c>
      <c r="V795" s="122"/>
      <c r="W795" s="54"/>
      <c r="X795" s="54"/>
      <c r="Y795" s="54"/>
      <c r="Z795" s="54"/>
      <c r="AA795" s="54"/>
      <c r="AB795" s="54"/>
      <c r="AC795" s="54"/>
      <c r="AD795" s="54"/>
      <c r="AE795" s="54"/>
      <c r="AF795" s="54"/>
      <c r="AG795" s="54"/>
      <c r="AH795" s="54"/>
      <c r="AI795" s="117">
        <f t="shared" si="253"/>
        <v>266733.40455393563</v>
      </c>
      <c r="AJ795" s="117">
        <f t="shared" si="254"/>
        <v>266733.40455393563</v>
      </c>
      <c r="AK795" s="117">
        <f t="shared" si="255"/>
        <v>0</v>
      </c>
      <c r="AL795" s="23"/>
      <c r="AM795" s="127" t="b">
        <f t="shared" si="256"/>
        <v>0</v>
      </c>
      <c r="AN795" s="127" t="str">
        <f t="shared" si="257"/>
        <v/>
      </c>
      <c r="AO795" s="129"/>
      <c r="AP795" s="129"/>
      <c r="AQ795" s="129"/>
      <c r="AR795" s="129">
        <v>1</v>
      </c>
      <c r="AS795" s="129"/>
      <c r="AT795" s="129"/>
      <c r="AU795" s="129"/>
      <c r="AV795" s="129"/>
      <c r="AW795" s="129"/>
      <c r="AX795" s="197"/>
      <c r="AY795" s="197"/>
      <c r="AZ795" s="197"/>
      <c r="BA795" s="197"/>
      <c r="BB795" s="129"/>
      <c r="BC795" s="129"/>
      <c r="BD795" s="129"/>
      <c r="BE795" s="129"/>
      <c r="BF795" s="129"/>
      <c r="BG795" s="129"/>
      <c r="BH795" s="129"/>
      <c r="BI795" s="129"/>
      <c r="BJ795" s="129"/>
      <c r="BK795" s="129"/>
      <c r="BL795" s="129"/>
      <c r="BM795" s="197"/>
    </row>
    <row r="796" spans="1:66" x14ac:dyDescent="0.25">
      <c r="A796" s="166" t="s">
        <v>127</v>
      </c>
      <c r="B796" s="166" t="s">
        <v>24</v>
      </c>
      <c r="C796" s="172" t="s">
        <v>370</v>
      </c>
      <c r="D796" s="161">
        <v>4</v>
      </c>
      <c r="E796" s="29" t="str">
        <f t="shared" si="252"/>
        <v>Net additions prior to 1 April 2012</v>
      </c>
      <c r="F796" s="122">
        <v>6838.1171058088512</v>
      </c>
      <c r="G796" s="122">
        <v>13968.306571743751</v>
      </c>
      <c r="H796" s="122">
        <v>2259.0442786959206</v>
      </c>
      <c r="I796" s="122">
        <v>5624.2908390506927</v>
      </c>
      <c r="J796" s="122">
        <v>8751.9792482986068</v>
      </c>
      <c r="K796" s="122">
        <v>2436.3790115721613</v>
      </c>
      <c r="L796" s="122">
        <v>2713.3053106457296</v>
      </c>
      <c r="M796" s="122">
        <v>801.82786668226515</v>
      </c>
      <c r="N796" s="122">
        <v>4009.5216795046645</v>
      </c>
      <c r="O796" s="122">
        <v>7012.7065408408962</v>
      </c>
      <c r="P796" s="122">
        <v>60035.626888742059</v>
      </c>
      <c r="Q796" s="122">
        <v>5332.7226727186844</v>
      </c>
      <c r="R796" s="122">
        <v>4544.551184066615</v>
      </c>
      <c r="S796" s="122">
        <v>25134.740801801934</v>
      </c>
      <c r="T796" s="122">
        <v>90768.759037436612</v>
      </c>
      <c r="U796" s="122">
        <v>33332.521602496272</v>
      </c>
      <c r="V796" s="122"/>
      <c r="W796" s="54"/>
      <c r="X796" s="54"/>
      <c r="Y796" s="54"/>
      <c r="Z796" s="54"/>
      <c r="AA796" s="54"/>
      <c r="AB796" s="54"/>
      <c r="AC796" s="54"/>
      <c r="AD796" s="54"/>
      <c r="AE796" s="54"/>
      <c r="AF796" s="54"/>
      <c r="AG796" s="54"/>
      <c r="AH796" s="54"/>
      <c r="AI796" s="117">
        <f t="shared" si="253"/>
        <v>273564.40064010571</v>
      </c>
      <c r="AJ796" s="117">
        <f t="shared" si="254"/>
        <v>273564.40064010571</v>
      </c>
      <c r="AK796" s="117">
        <f t="shared" si="255"/>
        <v>0</v>
      </c>
      <c r="AL796" s="23"/>
      <c r="AM796" s="127" t="b">
        <f t="shared" si="256"/>
        <v>0</v>
      </c>
      <c r="AN796" s="127" t="str">
        <f t="shared" si="257"/>
        <v/>
      </c>
      <c r="AO796" s="129"/>
      <c r="AP796" s="129"/>
      <c r="AQ796" s="129"/>
      <c r="AR796" s="129">
        <v>1</v>
      </c>
      <c r="AS796" s="129"/>
      <c r="AT796" s="129"/>
      <c r="AU796" s="129"/>
      <c r="AV796" s="129"/>
      <c r="AW796" s="129"/>
      <c r="AX796" s="197"/>
      <c r="AY796" s="197"/>
      <c r="AZ796" s="197"/>
      <c r="BA796" s="197"/>
      <c r="BB796" s="129"/>
      <c r="BC796" s="129"/>
      <c r="BD796" s="129"/>
      <c r="BE796" s="129"/>
      <c r="BF796" s="129"/>
      <c r="BG796" s="129"/>
      <c r="BH796" s="129"/>
      <c r="BI796" s="129"/>
      <c r="BJ796" s="129"/>
      <c r="BK796" s="129"/>
      <c r="BL796" s="129"/>
      <c r="BM796" s="197"/>
    </row>
    <row r="797" spans="1:66" x14ac:dyDescent="0.25">
      <c r="A797" s="166" t="s">
        <v>127</v>
      </c>
      <c r="B797" s="166" t="s">
        <v>25</v>
      </c>
      <c r="C797" s="172" t="s">
        <v>370</v>
      </c>
      <c r="D797" s="161">
        <v>4</v>
      </c>
      <c r="E797" s="29" t="str">
        <f t="shared" si="252"/>
        <v>Net additions prior to 1 April 2012</v>
      </c>
      <c r="F797" s="122">
        <v>6950.8820602975884</v>
      </c>
      <c r="G797" s="122">
        <v>13855.609645857849</v>
      </c>
      <c r="H797" s="122">
        <v>2305.2225993509046</v>
      </c>
      <c r="I797" s="122">
        <v>5580.0386999960174</v>
      </c>
      <c r="J797" s="122">
        <v>9115.5736376266432</v>
      </c>
      <c r="K797" s="122">
        <v>2509.7892070642665</v>
      </c>
      <c r="L797" s="122">
        <v>2855.6945619787152</v>
      </c>
      <c r="M797" s="122">
        <v>813.15923409187781</v>
      </c>
      <c r="N797" s="122">
        <v>3927.3128755924804</v>
      </c>
      <c r="O797" s="122">
        <v>6932.947865213896</v>
      </c>
      <c r="P797" s="122">
        <v>60457.784384023777</v>
      </c>
      <c r="Q797" s="122">
        <v>5760.8879024728858</v>
      </c>
      <c r="R797" s="122">
        <v>5308.8871436763611</v>
      </c>
      <c r="S797" s="122">
        <v>24824.311100986044</v>
      </c>
      <c r="T797" s="122">
        <v>91908.104480214839</v>
      </c>
      <c r="U797" s="122">
        <v>31790.174009475646</v>
      </c>
      <c r="V797" s="122"/>
      <c r="W797" s="54"/>
      <c r="X797" s="54"/>
      <c r="Y797" s="54"/>
      <c r="Z797" s="54"/>
      <c r="AA797" s="54"/>
      <c r="AB797" s="54"/>
      <c r="AC797" s="54"/>
      <c r="AD797" s="54"/>
      <c r="AE797" s="54"/>
      <c r="AF797" s="54"/>
      <c r="AG797" s="54"/>
      <c r="AH797" s="54"/>
      <c r="AI797" s="117">
        <f t="shared" si="253"/>
        <v>274896.37940791977</v>
      </c>
      <c r="AJ797" s="117">
        <f t="shared" si="254"/>
        <v>274896.37940791977</v>
      </c>
      <c r="AK797" s="117">
        <f t="shared" si="255"/>
        <v>0</v>
      </c>
      <c r="AL797" s="23"/>
      <c r="AM797" s="127" t="b">
        <f t="shared" si="256"/>
        <v>0</v>
      </c>
      <c r="AN797" s="127" t="str">
        <f t="shared" si="257"/>
        <v/>
      </c>
      <c r="AO797" s="129"/>
      <c r="AP797" s="129"/>
      <c r="AQ797" s="129"/>
      <c r="AR797" s="129">
        <v>1</v>
      </c>
      <c r="AS797" s="129"/>
      <c r="AT797" s="129"/>
      <c r="AU797" s="129"/>
      <c r="AV797" s="129"/>
      <c r="AW797" s="129"/>
      <c r="AX797" s="197"/>
      <c r="AY797" s="197"/>
      <c r="AZ797" s="197"/>
      <c r="BA797" s="197"/>
      <c r="BB797" s="129"/>
      <c r="BC797" s="129"/>
      <c r="BD797" s="129"/>
      <c r="BE797" s="129"/>
      <c r="BF797" s="129"/>
      <c r="BG797" s="129"/>
      <c r="BH797" s="129"/>
      <c r="BI797" s="129"/>
      <c r="BJ797" s="129"/>
      <c r="BK797" s="129"/>
      <c r="BL797" s="129"/>
      <c r="BM797" s="197"/>
    </row>
    <row r="798" spans="1:66" x14ac:dyDescent="0.25">
      <c r="A798" s="166" t="s">
        <v>127</v>
      </c>
      <c r="B798" s="166" t="s">
        <v>26</v>
      </c>
      <c r="C798" s="172" t="s">
        <v>370</v>
      </c>
      <c r="D798" s="161">
        <v>4</v>
      </c>
      <c r="E798" s="29" t="str">
        <f t="shared" si="252"/>
        <v>Net additions prior to 1 April 2012</v>
      </c>
      <c r="F798" s="122">
        <v>9313.5397170556789</v>
      </c>
      <c r="G798" s="122">
        <v>14119.292724351642</v>
      </c>
      <c r="H798" s="122">
        <v>2450.3701196839725</v>
      </c>
      <c r="I798" s="122">
        <v>5611.0739063264336</v>
      </c>
      <c r="J798" s="122">
        <v>9185.1291718023695</v>
      </c>
      <c r="K798" s="122">
        <v>2617.8034587214815</v>
      </c>
      <c r="L798" s="122">
        <v>3176.1421946997834</v>
      </c>
      <c r="M798" s="122">
        <v>916.18586947189237</v>
      </c>
      <c r="N798" s="122">
        <v>4150.2233036898751</v>
      </c>
      <c r="O798" s="122">
        <v>7211.4543277150442</v>
      </c>
      <c r="P798" s="122">
        <v>61538.779563859731</v>
      </c>
      <c r="Q798" s="122">
        <v>6094.1015463881131</v>
      </c>
      <c r="R798" s="122">
        <v>6161.5341833334414</v>
      </c>
      <c r="S798" s="122">
        <v>26473.40855452872</v>
      </c>
      <c r="T798" s="122">
        <v>96883.410735301572</v>
      </c>
      <c r="U798" s="122">
        <v>32036.548481049205</v>
      </c>
      <c r="V798" s="122"/>
      <c r="W798" s="54"/>
      <c r="X798" s="54"/>
      <c r="Y798" s="54"/>
      <c r="Z798" s="54"/>
      <c r="AA798" s="54"/>
      <c r="AB798" s="54"/>
      <c r="AC798" s="54"/>
      <c r="AD798" s="54"/>
      <c r="AE798" s="54"/>
      <c r="AF798" s="54"/>
      <c r="AG798" s="54"/>
      <c r="AH798" s="54"/>
      <c r="AI798" s="117">
        <f t="shared" si="253"/>
        <v>287938.99785797897</v>
      </c>
      <c r="AJ798" s="117">
        <f t="shared" si="254"/>
        <v>287938.99785797897</v>
      </c>
      <c r="AK798" s="117">
        <f t="shared" si="255"/>
        <v>0</v>
      </c>
      <c r="AL798" s="23"/>
      <c r="AM798" s="127" t="b">
        <f t="shared" si="256"/>
        <v>0</v>
      </c>
      <c r="AN798" s="127" t="str">
        <f t="shared" si="257"/>
        <v/>
      </c>
      <c r="AO798" s="129"/>
      <c r="AP798" s="129"/>
      <c r="AQ798" s="129"/>
      <c r="AR798" s="129">
        <v>1</v>
      </c>
      <c r="AS798" s="129"/>
      <c r="AT798" s="129"/>
      <c r="AU798" s="129"/>
      <c r="AV798" s="129"/>
      <c r="AW798" s="129"/>
      <c r="AX798" s="197"/>
      <c r="AY798" s="197"/>
      <c r="AZ798" s="197"/>
      <c r="BA798" s="197"/>
      <c r="BB798" s="129"/>
      <c r="BC798" s="129"/>
      <c r="BD798" s="129"/>
      <c r="BE798" s="129"/>
      <c r="BF798" s="129"/>
      <c r="BG798" s="129"/>
      <c r="BH798" s="129"/>
      <c r="BI798" s="129"/>
      <c r="BJ798" s="129"/>
      <c r="BK798" s="129"/>
      <c r="BL798" s="129"/>
      <c r="BM798" s="197"/>
    </row>
    <row r="799" spans="1:66" x14ac:dyDescent="0.25">
      <c r="A799" s="166" t="s">
        <v>127</v>
      </c>
      <c r="B799" s="166" t="s">
        <v>27</v>
      </c>
      <c r="C799" s="172" t="s">
        <v>370</v>
      </c>
      <c r="D799" s="161">
        <v>4</v>
      </c>
      <c r="E799" s="29" t="str">
        <f t="shared" si="252"/>
        <v>Net additions prior to 1 April 2012</v>
      </c>
      <c r="F799" s="122">
        <v>10460.175246830924</v>
      </c>
      <c r="G799" s="122">
        <v>14715.09867018208</v>
      </c>
      <c r="H799" s="122">
        <v>2523.255443252348</v>
      </c>
      <c r="I799" s="122">
        <v>5645.1876659732179</v>
      </c>
      <c r="J799" s="122">
        <v>9396.4602380443794</v>
      </c>
      <c r="K799" s="122">
        <v>2677.8356285597797</v>
      </c>
      <c r="L799" s="122">
        <v>3318.1524260325073</v>
      </c>
      <c r="M799" s="122">
        <v>976.74659844971814</v>
      </c>
      <c r="N799" s="122">
        <v>4284.2059218190434</v>
      </c>
      <c r="O799" s="122">
        <v>7462.8527564175947</v>
      </c>
      <c r="P799" s="122">
        <v>62934.856905164932</v>
      </c>
      <c r="Q799" s="122">
        <v>6458.3911604535215</v>
      </c>
      <c r="R799" s="122">
        <v>6899.9435851911931</v>
      </c>
      <c r="S799" s="122">
        <v>28207.354137050424</v>
      </c>
      <c r="T799" s="122">
        <v>102329.61300474875</v>
      </c>
      <c r="U799" s="122">
        <v>32315.822739856481</v>
      </c>
      <c r="V799" s="122"/>
      <c r="W799" s="54"/>
      <c r="X799" s="54"/>
      <c r="Y799" s="54"/>
      <c r="Z799" s="54"/>
      <c r="AA799" s="54"/>
      <c r="AB799" s="54"/>
      <c r="AC799" s="54"/>
      <c r="AD799" s="54"/>
      <c r="AE799" s="54"/>
      <c r="AF799" s="54"/>
      <c r="AG799" s="54"/>
      <c r="AH799" s="54"/>
      <c r="AI799" s="117">
        <f t="shared" si="253"/>
        <v>300605.95212802693</v>
      </c>
      <c r="AJ799" s="117">
        <f t="shared" si="254"/>
        <v>300605.95212802693</v>
      </c>
      <c r="AK799" s="117">
        <f t="shared" si="255"/>
        <v>0</v>
      </c>
      <c r="AL799" s="23"/>
      <c r="AM799" s="127" t="b">
        <f t="shared" si="256"/>
        <v>0</v>
      </c>
      <c r="AN799" s="127" t="str">
        <f t="shared" si="257"/>
        <v/>
      </c>
      <c r="AO799" s="129"/>
      <c r="AP799" s="129"/>
      <c r="AQ799" s="129"/>
      <c r="AR799" s="129">
        <v>1</v>
      </c>
      <c r="AS799" s="129"/>
      <c r="AT799" s="129"/>
      <c r="AU799" s="129"/>
      <c r="AV799" s="129"/>
      <c r="AW799" s="129"/>
      <c r="AX799" s="197"/>
      <c r="AY799" s="197"/>
      <c r="AZ799" s="197"/>
      <c r="BA799" s="197"/>
      <c r="BB799" s="129"/>
      <c r="BC799" s="129"/>
      <c r="BD799" s="129"/>
      <c r="BE799" s="129"/>
      <c r="BF799" s="129"/>
      <c r="BG799" s="129"/>
      <c r="BH799" s="129"/>
      <c r="BI799" s="129"/>
      <c r="BJ799" s="129"/>
      <c r="BK799" s="129"/>
      <c r="BL799" s="129"/>
      <c r="BM799" s="197"/>
    </row>
    <row r="800" spans="1:66" s="4" customFormat="1" x14ac:dyDescent="0.25">
      <c r="A800" s="173"/>
      <c r="B800" s="173"/>
      <c r="C800" s="173"/>
      <c r="D800" s="49"/>
      <c r="E800" s="49"/>
      <c r="F800" s="54"/>
      <c r="G800" s="54"/>
      <c r="H800" s="54"/>
      <c r="I800" s="54"/>
      <c r="J800" s="54"/>
      <c r="K800" s="54"/>
      <c r="L800" s="54"/>
      <c r="M800" s="54"/>
      <c r="N800" s="54"/>
      <c r="O800" s="54"/>
      <c r="P800" s="54"/>
      <c r="Q800" s="54"/>
      <c r="R800" s="54"/>
      <c r="S800" s="54"/>
      <c r="T800" s="54"/>
      <c r="U800" s="54"/>
      <c r="V800" s="54"/>
      <c r="W800" s="55"/>
      <c r="X800" s="55"/>
      <c r="Y800" s="55"/>
      <c r="Z800" s="55"/>
      <c r="AA800" s="55"/>
      <c r="AB800" s="55"/>
      <c r="AC800" s="55"/>
      <c r="AD800" s="55"/>
      <c r="AE800" s="55"/>
      <c r="AF800" s="55"/>
      <c r="AG800" s="55"/>
      <c r="AH800" s="55"/>
      <c r="AI800" s="54"/>
      <c r="AJ800" s="54"/>
      <c r="AK800" s="54"/>
      <c r="AL800" s="23"/>
      <c r="AM800" s="127"/>
      <c r="AN800" s="127"/>
      <c r="AO800" s="129"/>
      <c r="AP800" s="129"/>
      <c r="AQ800" s="129"/>
      <c r="AR800" s="129"/>
      <c r="AS800" s="129"/>
      <c r="AT800" s="129"/>
      <c r="AU800" s="129"/>
      <c r="AV800" s="129"/>
      <c r="AW800" s="129"/>
      <c r="AX800" s="197"/>
      <c r="AY800" s="197"/>
      <c r="AZ800" s="197"/>
      <c r="BA800" s="197"/>
      <c r="BB800" s="129"/>
      <c r="BC800" s="129"/>
      <c r="BD800" s="129"/>
      <c r="BE800" s="129"/>
      <c r="BF800" s="129"/>
      <c r="BG800" s="129"/>
      <c r="BH800" s="129"/>
      <c r="BI800" s="129"/>
      <c r="BJ800" s="129"/>
      <c r="BK800" s="129"/>
      <c r="BL800" s="129"/>
      <c r="BM800" s="197"/>
      <c r="BN800"/>
    </row>
    <row r="801" spans="1:66" s="4" customFormat="1" x14ac:dyDescent="0.25">
      <c r="A801" s="173"/>
      <c r="B801" s="173"/>
      <c r="C801" s="173"/>
      <c r="D801" s="46"/>
      <c r="E801" s="46"/>
      <c r="F801" s="54"/>
      <c r="G801" s="54"/>
      <c r="H801" s="54"/>
      <c r="I801" s="54"/>
      <c r="J801" s="54"/>
      <c r="K801" s="54"/>
      <c r="L801" s="54"/>
      <c r="M801" s="54"/>
      <c r="N801" s="54"/>
      <c r="O801" s="54"/>
      <c r="P801" s="54"/>
      <c r="Q801" s="54"/>
      <c r="R801" s="54"/>
      <c r="S801" s="54"/>
      <c r="T801" s="54"/>
      <c r="U801" s="54"/>
      <c r="V801" s="54"/>
      <c r="W801" s="55"/>
      <c r="X801" s="55"/>
      <c r="Y801" s="55"/>
      <c r="Z801" s="55"/>
      <c r="AA801" s="55"/>
      <c r="AB801" s="55"/>
      <c r="AC801" s="55"/>
      <c r="AD801" s="55"/>
      <c r="AE801" s="55"/>
      <c r="AF801" s="55"/>
      <c r="AG801" s="55"/>
      <c r="AH801" s="55"/>
      <c r="AI801" s="54"/>
      <c r="AJ801" s="54"/>
      <c r="AK801" s="54"/>
      <c r="AL801" s="23"/>
      <c r="AM801" s="127"/>
      <c r="AN801" s="127"/>
      <c r="AO801" s="129"/>
      <c r="AP801" s="129"/>
      <c r="AQ801" s="129"/>
      <c r="AR801" s="129"/>
      <c r="AS801" s="129"/>
      <c r="AT801" s="129"/>
      <c r="AU801" s="129"/>
      <c r="AV801" s="129"/>
      <c r="AW801" s="129"/>
      <c r="AX801" s="197"/>
      <c r="AY801" s="197"/>
      <c r="AZ801" s="197"/>
      <c r="BA801" s="197"/>
      <c r="BB801" s="129"/>
      <c r="BC801" s="129"/>
      <c r="BD801" s="129"/>
      <c r="BE801" s="129"/>
      <c r="BF801" s="129"/>
      <c r="BG801" s="129"/>
      <c r="BH801" s="129"/>
      <c r="BI801" s="129"/>
      <c r="BJ801" s="129"/>
      <c r="BK801" s="129"/>
      <c r="BL801" s="129"/>
      <c r="BM801" s="197"/>
      <c r="BN801"/>
    </row>
    <row r="802" spans="1:66" s="4" customFormat="1" x14ac:dyDescent="0.25">
      <c r="A802" s="173" t="s">
        <v>127</v>
      </c>
      <c r="B802" s="173" t="s">
        <v>22</v>
      </c>
      <c r="C802" s="173" t="s">
        <v>399</v>
      </c>
      <c r="D802" s="161">
        <v>5</v>
      </c>
      <c r="E802" s="29" t="str">
        <f t="shared" ref="E802:E807" si="258">INDEX(ra_ScName,MATCH(D802,ra_ScNumber,0))</f>
        <v>Input price inflators 2013–15</v>
      </c>
      <c r="F802" s="122">
        <v>6432</v>
      </c>
      <c r="G802" s="122">
        <v>13769</v>
      </c>
      <c r="H802" s="122">
        <v>1623</v>
      </c>
      <c r="I802" s="122">
        <v>5625</v>
      </c>
      <c r="J802" s="122">
        <v>7099</v>
      </c>
      <c r="K802" s="122">
        <v>2348</v>
      </c>
      <c r="L802" s="122">
        <v>2561.6080000000002</v>
      </c>
      <c r="M802" s="122">
        <v>608</v>
      </c>
      <c r="N802" s="122">
        <v>3793.4187615999958</v>
      </c>
      <c r="O802" s="122">
        <v>7144</v>
      </c>
      <c r="P802" s="122">
        <v>59202</v>
      </c>
      <c r="Q802" s="122">
        <v>4851.8784151308691</v>
      </c>
      <c r="R802" s="122">
        <v>3774</v>
      </c>
      <c r="S802" s="122">
        <v>23479</v>
      </c>
      <c r="T802" s="122">
        <v>82690</v>
      </c>
      <c r="U802" s="122">
        <v>34488.45398000002</v>
      </c>
      <c r="V802" s="122"/>
      <c r="W802" s="54"/>
      <c r="X802" s="54"/>
      <c r="Y802" s="54"/>
      <c r="Z802" s="54"/>
      <c r="AA802" s="54"/>
      <c r="AB802" s="54"/>
      <c r="AC802" s="54"/>
      <c r="AD802" s="54"/>
      <c r="AE802" s="54"/>
      <c r="AF802" s="54"/>
      <c r="AG802" s="54"/>
      <c r="AH802" s="54"/>
      <c r="AI802" s="117">
        <f t="shared" ref="AI802:AI807" si="259">SUM(F802:AH802)</f>
        <v>259488.35915673088</v>
      </c>
      <c r="AJ802" s="117">
        <f t="shared" ref="AJ802:AJ807" si="260">SUM(F802:U802)</f>
        <v>259488.35915673088</v>
      </c>
      <c r="AK802" s="117">
        <f t="shared" ref="AK802:AK807" si="261">SUM(W802:AH802)</f>
        <v>0</v>
      </c>
      <c r="AL802" s="23"/>
      <c r="AM802" s="127" t="b">
        <f t="shared" ref="AM802:AM807" si="262">IF(INDEX($AO802:$BM802,0,$F$14)=1,TRUE,FALSE)</f>
        <v>0</v>
      </c>
      <c r="AN802" s="127" t="str">
        <f t="shared" ref="AN802:AN807" si="263">IF(AM802,A802&amp;", "&amp;B802,"")</f>
        <v/>
      </c>
      <c r="AO802" s="129"/>
      <c r="AP802" s="129"/>
      <c r="AQ802" s="129"/>
      <c r="AR802" s="129"/>
      <c r="AS802" s="129">
        <v>1</v>
      </c>
      <c r="AT802" s="129">
        <v>1</v>
      </c>
      <c r="AU802" s="129"/>
      <c r="AV802" s="129"/>
      <c r="AW802" s="129"/>
      <c r="AX802" s="197"/>
      <c r="AY802" s="197"/>
      <c r="AZ802" s="197"/>
      <c r="BA802" s="197"/>
      <c r="BB802" s="129"/>
      <c r="BC802" s="129"/>
      <c r="BD802" s="129"/>
      <c r="BE802" s="129"/>
      <c r="BF802" s="129"/>
      <c r="BG802" s="129"/>
      <c r="BH802" s="129"/>
      <c r="BI802" s="129"/>
      <c r="BJ802" s="129"/>
      <c r="BK802" s="129"/>
      <c r="BL802" s="129"/>
      <c r="BM802" s="197"/>
      <c r="BN802"/>
    </row>
    <row r="803" spans="1:66" s="4" customFormat="1" x14ac:dyDescent="0.25">
      <c r="A803" s="173" t="s">
        <v>127</v>
      </c>
      <c r="B803" s="173" t="s">
        <v>23</v>
      </c>
      <c r="C803" s="173" t="s">
        <v>399</v>
      </c>
      <c r="D803" s="161">
        <v>5</v>
      </c>
      <c r="E803" s="29" t="str">
        <f t="shared" si="258"/>
        <v>Input price inflators 2013–15</v>
      </c>
      <c r="F803" s="122">
        <v>6434.6447896049358</v>
      </c>
      <c r="G803" s="122">
        <v>13726.874802564342</v>
      </c>
      <c r="H803" s="122">
        <v>1718.5639547612832</v>
      </c>
      <c r="I803" s="122">
        <v>5600.5836654707864</v>
      </c>
      <c r="J803" s="122">
        <v>7799.1438965238476</v>
      </c>
      <c r="K803" s="122">
        <v>2414.1065854842268</v>
      </c>
      <c r="L803" s="122">
        <v>2520.6764405678318</v>
      </c>
      <c r="M803" s="122">
        <v>667.40446650124068</v>
      </c>
      <c r="N803" s="122">
        <v>3840.3432811815283</v>
      </c>
      <c r="O803" s="122">
        <v>6985.4896100651786</v>
      </c>
      <c r="P803" s="122">
        <v>59411.221552844363</v>
      </c>
      <c r="Q803" s="122">
        <v>5144.4045537063848</v>
      </c>
      <c r="R803" s="122">
        <v>3996.8268611980434</v>
      </c>
      <c r="S803" s="122">
        <v>24515.208116145965</v>
      </c>
      <c r="T803" s="122">
        <v>87461.526677100963</v>
      </c>
      <c r="U803" s="122">
        <v>34496.385300214686</v>
      </c>
      <c r="V803" s="122"/>
      <c r="W803" s="54"/>
      <c r="X803" s="54"/>
      <c r="Y803" s="54"/>
      <c r="Z803" s="54"/>
      <c r="AA803" s="54"/>
      <c r="AB803" s="54"/>
      <c r="AC803" s="54"/>
      <c r="AD803" s="54"/>
      <c r="AE803" s="54"/>
      <c r="AF803" s="54"/>
      <c r="AG803" s="54"/>
      <c r="AH803" s="54"/>
      <c r="AI803" s="117">
        <f t="shared" si="259"/>
        <v>266733.40455393563</v>
      </c>
      <c r="AJ803" s="117">
        <f t="shared" si="260"/>
        <v>266733.40455393563</v>
      </c>
      <c r="AK803" s="117">
        <f t="shared" si="261"/>
        <v>0</v>
      </c>
      <c r="AL803" s="23"/>
      <c r="AM803" s="127" t="b">
        <f t="shared" si="262"/>
        <v>0</v>
      </c>
      <c r="AN803" s="127" t="str">
        <f t="shared" si="263"/>
        <v/>
      </c>
      <c r="AO803" s="129"/>
      <c r="AP803" s="129"/>
      <c r="AQ803" s="129"/>
      <c r="AR803" s="129"/>
      <c r="AS803" s="129">
        <v>1</v>
      </c>
      <c r="AT803" s="129">
        <v>1</v>
      </c>
      <c r="AU803" s="129"/>
      <c r="AV803" s="129"/>
      <c r="AW803" s="129"/>
      <c r="AX803" s="197"/>
      <c r="AY803" s="197"/>
      <c r="AZ803" s="197"/>
      <c r="BA803" s="197"/>
      <c r="BB803" s="129"/>
      <c r="BC803" s="129"/>
      <c r="BD803" s="129"/>
      <c r="BE803" s="129"/>
      <c r="BF803" s="129"/>
      <c r="BG803" s="129"/>
      <c r="BH803" s="129"/>
      <c r="BI803" s="129"/>
      <c r="BJ803" s="129"/>
      <c r="BK803" s="129"/>
      <c r="BL803" s="129"/>
      <c r="BM803" s="197"/>
      <c r="BN803"/>
    </row>
    <row r="804" spans="1:66" s="4" customFormat="1" x14ac:dyDescent="0.25">
      <c r="A804" s="173" t="s">
        <v>127</v>
      </c>
      <c r="B804" s="173" t="s">
        <v>24</v>
      </c>
      <c r="C804" s="173" t="s">
        <v>399</v>
      </c>
      <c r="D804" s="161">
        <v>5</v>
      </c>
      <c r="E804" s="29" t="str">
        <f t="shared" si="258"/>
        <v>Input price inflators 2013–15</v>
      </c>
      <c r="F804" s="122">
        <v>6838.1171058088512</v>
      </c>
      <c r="G804" s="122">
        <v>13968.306571743751</v>
      </c>
      <c r="H804" s="122">
        <v>2259.0442786959206</v>
      </c>
      <c r="I804" s="122">
        <v>5624.2908390506927</v>
      </c>
      <c r="J804" s="122">
        <v>8751.9792482986068</v>
      </c>
      <c r="K804" s="122">
        <v>2436.3790115721613</v>
      </c>
      <c r="L804" s="122">
        <v>2713.3053106457296</v>
      </c>
      <c r="M804" s="122">
        <v>801.82786668226515</v>
      </c>
      <c r="N804" s="122">
        <v>4009.5216795046645</v>
      </c>
      <c r="O804" s="122">
        <v>7012.7065408408962</v>
      </c>
      <c r="P804" s="122">
        <v>60035.626888742059</v>
      </c>
      <c r="Q804" s="122">
        <v>5332.7226727186844</v>
      </c>
      <c r="R804" s="122">
        <v>4544.551184066615</v>
      </c>
      <c r="S804" s="122">
        <v>25134.740801801934</v>
      </c>
      <c r="T804" s="122">
        <v>90768.759037436612</v>
      </c>
      <c r="U804" s="122">
        <v>33332.521602496272</v>
      </c>
      <c r="V804" s="122"/>
      <c r="W804" s="54"/>
      <c r="X804" s="54"/>
      <c r="Y804" s="54"/>
      <c r="Z804" s="54"/>
      <c r="AA804" s="54"/>
      <c r="AB804" s="54"/>
      <c r="AC804" s="54"/>
      <c r="AD804" s="54"/>
      <c r="AE804" s="54"/>
      <c r="AF804" s="54"/>
      <c r="AG804" s="54"/>
      <c r="AH804" s="54"/>
      <c r="AI804" s="117">
        <f t="shared" si="259"/>
        <v>273564.40064010571</v>
      </c>
      <c r="AJ804" s="117">
        <f t="shared" si="260"/>
        <v>273564.40064010571</v>
      </c>
      <c r="AK804" s="117">
        <f t="shared" si="261"/>
        <v>0</v>
      </c>
      <c r="AL804" s="23"/>
      <c r="AM804" s="127" t="b">
        <f t="shared" si="262"/>
        <v>0</v>
      </c>
      <c r="AN804" s="127" t="str">
        <f t="shared" si="263"/>
        <v/>
      </c>
      <c r="AO804" s="129"/>
      <c r="AP804" s="129"/>
      <c r="AQ804" s="129"/>
      <c r="AR804" s="129"/>
      <c r="AS804" s="129">
        <v>1</v>
      </c>
      <c r="AT804" s="129">
        <v>1</v>
      </c>
      <c r="AU804" s="129"/>
      <c r="AV804" s="129"/>
      <c r="AW804" s="129"/>
      <c r="AX804" s="197"/>
      <c r="AY804" s="197"/>
      <c r="AZ804" s="197"/>
      <c r="BA804" s="197"/>
      <c r="BB804" s="129"/>
      <c r="BC804" s="129"/>
      <c r="BD804" s="129"/>
      <c r="BE804" s="129"/>
      <c r="BF804" s="129"/>
      <c r="BG804" s="129"/>
      <c r="BH804" s="129"/>
      <c r="BI804" s="129"/>
      <c r="BJ804" s="129"/>
      <c r="BK804" s="129"/>
      <c r="BL804" s="129"/>
      <c r="BM804" s="197"/>
      <c r="BN804"/>
    </row>
    <row r="805" spans="1:66" s="4" customFormat="1" x14ac:dyDescent="0.25">
      <c r="A805" s="173" t="s">
        <v>127</v>
      </c>
      <c r="B805" s="173" t="s">
        <v>25</v>
      </c>
      <c r="C805" s="173" t="s">
        <v>399</v>
      </c>
      <c r="D805" s="161">
        <v>5</v>
      </c>
      <c r="E805" s="29" t="str">
        <f t="shared" si="258"/>
        <v>Input price inflators 2013–15</v>
      </c>
      <c r="F805" s="122">
        <v>6950.8820602975884</v>
      </c>
      <c r="G805" s="122">
        <v>13855.609645857849</v>
      </c>
      <c r="H805" s="122">
        <v>2305.2225993509046</v>
      </c>
      <c r="I805" s="122">
        <v>5580.0386999960174</v>
      </c>
      <c r="J805" s="122">
        <v>9115.5736376266432</v>
      </c>
      <c r="K805" s="122">
        <v>2509.7892070642665</v>
      </c>
      <c r="L805" s="122">
        <v>2855.6945619787152</v>
      </c>
      <c r="M805" s="122">
        <v>813.15923409187781</v>
      </c>
      <c r="N805" s="122">
        <v>3927.3128755924804</v>
      </c>
      <c r="O805" s="122">
        <v>6932.947865213896</v>
      </c>
      <c r="P805" s="122">
        <v>60457.784384023777</v>
      </c>
      <c r="Q805" s="122">
        <v>5760.8879024728858</v>
      </c>
      <c r="R805" s="122">
        <v>5308.8871436763611</v>
      </c>
      <c r="S805" s="122">
        <v>24824.311100986044</v>
      </c>
      <c r="T805" s="122">
        <v>91908.104480214839</v>
      </c>
      <c r="U805" s="122">
        <v>31790.174009475646</v>
      </c>
      <c r="V805" s="122"/>
      <c r="W805" s="54"/>
      <c r="X805" s="54"/>
      <c r="Y805" s="54"/>
      <c r="Z805" s="54"/>
      <c r="AA805" s="54"/>
      <c r="AB805" s="54"/>
      <c r="AC805" s="54"/>
      <c r="AD805" s="54"/>
      <c r="AE805" s="54"/>
      <c r="AF805" s="54"/>
      <c r="AG805" s="54"/>
      <c r="AH805" s="54"/>
      <c r="AI805" s="117">
        <f t="shared" si="259"/>
        <v>274896.37940791977</v>
      </c>
      <c r="AJ805" s="117">
        <f t="shared" si="260"/>
        <v>274896.37940791977</v>
      </c>
      <c r="AK805" s="117">
        <f t="shared" si="261"/>
        <v>0</v>
      </c>
      <c r="AL805" s="23"/>
      <c r="AM805" s="127" t="b">
        <f t="shared" si="262"/>
        <v>0</v>
      </c>
      <c r="AN805" s="127" t="str">
        <f t="shared" si="263"/>
        <v/>
      </c>
      <c r="AO805" s="129"/>
      <c r="AP805" s="129"/>
      <c r="AQ805" s="129"/>
      <c r="AR805" s="129"/>
      <c r="AS805" s="129">
        <v>1</v>
      </c>
      <c r="AT805" s="129">
        <v>1</v>
      </c>
      <c r="AU805" s="129"/>
      <c r="AV805" s="129"/>
      <c r="AW805" s="129"/>
      <c r="AX805" s="197"/>
      <c r="AY805" s="197"/>
      <c r="AZ805" s="197"/>
      <c r="BA805" s="197"/>
      <c r="BB805" s="129"/>
      <c r="BC805" s="129"/>
      <c r="BD805" s="129"/>
      <c r="BE805" s="129"/>
      <c r="BF805" s="129"/>
      <c r="BG805" s="129"/>
      <c r="BH805" s="129"/>
      <c r="BI805" s="129"/>
      <c r="BJ805" s="129"/>
      <c r="BK805" s="129"/>
      <c r="BL805" s="129"/>
      <c r="BM805" s="197"/>
      <c r="BN805"/>
    </row>
    <row r="806" spans="1:66" s="4" customFormat="1" x14ac:dyDescent="0.25">
      <c r="A806" s="173" t="s">
        <v>127</v>
      </c>
      <c r="B806" s="173" t="s">
        <v>26</v>
      </c>
      <c r="C806" s="173" t="s">
        <v>399</v>
      </c>
      <c r="D806" s="161">
        <v>5</v>
      </c>
      <c r="E806" s="29" t="str">
        <f t="shared" si="258"/>
        <v>Input price inflators 2013–15</v>
      </c>
      <c r="F806" s="122">
        <v>9307.8241928896714</v>
      </c>
      <c r="G806" s="122">
        <v>14116.468740293354</v>
      </c>
      <c r="H806" s="122">
        <v>2449.6921828299373</v>
      </c>
      <c r="I806" s="122">
        <v>5610.0279118069275</v>
      </c>
      <c r="J806" s="122">
        <v>9183.3639817260137</v>
      </c>
      <c r="K806" s="122">
        <v>2617.1240946619628</v>
      </c>
      <c r="L806" s="122">
        <v>3174.9561402746031</v>
      </c>
      <c r="M806" s="122">
        <v>915.85413875580014</v>
      </c>
      <c r="N806" s="122">
        <v>4149.1557969464657</v>
      </c>
      <c r="O806" s="122">
        <v>7209.9019940755734</v>
      </c>
      <c r="P806" s="122">
        <v>61529.682370861286</v>
      </c>
      <c r="Q806" s="122">
        <v>6092.1788433218044</v>
      </c>
      <c r="R806" s="122">
        <v>6159.1450510728464</v>
      </c>
      <c r="S806" s="122">
        <v>26466.350974199537</v>
      </c>
      <c r="T806" s="122">
        <v>96857.666626966398</v>
      </c>
      <c r="U806" s="122">
        <v>32030.962728244675</v>
      </c>
      <c r="V806" s="122"/>
      <c r="W806" s="54"/>
      <c r="X806" s="54"/>
      <c r="Y806" s="54"/>
      <c r="Z806" s="54"/>
      <c r="AA806" s="54"/>
      <c r="AB806" s="54"/>
      <c r="AC806" s="54"/>
      <c r="AD806" s="54"/>
      <c r="AE806" s="54"/>
      <c r="AF806" s="54"/>
      <c r="AG806" s="54"/>
      <c r="AH806" s="54"/>
      <c r="AI806" s="117">
        <f t="shared" si="259"/>
        <v>287870.35576892685</v>
      </c>
      <c r="AJ806" s="117">
        <f t="shared" si="260"/>
        <v>287870.35576892685</v>
      </c>
      <c r="AK806" s="117">
        <f t="shared" si="261"/>
        <v>0</v>
      </c>
      <c r="AL806" s="23"/>
      <c r="AM806" s="127" t="b">
        <f t="shared" si="262"/>
        <v>0</v>
      </c>
      <c r="AN806" s="127" t="str">
        <f t="shared" si="263"/>
        <v/>
      </c>
      <c r="AO806" s="129"/>
      <c r="AP806" s="129"/>
      <c r="AQ806" s="129"/>
      <c r="AR806" s="129"/>
      <c r="AS806" s="129">
        <v>1</v>
      </c>
      <c r="AT806" s="129">
        <v>1</v>
      </c>
      <c r="AU806" s="129"/>
      <c r="AV806" s="129"/>
      <c r="AW806" s="129"/>
      <c r="AX806" s="197"/>
      <c r="AY806" s="197"/>
      <c r="AZ806" s="197"/>
      <c r="BA806" s="197"/>
      <c r="BB806" s="129"/>
      <c r="BC806" s="129"/>
      <c r="BD806" s="129"/>
      <c r="BE806" s="129"/>
      <c r="BF806" s="129"/>
      <c r="BG806" s="129"/>
      <c r="BH806" s="129"/>
      <c r="BI806" s="129"/>
      <c r="BJ806" s="129"/>
      <c r="BK806" s="129"/>
      <c r="BL806" s="129"/>
      <c r="BM806" s="197"/>
      <c r="BN806"/>
    </row>
    <row r="807" spans="1:66" s="4" customFormat="1" x14ac:dyDescent="0.25">
      <c r="A807" s="173" t="s">
        <v>127</v>
      </c>
      <c r="B807" s="173" t="s">
        <v>27</v>
      </c>
      <c r="C807" s="173" t="s">
        <v>399</v>
      </c>
      <c r="D807" s="161">
        <v>5</v>
      </c>
      <c r="E807" s="29" t="str">
        <f t="shared" si="258"/>
        <v>Input price inflators 2013–15</v>
      </c>
      <c r="F807" s="122">
        <v>10444.934183021413</v>
      </c>
      <c r="G807" s="122">
        <v>14703.562052874911</v>
      </c>
      <c r="H807" s="122">
        <v>2521.1732310820871</v>
      </c>
      <c r="I807" s="122">
        <v>5641.518122901738</v>
      </c>
      <c r="J807" s="122">
        <v>9389.6119843810939</v>
      </c>
      <c r="K807" s="122">
        <v>2675.6511792247361</v>
      </c>
      <c r="L807" s="122">
        <v>3314.7209529980669</v>
      </c>
      <c r="M807" s="122">
        <v>975.74718242503411</v>
      </c>
      <c r="N807" s="122">
        <v>4280.8114890036559</v>
      </c>
      <c r="O807" s="122">
        <v>7457.4480464561311</v>
      </c>
      <c r="P807" s="122">
        <v>62901.072682468301</v>
      </c>
      <c r="Q807" s="122">
        <v>6451.4080949856816</v>
      </c>
      <c r="R807" s="122">
        <v>6891.8033169420569</v>
      </c>
      <c r="S807" s="122">
        <v>28181.639386142237</v>
      </c>
      <c r="T807" s="122">
        <v>102235.499146435</v>
      </c>
      <c r="U807" s="122">
        <v>32296.074030352545</v>
      </c>
      <c r="V807" s="122"/>
      <c r="W807" s="54"/>
      <c r="X807" s="54"/>
      <c r="Y807" s="54"/>
      <c r="Z807" s="54"/>
      <c r="AA807" s="54"/>
      <c r="AB807" s="54"/>
      <c r="AC807" s="54"/>
      <c r="AD807" s="54"/>
      <c r="AE807" s="54"/>
      <c r="AF807" s="54"/>
      <c r="AG807" s="54"/>
      <c r="AH807" s="54"/>
      <c r="AI807" s="117">
        <f t="shared" si="259"/>
        <v>300362.67508169467</v>
      </c>
      <c r="AJ807" s="117">
        <f t="shared" si="260"/>
        <v>300362.67508169467</v>
      </c>
      <c r="AK807" s="117">
        <f t="shared" si="261"/>
        <v>0</v>
      </c>
      <c r="AL807" s="23"/>
      <c r="AM807" s="127" t="b">
        <f t="shared" si="262"/>
        <v>0</v>
      </c>
      <c r="AN807" s="127" t="str">
        <f t="shared" si="263"/>
        <v/>
      </c>
      <c r="AO807" s="129"/>
      <c r="AP807" s="129"/>
      <c r="AQ807" s="129"/>
      <c r="AR807" s="129"/>
      <c r="AS807" s="129">
        <v>1</v>
      </c>
      <c r="AT807" s="129">
        <v>1</v>
      </c>
      <c r="AU807" s="129"/>
      <c r="AV807" s="129"/>
      <c r="AW807" s="129"/>
      <c r="AX807" s="197"/>
      <c r="AY807" s="197"/>
      <c r="AZ807" s="197"/>
      <c r="BA807" s="197"/>
      <c r="BB807" s="129"/>
      <c r="BC807" s="129"/>
      <c r="BD807" s="129"/>
      <c r="BE807" s="129"/>
      <c r="BF807" s="129"/>
      <c r="BG807" s="129"/>
      <c r="BH807" s="129"/>
      <c r="BI807" s="129"/>
      <c r="BJ807" s="129"/>
      <c r="BK807" s="129"/>
      <c r="BL807" s="129"/>
      <c r="BM807" s="197"/>
      <c r="BN807"/>
    </row>
    <row r="808" spans="1:66" x14ac:dyDescent="0.25">
      <c r="A808" s="166"/>
      <c r="B808" s="166"/>
      <c r="C808" s="172"/>
      <c r="D808" s="49"/>
      <c r="E808" s="49"/>
      <c r="F808" s="54"/>
      <c r="G808" s="54"/>
      <c r="H808" s="54"/>
      <c r="I808" s="54"/>
      <c r="J808" s="54"/>
      <c r="K808" s="54"/>
      <c r="L808" s="54"/>
      <c r="M808" s="54"/>
      <c r="N808" s="54"/>
      <c r="O808" s="54"/>
      <c r="P808" s="54"/>
      <c r="Q808" s="54"/>
      <c r="R808" s="54"/>
      <c r="S808" s="54"/>
      <c r="T808" s="54"/>
      <c r="U808" s="54"/>
      <c r="V808" s="54"/>
      <c r="W808" s="55"/>
      <c r="X808" s="55"/>
      <c r="Y808" s="55"/>
      <c r="Z808" s="55"/>
      <c r="AA808" s="55"/>
      <c r="AB808" s="55"/>
      <c r="AC808" s="55"/>
      <c r="AD808" s="55"/>
      <c r="AE808" s="55"/>
      <c r="AF808" s="55"/>
      <c r="AG808" s="55"/>
      <c r="AH808" s="55"/>
      <c r="AI808" s="54"/>
      <c r="AJ808" s="54"/>
      <c r="AK808" s="54"/>
      <c r="AL808" s="23"/>
      <c r="AM808" s="127"/>
      <c r="AN808" s="127"/>
      <c r="AO808" s="129"/>
      <c r="AP808" s="129"/>
      <c r="AQ808" s="129"/>
      <c r="AR808" s="129"/>
      <c r="AS808" s="129"/>
      <c r="AT808" s="129"/>
      <c r="AU808" s="129"/>
      <c r="AV808" s="129"/>
      <c r="AW808" s="129"/>
      <c r="AX808" s="197"/>
      <c r="AY808" s="197"/>
      <c r="AZ808" s="197"/>
      <c r="BA808" s="197"/>
      <c r="BB808" s="129"/>
      <c r="BC808" s="129"/>
      <c r="BD808" s="129"/>
      <c r="BE808" s="129"/>
      <c r="BF808" s="129"/>
      <c r="BG808" s="129"/>
      <c r="BH808" s="129"/>
      <c r="BI808" s="129"/>
      <c r="BJ808" s="129"/>
      <c r="BK808" s="129"/>
      <c r="BL808" s="129"/>
      <c r="BM808" s="197"/>
    </row>
    <row r="809" spans="1:66" x14ac:dyDescent="0.25">
      <c r="A809" s="166"/>
      <c r="B809" s="166"/>
      <c r="C809" s="172"/>
      <c r="D809" s="46"/>
      <c r="E809" s="46"/>
      <c r="F809" s="54"/>
      <c r="G809" s="54"/>
      <c r="H809" s="54"/>
      <c r="I809" s="54"/>
      <c r="J809" s="54"/>
      <c r="K809" s="54"/>
      <c r="L809" s="54"/>
      <c r="M809" s="54"/>
      <c r="N809" s="54"/>
      <c r="O809" s="54"/>
      <c r="P809" s="54"/>
      <c r="Q809" s="54"/>
      <c r="R809" s="54"/>
      <c r="S809" s="54"/>
      <c r="T809" s="54"/>
      <c r="U809" s="54"/>
      <c r="V809" s="54"/>
      <c r="W809" s="55"/>
      <c r="X809" s="55"/>
      <c r="Y809" s="55"/>
      <c r="Z809" s="55"/>
      <c r="AA809" s="55"/>
      <c r="AB809" s="55"/>
      <c r="AC809" s="55"/>
      <c r="AD809" s="55"/>
      <c r="AE809" s="55"/>
      <c r="AF809" s="55"/>
      <c r="AG809" s="55"/>
      <c r="AH809" s="55"/>
      <c r="AI809" s="54"/>
      <c r="AJ809" s="54"/>
      <c r="AK809" s="54"/>
      <c r="AL809" s="23"/>
      <c r="AM809" s="127"/>
      <c r="AN809" s="127"/>
      <c r="AO809" s="129"/>
      <c r="AP809" s="129"/>
      <c r="AQ809" s="129"/>
      <c r="AR809" s="129"/>
      <c r="AS809" s="129"/>
      <c r="AT809" s="129"/>
      <c r="AU809" s="129"/>
      <c r="AV809" s="129"/>
      <c r="AW809" s="129"/>
      <c r="AX809" s="197"/>
      <c r="AY809" s="197"/>
      <c r="AZ809" s="197"/>
      <c r="BA809" s="197"/>
      <c r="BB809" s="129"/>
      <c r="BC809" s="129"/>
      <c r="BD809" s="129"/>
      <c r="BE809" s="129"/>
      <c r="BF809" s="129"/>
      <c r="BG809" s="129"/>
      <c r="BH809" s="129"/>
      <c r="BI809" s="129"/>
      <c r="BJ809" s="129"/>
      <c r="BK809" s="129"/>
      <c r="BL809" s="129"/>
      <c r="BM809" s="197"/>
    </row>
    <row r="810" spans="1:66" x14ac:dyDescent="0.25">
      <c r="A810" s="166" t="s">
        <v>127</v>
      </c>
      <c r="B810" s="166" t="s">
        <v>22</v>
      </c>
      <c r="C810" s="172" t="s">
        <v>396</v>
      </c>
      <c r="D810" s="161">
        <v>7</v>
      </c>
      <c r="E810" s="29" t="str">
        <f t="shared" ref="E810:E815" si="264">INDEX(ra_ScName,MATCH(D810,ra_ScNumber,0))</f>
        <v>Commissioned assets 2013–15</v>
      </c>
      <c r="F810" s="122">
        <v>6432</v>
      </c>
      <c r="G810" s="122">
        <v>13769</v>
      </c>
      <c r="H810" s="122">
        <v>1623</v>
      </c>
      <c r="I810" s="122">
        <v>5625</v>
      </c>
      <c r="J810" s="122">
        <v>7099</v>
      </c>
      <c r="K810" s="122">
        <v>2348</v>
      </c>
      <c r="L810" s="122">
        <v>2561.6080000000002</v>
      </c>
      <c r="M810" s="122">
        <v>608</v>
      </c>
      <c r="N810" s="122">
        <v>3793.4187615999958</v>
      </c>
      <c r="O810" s="122">
        <v>7144</v>
      </c>
      <c r="P810" s="122">
        <v>59202</v>
      </c>
      <c r="Q810" s="122">
        <v>4851.8784151308691</v>
      </c>
      <c r="R810" s="122">
        <v>3774</v>
      </c>
      <c r="S810" s="122">
        <v>23479</v>
      </c>
      <c r="T810" s="122">
        <v>82690</v>
      </c>
      <c r="U810" s="122">
        <v>34488.45398000002</v>
      </c>
      <c r="V810" s="122"/>
      <c r="W810" s="54"/>
      <c r="X810" s="54"/>
      <c r="Y810" s="54"/>
      <c r="Z810" s="54"/>
      <c r="AA810" s="54"/>
      <c r="AB810" s="54"/>
      <c r="AC810" s="54"/>
      <c r="AD810" s="54"/>
      <c r="AE810" s="54"/>
      <c r="AF810" s="54"/>
      <c r="AG810" s="54"/>
      <c r="AH810" s="54"/>
      <c r="AI810" s="117">
        <f t="shared" ref="AI810:AI815" si="265">SUM(F810:AH810)</f>
        <v>259488.35915673088</v>
      </c>
      <c r="AJ810" s="117">
        <f t="shared" ref="AJ810:AJ815" si="266">SUM(F810:U810)</f>
        <v>259488.35915673088</v>
      </c>
      <c r="AK810" s="117">
        <f t="shared" ref="AK810:AK815" si="267">SUM(W810:AH810)</f>
        <v>0</v>
      </c>
      <c r="AL810" s="23"/>
      <c r="AM810" s="127" t="b">
        <f t="shared" ref="AM810:AM815" si="268">IF(INDEX($AO810:$BM810,0,$F$14)=1,TRUE,FALSE)</f>
        <v>0</v>
      </c>
      <c r="AN810" s="127" t="str">
        <f t="shared" ref="AN810:AN815" si="269">IF(AM810,A810&amp;", "&amp;B810,"")</f>
        <v/>
      </c>
      <c r="AO810" s="129"/>
      <c r="AP810" s="129"/>
      <c r="AQ810" s="129"/>
      <c r="AR810" s="129"/>
      <c r="AS810" s="129"/>
      <c r="AT810" s="129"/>
      <c r="AU810" s="129">
        <v>1</v>
      </c>
      <c r="AV810" s="129">
        <v>1</v>
      </c>
      <c r="AW810" s="129"/>
      <c r="AX810" s="197"/>
      <c r="AY810" s="197"/>
      <c r="AZ810" s="197"/>
      <c r="BA810" s="197"/>
      <c r="BB810" s="129"/>
      <c r="BC810" s="129"/>
      <c r="BD810" s="129"/>
      <c r="BE810" s="129"/>
      <c r="BF810" s="129"/>
      <c r="BG810" s="129"/>
      <c r="BH810" s="129"/>
      <c r="BI810" s="129"/>
      <c r="BJ810" s="129"/>
      <c r="BK810" s="129"/>
      <c r="BL810" s="129">
        <v>1</v>
      </c>
      <c r="BM810" s="197"/>
    </row>
    <row r="811" spans="1:66" x14ac:dyDescent="0.25">
      <c r="A811" s="166" t="s">
        <v>127</v>
      </c>
      <c r="B811" s="166" t="s">
        <v>23</v>
      </c>
      <c r="C811" s="172" t="s">
        <v>396</v>
      </c>
      <c r="D811" s="161">
        <v>7</v>
      </c>
      <c r="E811" s="29" t="str">
        <f t="shared" si="264"/>
        <v>Commissioned assets 2013–15</v>
      </c>
      <c r="F811" s="122">
        <v>6434.6447896049358</v>
      </c>
      <c r="G811" s="122">
        <v>13726.874802564342</v>
      </c>
      <c r="H811" s="122">
        <v>1718.5639547612832</v>
      </c>
      <c r="I811" s="122">
        <v>5600.5836654707864</v>
      </c>
      <c r="J811" s="122">
        <v>7799.1438965238476</v>
      </c>
      <c r="K811" s="122">
        <v>2414.1065854842268</v>
      </c>
      <c r="L811" s="122">
        <v>2520.6764405678318</v>
      </c>
      <c r="M811" s="122">
        <v>667.40446650124068</v>
      </c>
      <c r="N811" s="122">
        <v>3840.3432811815283</v>
      </c>
      <c r="O811" s="122">
        <v>6985.4896100651786</v>
      </c>
      <c r="P811" s="122">
        <v>59411.221552844363</v>
      </c>
      <c r="Q811" s="122">
        <v>5144.4045537063848</v>
      </c>
      <c r="R811" s="122">
        <v>3996.8268611980434</v>
      </c>
      <c r="S811" s="122">
        <v>24515.208116145965</v>
      </c>
      <c r="T811" s="122">
        <v>87461.526677100963</v>
      </c>
      <c r="U811" s="122">
        <v>34496.385300214686</v>
      </c>
      <c r="V811" s="122"/>
      <c r="W811" s="54"/>
      <c r="X811" s="54"/>
      <c r="Y811" s="54"/>
      <c r="Z811" s="54"/>
      <c r="AA811" s="54"/>
      <c r="AB811" s="54"/>
      <c r="AC811" s="54"/>
      <c r="AD811" s="54"/>
      <c r="AE811" s="54"/>
      <c r="AF811" s="54"/>
      <c r="AG811" s="54"/>
      <c r="AH811" s="54"/>
      <c r="AI811" s="117">
        <f t="shared" si="265"/>
        <v>266733.40455393563</v>
      </c>
      <c r="AJ811" s="117">
        <f t="shared" si="266"/>
        <v>266733.40455393563</v>
      </c>
      <c r="AK811" s="117">
        <f t="shared" si="267"/>
        <v>0</v>
      </c>
      <c r="AL811" s="23"/>
      <c r="AM811" s="127" t="b">
        <f t="shared" si="268"/>
        <v>0</v>
      </c>
      <c r="AN811" s="127" t="str">
        <f t="shared" si="269"/>
        <v/>
      </c>
      <c r="AO811" s="129"/>
      <c r="AP811" s="129"/>
      <c r="AQ811" s="129"/>
      <c r="AR811" s="129"/>
      <c r="AS811" s="129"/>
      <c r="AT811" s="129"/>
      <c r="AU811" s="129">
        <v>1</v>
      </c>
      <c r="AV811" s="129">
        <v>1</v>
      </c>
      <c r="AW811" s="129"/>
      <c r="AX811" s="197"/>
      <c r="AY811" s="197"/>
      <c r="AZ811" s="197"/>
      <c r="BA811" s="197"/>
      <c r="BB811" s="129"/>
      <c r="BC811" s="129"/>
      <c r="BD811" s="129"/>
      <c r="BE811" s="129"/>
      <c r="BF811" s="129"/>
      <c r="BG811" s="129"/>
      <c r="BH811" s="129"/>
      <c r="BI811" s="129"/>
      <c r="BJ811" s="129"/>
      <c r="BK811" s="129"/>
      <c r="BL811" s="129">
        <v>1</v>
      </c>
      <c r="BM811" s="197"/>
    </row>
    <row r="812" spans="1:66" x14ac:dyDescent="0.25">
      <c r="A812" s="166" t="s">
        <v>127</v>
      </c>
      <c r="B812" s="166" t="s">
        <v>24</v>
      </c>
      <c r="C812" s="172" t="s">
        <v>396</v>
      </c>
      <c r="D812" s="161">
        <v>7</v>
      </c>
      <c r="E812" s="29" t="str">
        <f t="shared" si="264"/>
        <v>Commissioned assets 2013–15</v>
      </c>
      <c r="F812" s="122">
        <v>6838.1171058088512</v>
      </c>
      <c r="G812" s="122">
        <v>13968.306571743751</v>
      </c>
      <c r="H812" s="122">
        <v>2259.0442786959206</v>
      </c>
      <c r="I812" s="122">
        <v>5624.2908390506927</v>
      </c>
      <c r="J812" s="122">
        <v>8751.9792482986068</v>
      </c>
      <c r="K812" s="122">
        <v>2436.3790115721613</v>
      </c>
      <c r="L812" s="122">
        <v>2713.3053106457296</v>
      </c>
      <c r="M812" s="122">
        <v>801.82786668226515</v>
      </c>
      <c r="N812" s="122">
        <v>4009.5216795046645</v>
      </c>
      <c r="O812" s="122">
        <v>7012.7065408408962</v>
      </c>
      <c r="P812" s="122">
        <v>60035.626888742059</v>
      </c>
      <c r="Q812" s="122">
        <v>5332.7226727186844</v>
      </c>
      <c r="R812" s="122">
        <v>4544.551184066615</v>
      </c>
      <c r="S812" s="122">
        <v>25134.740801801934</v>
      </c>
      <c r="T812" s="122">
        <v>90768.759037436612</v>
      </c>
      <c r="U812" s="122">
        <v>33332.521602496272</v>
      </c>
      <c r="V812" s="122"/>
      <c r="W812" s="54"/>
      <c r="X812" s="54"/>
      <c r="Y812" s="54"/>
      <c r="Z812" s="54"/>
      <c r="AA812" s="54"/>
      <c r="AB812" s="54"/>
      <c r="AC812" s="54"/>
      <c r="AD812" s="54"/>
      <c r="AE812" s="54"/>
      <c r="AF812" s="54"/>
      <c r="AG812" s="54"/>
      <c r="AH812" s="54"/>
      <c r="AI812" s="117">
        <f t="shared" si="265"/>
        <v>273564.40064010571</v>
      </c>
      <c r="AJ812" s="117">
        <f t="shared" si="266"/>
        <v>273564.40064010571</v>
      </c>
      <c r="AK812" s="117">
        <f t="shared" si="267"/>
        <v>0</v>
      </c>
      <c r="AL812" s="23"/>
      <c r="AM812" s="127" t="b">
        <f t="shared" si="268"/>
        <v>0</v>
      </c>
      <c r="AN812" s="127" t="str">
        <f t="shared" si="269"/>
        <v/>
      </c>
      <c r="AO812" s="129"/>
      <c r="AP812" s="129"/>
      <c r="AQ812" s="129"/>
      <c r="AR812" s="129"/>
      <c r="AS812" s="129"/>
      <c r="AT812" s="129"/>
      <c r="AU812" s="129">
        <v>1</v>
      </c>
      <c r="AV812" s="129">
        <v>1</v>
      </c>
      <c r="AW812" s="129"/>
      <c r="AX812" s="197"/>
      <c r="AY812" s="197"/>
      <c r="AZ812" s="197"/>
      <c r="BA812" s="197"/>
      <c r="BB812" s="129"/>
      <c r="BC812" s="129"/>
      <c r="BD812" s="129"/>
      <c r="BE812" s="129"/>
      <c r="BF812" s="129"/>
      <c r="BG812" s="129"/>
      <c r="BH812" s="129"/>
      <c r="BI812" s="129"/>
      <c r="BJ812" s="129"/>
      <c r="BK812" s="129"/>
      <c r="BL812" s="129">
        <v>1</v>
      </c>
      <c r="BM812" s="197"/>
    </row>
    <row r="813" spans="1:66" x14ac:dyDescent="0.25">
      <c r="A813" s="166" t="s">
        <v>127</v>
      </c>
      <c r="B813" s="166" t="s">
        <v>25</v>
      </c>
      <c r="C813" s="172" t="s">
        <v>396</v>
      </c>
      <c r="D813" s="161">
        <v>7</v>
      </c>
      <c r="E813" s="29" t="str">
        <f t="shared" si="264"/>
        <v>Commissioned assets 2013–15</v>
      </c>
      <c r="F813" s="122">
        <v>6950.8820602975884</v>
      </c>
      <c r="G813" s="122">
        <v>13855.609645857849</v>
      </c>
      <c r="H813" s="122">
        <v>2305.2225993509046</v>
      </c>
      <c r="I813" s="122">
        <v>5580.0386999960174</v>
      </c>
      <c r="J813" s="122">
        <v>9115.5736376266432</v>
      </c>
      <c r="K813" s="122">
        <v>2509.7892070642665</v>
      </c>
      <c r="L813" s="122">
        <v>2855.6945619787152</v>
      </c>
      <c r="M813" s="122">
        <v>813.15923409187781</v>
      </c>
      <c r="N813" s="122">
        <v>3927.3128755924804</v>
      </c>
      <c r="O813" s="122">
        <v>6932.947865213896</v>
      </c>
      <c r="P813" s="122">
        <v>60457.784384023777</v>
      </c>
      <c r="Q813" s="122">
        <v>5760.8879024728858</v>
      </c>
      <c r="R813" s="122">
        <v>5308.8871436763611</v>
      </c>
      <c r="S813" s="122">
        <v>24824.311100986044</v>
      </c>
      <c r="T813" s="122">
        <v>91908.104480214839</v>
      </c>
      <c r="U813" s="122">
        <v>31790.174009475646</v>
      </c>
      <c r="V813" s="122"/>
      <c r="W813" s="54"/>
      <c r="X813" s="54"/>
      <c r="Y813" s="54"/>
      <c r="Z813" s="54"/>
      <c r="AA813" s="54"/>
      <c r="AB813" s="54"/>
      <c r="AC813" s="54"/>
      <c r="AD813" s="54"/>
      <c r="AE813" s="54"/>
      <c r="AF813" s="54"/>
      <c r="AG813" s="54"/>
      <c r="AH813" s="54"/>
      <c r="AI813" s="117">
        <f t="shared" si="265"/>
        <v>274896.37940791977</v>
      </c>
      <c r="AJ813" s="117">
        <f t="shared" si="266"/>
        <v>274896.37940791977</v>
      </c>
      <c r="AK813" s="117">
        <f t="shared" si="267"/>
        <v>0</v>
      </c>
      <c r="AL813" s="23"/>
      <c r="AM813" s="127" t="b">
        <f t="shared" si="268"/>
        <v>0</v>
      </c>
      <c r="AN813" s="127" t="str">
        <f t="shared" si="269"/>
        <v/>
      </c>
      <c r="AO813" s="129"/>
      <c r="AP813" s="129"/>
      <c r="AQ813" s="129"/>
      <c r="AR813" s="129"/>
      <c r="AS813" s="129"/>
      <c r="AT813" s="129"/>
      <c r="AU813" s="129">
        <v>1</v>
      </c>
      <c r="AV813" s="129">
        <v>1</v>
      </c>
      <c r="AW813" s="129"/>
      <c r="AX813" s="197"/>
      <c r="AY813" s="197"/>
      <c r="AZ813" s="197"/>
      <c r="BA813" s="197"/>
      <c r="BB813" s="129"/>
      <c r="BC813" s="129"/>
      <c r="BD813" s="129"/>
      <c r="BE813" s="129"/>
      <c r="BF813" s="129"/>
      <c r="BG813" s="129"/>
      <c r="BH813" s="129"/>
      <c r="BI813" s="129"/>
      <c r="BJ813" s="129"/>
      <c r="BK813" s="129"/>
      <c r="BL813" s="129">
        <v>1</v>
      </c>
      <c r="BM813" s="197"/>
    </row>
    <row r="814" spans="1:66" x14ac:dyDescent="0.25">
      <c r="A814" s="166" t="s">
        <v>127</v>
      </c>
      <c r="B814" s="166" t="s">
        <v>26</v>
      </c>
      <c r="C814" s="172" t="s">
        <v>396</v>
      </c>
      <c r="D814" s="161">
        <v>7</v>
      </c>
      <c r="E814" s="29" t="str">
        <f t="shared" si="264"/>
        <v>Commissioned assets 2013–15</v>
      </c>
      <c r="F814" s="122">
        <v>9291.563023410954</v>
      </c>
      <c r="G814" s="122">
        <v>13767.008783022096</v>
      </c>
      <c r="H814" s="122">
        <v>2422.501156585352</v>
      </c>
      <c r="I814" s="122">
        <v>5508.1519131516452</v>
      </c>
      <c r="J814" s="122">
        <v>10560.84128552394</v>
      </c>
      <c r="K814" s="122">
        <v>2634.7476426174585</v>
      </c>
      <c r="L814" s="122">
        <v>3287.8391989795919</v>
      </c>
      <c r="M814" s="122">
        <v>887.20178770108032</v>
      </c>
      <c r="N814" s="122">
        <v>3853.6286817829864</v>
      </c>
      <c r="O814" s="122">
        <v>7190.0244719737348</v>
      </c>
      <c r="P814" s="122">
        <v>61550.80254847544</v>
      </c>
      <c r="Q814" s="122">
        <v>6035.3384126569717</v>
      </c>
      <c r="R814" s="122">
        <v>7313.415866287668</v>
      </c>
      <c r="S814" s="122">
        <v>24406.022898349041</v>
      </c>
      <c r="T814" s="122">
        <v>94054.77863093029</v>
      </c>
      <c r="U814" s="122">
        <v>30942.85445488018</v>
      </c>
      <c r="V814" s="122"/>
      <c r="W814" s="54"/>
      <c r="X814" s="54"/>
      <c r="Y814" s="54"/>
      <c r="Z814" s="54"/>
      <c r="AA814" s="54"/>
      <c r="AB814" s="54"/>
      <c r="AC814" s="54"/>
      <c r="AD814" s="54"/>
      <c r="AE814" s="54"/>
      <c r="AF814" s="54"/>
      <c r="AG814" s="54"/>
      <c r="AH814" s="54"/>
      <c r="AI814" s="117">
        <f t="shared" si="265"/>
        <v>283706.72075632843</v>
      </c>
      <c r="AJ814" s="117">
        <f t="shared" si="266"/>
        <v>283706.72075632843</v>
      </c>
      <c r="AK814" s="117">
        <f t="shared" si="267"/>
        <v>0</v>
      </c>
      <c r="AL814" s="23"/>
      <c r="AM814" s="127" t="b">
        <f t="shared" si="268"/>
        <v>0</v>
      </c>
      <c r="AN814" s="127" t="str">
        <f t="shared" si="269"/>
        <v/>
      </c>
      <c r="AO814" s="129"/>
      <c r="AP814" s="129"/>
      <c r="AQ814" s="129"/>
      <c r="AR814" s="129"/>
      <c r="AS814" s="129"/>
      <c r="AT814" s="129"/>
      <c r="AU814" s="129">
        <v>1</v>
      </c>
      <c r="AV814" s="129">
        <v>1</v>
      </c>
      <c r="AW814" s="129"/>
      <c r="AX814" s="197"/>
      <c r="AY814" s="197"/>
      <c r="AZ814" s="197"/>
      <c r="BA814" s="197"/>
      <c r="BB814" s="129"/>
      <c r="BC814" s="129"/>
      <c r="BD814" s="129"/>
      <c r="BE814" s="129"/>
      <c r="BF814" s="129"/>
      <c r="BG814" s="129"/>
      <c r="BH814" s="129"/>
      <c r="BI814" s="129"/>
      <c r="BJ814" s="129"/>
      <c r="BK814" s="129"/>
      <c r="BL814" s="129">
        <v>1</v>
      </c>
      <c r="BM814" s="197"/>
    </row>
    <row r="815" spans="1:66" x14ac:dyDescent="0.25">
      <c r="A815" s="166" t="s">
        <v>127</v>
      </c>
      <c r="B815" s="166" t="s">
        <v>27</v>
      </c>
      <c r="C815" s="172" t="s">
        <v>396</v>
      </c>
      <c r="D815" s="161">
        <v>7</v>
      </c>
      <c r="E815" s="29" t="str">
        <f t="shared" si="264"/>
        <v>Commissioned assets 2013–15</v>
      </c>
      <c r="F815" s="122">
        <v>9487.8389767762874</v>
      </c>
      <c r="G815" s="122">
        <v>13731.096478079029</v>
      </c>
      <c r="H815" s="122">
        <v>2412.5144650413745</v>
      </c>
      <c r="I815" s="122">
        <v>5532.731844039844</v>
      </c>
      <c r="J815" s="122">
        <v>11394.962376278987</v>
      </c>
      <c r="K815" s="122">
        <v>2509.509306642793</v>
      </c>
      <c r="L815" s="122">
        <v>3963.4370497070636</v>
      </c>
      <c r="M815" s="122">
        <v>1987.9883366523432</v>
      </c>
      <c r="N815" s="122">
        <v>4344.6411757250326</v>
      </c>
      <c r="O815" s="122">
        <v>7197.7205430592794</v>
      </c>
      <c r="P815" s="122">
        <v>64090.947079515201</v>
      </c>
      <c r="Q815" s="122">
        <v>6388.4250647993422</v>
      </c>
      <c r="R815" s="122">
        <v>8375.9052083600054</v>
      </c>
      <c r="S815" s="122">
        <v>26531.624331636722</v>
      </c>
      <c r="T815" s="122">
        <v>98838.03929599683</v>
      </c>
      <c r="U815" s="122">
        <v>31033.136086942719</v>
      </c>
      <c r="V815" s="122"/>
      <c r="W815" s="54"/>
      <c r="X815" s="54"/>
      <c r="Y815" s="54"/>
      <c r="Z815" s="54"/>
      <c r="AA815" s="54"/>
      <c r="AB815" s="54"/>
      <c r="AC815" s="54"/>
      <c r="AD815" s="54"/>
      <c r="AE815" s="54"/>
      <c r="AF815" s="54"/>
      <c r="AG815" s="54"/>
      <c r="AH815" s="54"/>
      <c r="AI815" s="117">
        <f t="shared" si="265"/>
        <v>297820.5176192529</v>
      </c>
      <c r="AJ815" s="117">
        <f t="shared" si="266"/>
        <v>297820.5176192529</v>
      </c>
      <c r="AK815" s="117">
        <f t="shared" si="267"/>
        <v>0</v>
      </c>
      <c r="AL815" s="23"/>
      <c r="AM815" s="127" t="b">
        <f t="shared" si="268"/>
        <v>0</v>
      </c>
      <c r="AN815" s="127" t="str">
        <f t="shared" si="269"/>
        <v/>
      </c>
      <c r="AO815" s="129"/>
      <c r="AP815" s="129"/>
      <c r="AQ815" s="129"/>
      <c r="AR815" s="129"/>
      <c r="AS815" s="129"/>
      <c r="AT815" s="129"/>
      <c r="AU815" s="129">
        <v>1</v>
      </c>
      <c r="AV815" s="129">
        <v>1</v>
      </c>
      <c r="AW815" s="129"/>
      <c r="AX815" s="197"/>
      <c r="AY815" s="197"/>
      <c r="AZ815" s="197"/>
      <c r="BA815" s="197"/>
      <c r="BB815" s="129"/>
      <c r="BC815" s="129"/>
      <c r="BD815" s="129"/>
      <c r="BE815" s="129"/>
      <c r="BF815" s="129"/>
      <c r="BG815" s="129"/>
      <c r="BH815" s="129"/>
      <c r="BI815" s="129"/>
      <c r="BJ815" s="129"/>
      <c r="BK815" s="129"/>
      <c r="BL815" s="129">
        <v>1</v>
      </c>
      <c r="BM815" s="197"/>
    </row>
    <row r="816" spans="1:66" x14ac:dyDescent="0.25">
      <c r="A816" s="121"/>
      <c r="B816" s="121"/>
      <c r="C816" s="172"/>
      <c r="D816" s="25"/>
      <c r="E816" s="25"/>
      <c r="F816" s="25"/>
      <c r="G816" s="25"/>
      <c r="H816" s="25"/>
      <c r="I816" s="25"/>
      <c r="J816" s="25"/>
      <c r="K816" s="25"/>
      <c r="L816" s="25"/>
      <c r="M816" s="26"/>
      <c r="N816" s="26"/>
      <c r="O816" s="26"/>
      <c r="P816" s="26"/>
      <c r="Q816" s="26"/>
      <c r="R816" s="26"/>
      <c r="S816" s="26"/>
      <c r="T816" s="26"/>
      <c r="U816" s="26"/>
      <c r="V816" s="25"/>
      <c r="W816" s="23"/>
      <c r="X816" s="23"/>
      <c r="Y816" s="23"/>
      <c r="Z816" s="23"/>
      <c r="AA816" s="23"/>
      <c r="AB816" s="23"/>
      <c r="AC816" s="23"/>
      <c r="AD816" s="23"/>
      <c r="AE816" s="23"/>
      <c r="AF816" s="23"/>
      <c r="AG816" s="23"/>
      <c r="AH816" s="23"/>
      <c r="AI816" s="54"/>
      <c r="AJ816" s="54"/>
      <c r="AK816" s="54"/>
      <c r="AL816" s="23"/>
      <c r="AM816" s="127"/>
      <c r="AN816" s="127"/>
      <c r="AO816" s="129"/>
      <c r="AP816" s="129"/>
      <c r="AQ816" s="129"/>
      <c r="AR816" s="129"/>
      <c r="AS816" s="129"/>
      <c r="AT816" s="129"/>
      <c r="AU816" s="129"/>
      <c r="AV816" s="129"/>
      <c r="AW816" s="129"/>
      <c r="AX816" s="197"/>
      <c r="AY816" s="197"/>
      <c r="AZ816" s="197"/>
      <c r="BA816" s="197"/>
      <c r="BB816" s="129"/>
      <c r="BC816" s="129"/>
      <c r="BD816" s="129"/>
      <c r="BE816" s="129"/>
      <c r="BF816" s="129"/>
      <c r="BG816" s="129"/>
      <c r="BH816" s="129"/>
      <c r="BI816" s="129"/>
      <c r="BJ816" s="129"/>
      <c r="BK816" s="129"/>
      <c r="BL816" s="129"/>
      <c r="BM816" s="197"/>
    </row>
    <row r="817" spans="1:65" x14ac:dyDescent="0.25">
      <c r="A817" s="121"/>
      <c r="B817" s="121"/>
      <c r="C817" s="172"/>
      <c r="D817" s="46"/>
      <c r="E817" s="46"/>
      <c r="F817" s="54"/>
      <c r="G817" s="54"/>
      <c r="H817" s="54"/>
      <c r="I817" s="54"/>
      <c r="J817" s="54"/>
      <c r="K817" s="54"/>
      <c r="L817" s="54"/>
      <c r="M817" s="54"/>
      <c r="N817" s="54"/>
      <c r="O817" s="54"/>
      <c r="P817" s="54"/>
      <c r="Q817" s="54"/>
      <c r="R817" s="54"/>
      <c r="S817" s="54"/>
      <c r="T817" s="54"/>
      <c r="U817" s="54"/>
      <c r="V817" s="54"/>
      <c r="W817" s="55"/>
      <c r="X817" s="55"/>
      <c r="Y817" s="55"/>
      <c r="Z817" s="55"/>
      <c r="AA817" s="55"/>
      <c r="AB817" s="55"/>
      <c r="AC817" s="55"/>
      <c r="AD817" s="55"/>
      <c r="AE817" s="55"/>
      <c r="AF817" s="55"/>
      <c r="AG817" s="55"/>
      <c r="AH817" s="55"/>
      <c r="AI817" s="54"/>
      <c r="AJ817" s="54"/>
      <c r="AK817" s="54"/>
      <c r="AL817" s="23"/>
      <c r="AM817" s="127"/>
      <c r="AN817" s="127"/>
      <c r="AO817" s="129"/>
      <c r="AP817" s="129"/>
      <c r="AQ817" s="129"/>
      <c r="AR817" s="129"/>
      <c r="AS817" s="129"/>
      <c r="AT817" s="129"/>
      <c r="AU817" s="129"/>
      <c r="AV817" s="129"/>
      <c r="AW817" s="129"/>
      <c r="AX817" s="197"/>
      <c r="AY817" s="197"/>
      <c r="AZ817" s="197"/>
      <c r="BA817" s="197"/>
      <c r="BB817" s="129"/>
      <c r="BC817" s="129"/>
      <c r="BD817" s="129"/>
      <c r="BE817" s="129"/>
      <c r="BF817" s="129"/>
      <c r="BG817" s="129"/>
      <c r="BH817" s="129"/>
      <c r="BI817" s="129"/>
      <c r="BJ817" s="129"/>
      <c r="BK817" s="129"/>
      <c r="BL817" s="129"/>
      <c r="BM817" s="197"/>
    </row>
    <row r="818" spans="1:65" x14ac:dyDescent="0.25">
      <c r="A818" s="121" t="s">
        <v>127</v>
      </c>
      <c r="B818" s="121" t="s">
        <v>22</v>
      </c>
      <c r="C818" s="172" t="s">
        <v>217</v>
      </c>
      <c r="D818" s="161">
        <v>10</v>
      </c>
      <c r="E818" s="29" t="str">
        <f t="shared" ref="E818:E823" si="270">INDEX(ra_ScName,MATCH(D818,ra_ScNumber,0))</f>
        <v>Disclosed nominal return (incl actual asset revaluations)</v>
      </c>
      <c r="F818" s="122">
        <v>6505.4110000000001</v>
      </c>
      <c r="G818" s="122">
        <v>13769</v>
      </c>
      <c r="H818" s="122">
        <v>1585.403689</v>
      </c>
      <c r="I818" s="122">
        <v>4972.6621445240689</v>
      </c>
      <c r="J818" s="122">
        <v>7360</v>
      </c>
      <c r="K818" s="122">
        <v>2354.5229999999997</v>
      </c>
      <c r="L818" s="122">
        <v>3018.64147</v>
      </c>
      <c r="M818" s="122">
        <v>608</v>
      </c>
      <c r="N818" s="122">
        <v>3676.666666666667</v>
      </c>
      <c r="O818" s="122">
        <v>7143.777</v>
      </c>
      <c r="P818" s="122">
        <v>59220</v>
      </c>
      <c r="Q818" s="122">
        <v>4728.7718107484752</v>
      </c>
      <c r="R818" s="122">
        <v>4041.8320699999999</v>
      </c>
      <c r="S818" s="122">
        <v>22260.635926666502</v>
      </c>
      <c r="T818" s="122">
        <v>82723.333333333343</v>
      </c>
      <c r="U818" s="122">
        <v>34488</v>
      </c>
      <c r="V818" s="122">
        <v>27796</v>
      </c>
      <c r="W818" s="122">
        <v>1020.3869999999999</v>
      </c>
      <c r="X818" s="122">
        <v>7791.0406620000003</v>
      </c>
      <c r="Y818" s="122">
        <v>3799</v>
      </c>
      <c r="Z818" s="122">
        <v>8243.3333330000005</v>
      </c>
      <c r="AA818" s="122">
        <v>5131.7676100000008</v>
      </c>
      <c r="AB818" s="122">
        <v>2629</v>
      </c>
      <c r="AC818" s="122">
        <v>5597.3316063338279</v>
      </c>
      <c r="AD818" s="122">
        <v>833.34100000000001</v>
      </c>
      <c r="AE818" s="122">
        <v>9437</v>
      </c>
      <c r="AF818" s="122">
        <v>2319.2595699999997</v>
      </c>
      <c r="AG818" s="122">
        <v>13331.534010881633</v>
      </c>
      <c r="AH818" s="122">
        <v>4744</v>
      </c>
      <c r="AI818" s="117">
        <f t="shared" ref="AI818:AI823" si="271">SUM(F818:AH818)</f>
        <v>351129.65290315455</v>
      </c>
      <c r="AJ818" s="117">
        <f t="shared" ref="AJ818:AJ823" si="272">SUM(F818:U818)</f>
        <v>258456.65811093905</v>
      </c>
      <c r="AK818" s="117">
        <f t="shared" ref="AK818:AK823" si="273">SUM(W818:AH818)</f>
        <v>64876.994792215461</v>
      </c>
      <c r="AL818" s="23"/>
      <c r="AM818" s="127" t="b">
        <f t="shared" ref="AM818:AM823" si="274">IF(INDEX($AO818:$BM818,0,$F$14)=1,TRUE,FALSE)</f>
        <v>1</v>
      </c>
      <c r="AN818" s="127" t="str">
        <f t="shared" ref="AN818:AN823" si="275">IF(AM818,A818&amp;", "&amp;B818,"")</f>
        <v>Tax depreciation, 2009/10</v>
      </c>
      <c r="AO818" s="129"/>
      <c r="AP818" s="129"/>
      <c r="AQ818" s="129"/>
      <c r="AR818" s="129"/>
      <c r="AS818" s="129"/>
      <c r="AT818" s="129"/>
      <c r="AU818" s="129"/>
      <c r="AV818" s="129"/>
      <c r="AW818" s="129">
        <v>1</v>
      </c>
      <c r="AX818" s="197">
        <v>1</v>
      </c>
      <c r="AY818" s="197">
        <v>1</v>
      </c>
      <c r="AZ818" s="197">
        <v>1</v>
      </c>
      <c r="BA818" s="197"/>
      <c r="BB818" s="129"/>
      <c r="BC818" s="129"/>
      <c r="BD818" s="129"/>
      <c r="BE818" s="129"/>
      <c r="BF818" s="129"/>
      <c r="BG818" s="129"/>
      <c r="BH818" s="129"/>
      <c r="BI818" s="129"/>
      <c r="BJ818" s="129"/>
      <c r="BK818" s="129"/>
      <c r="BL818" s="129"/>
      <c r="BM818" s="197">
        <v>1</v>
      </c>
    </row>
    <row r="819" spans="1:65" x14ac:dyDescent="0.25">
      <c r="A819" s="121" t="s">
        <v>127</v>
      </c>
      <c r="B819" s="121" t="s">
        <v>23</v>
      </c>
      <c r="C819" s="172" t="s">
        <v>217</v>
      </c>
      <c r="D819" s="161">
        <v>10</v>
      </c>
      <c r="E819" s="29" t="str">
        <f t="shared" si="270"/>
        <v>Disclosed nominal return (incl actual asset revaluations)</v>
      </c>
      <c r="F819" s="122">
        <v>5852.8639999999996</v>
      </c>
      <c r="G819" s="122">
        <v>14314</v>
      </c>
      <c r="H819" s="122">
        <v>1759.9999290000001</v>
      </c>
      <c r="I819" s="122">
        <v>5016.7745367328116</v>
      </c>
      <c r="J819" s="122">
        <v>7340</v>
      </c>
      <c r="K819" s="122">
        <v>2531.0219999999999</v>
      </c>
      <c r="L819" s="122">
        <v>2605.308</v>
      </c>
      <c r="M819" s="122">
        <v>676</v>
      </c>
      <c r="N819" s="122">
        <v>3543.3333333333335</v>
      </c>
      <c r="O819" s="122">
        <v>7231.9390000000012</v>
      </c>
      <c r="P819" s="122">
        <v>50916.666666666672</v>
      </c>
      <c r="Q819" s="122">
        <v>4558.6758162568531</v>
      </c>
      <c r="R819" s="122">
        <v>3914.4356066666678</v>
      </c>
      <c r="S819" s="122">
        <v>24493.189513333295</v>
      </c>
      <c r="T819" s="122">
        <v>87326.666666666672</v>
      </c>
      <c r="U819" s="122">
        <v>37629.113039999997</v>
      </c>
      <c r="V819" s="122">
        <v>28961.161830000001</v>
      </c>
      <c r="W819" s="122">
        <v>986.13333333333344</v>
      </c>
      <c r="X819" s="122">
        <v>8372.1008190000011</v>
      </c>
      <c r="Y819" s="122">
        <v>3990</v>
      </c>
      <c r="Z819" s="122">
        <v>9503.3333330000005</v>
      </c>
      <c r="AA819" s="122">
        <v>5525.5357800000002</v>
      </c>
      <c r="AB819" s="122">
        <v>2446.2666666666673</v>
      </c>
      <c r="AC819" s="122">
        <v>6051.1318652092314</v>
      </c>
      <c r="AD819" s="122">
        <v>768.44299999999998</v>
      </c>
      <c r="AE819" s="122">
        <v>10472</v>
      </c>
      <c r="AF819" s="122">
        <v>2453.6363700000006</v>
      </c>
      <c r="AG819" s="122">
        <v>18398.318879999999</v>
      </c>
      <c r="AH819" s="122">
        <v>4563</v>
      </c>
      <c r="AI819" s="117">
        <f t="shared" si="271"/>
        <v>362201.0499858656</v>
      </c>
      <c r="AJ819" s="117">
        <f t="shared" si="272"/>
        <v>259709.98810865628</v>
      </c>
      <c r="AK819" s="117">
        <f t="shared" si="273"/>
        <v>73529.90004720923</v>
      </c>
      <c r="AL819" s="23"/>
      <c r="AM819" s="127" t="b">
        <f t="shared" si="274"/>
        <v>1</v>
      </c>
      <c r="AN819" s="127" t="str">
        <f t="shared" si="275"/>
        <v>Tax depreciation, 2010/11</v>
      </c>
      <c r="AO819" s="129"/>
      <c r="AP819" s="129"/>
      <c r="AQ819" s="129"/>
      <c r="AR819" s="129"/>
      <c r="AS819" s="129"/>
      <c r="AT819" s="129"/>
      <c r="AU819" s="129"/>
      <c r="AV819" s="129"/>
      <c r="AW819" s="129">
        <v>1</v>
      </c>
      <c r="AX819" s="197">
        <v>1</v>
      </c>
      <c r="AY819" s="197">
        <v>1</v>
      </c>
      <c r="AZ819" s="197">
        <v>1</v>
      </c>
      <c r="BA819" s="197"/>
      <c r="BB819" s="129"/>
      <c r="BC819" s="129"/>
      <c r="BD819" s="129"/>
      <c r="BE819" s="129"/>
      <c r="BF819" s="129"/>
      <c r="BG819" s="129"/>
      <c r="BH819" s="129"/>
      <c r="BI819" s="129"/>
      <c r="BJ819" s="129"/>
      <c r="BK819" s="129"/>
      <c r="BL819" s="129"/>
      <c r="BM819" s="197">
        <v>1</v>
      </c>
    </row>
    <row r="820" spans="1:65" x14ac:dyDescent="0.25">
      <c r="A820" s="121" t="s">
        <v>127</v>
      </c>
      <c r="B820" s="121" t="s">
        <v>24</v>
      </c>
      <c r="C820" s="172" t="s">
        <v>217</v>
      </c>
      <c r="D820" s="161">
        <v>10</v>
      </c>
      <c r="E820" s="29" t="str">
        <f t="shared" si="270"/>
        <v>Disclosed nominal return (incl actual asset revaluations)</v>
      </c>
      <c r="F820" s="122">
        <v>6080.3814359999997</v>
      </c>
      <c r="G820" s="122">
        <v>14890</v>
      </c>
      <c r="H820" s="122">
        <v>2235.826055</v>
      </c>
      <c r="I820" s="122">
        <v>4814.5788619447258</v>
      </c>
      <c r="J820" s="122">
        <v>8225</v>
      </c>
      <c r="K820" s="122">
        <v>2622.95</v>
      </c>
      <c r="L820" s="122">
        <v>2841.59843</v>
      </c>
      <c r="M820" s="122">
        <v>784</v>
      </c>
      <c r="N820" s="122">
        <v>3657.1428571428569</v>
      </c>
      <c r="O820" s="122">
        <v>7226.4390000000003</v>
      </c>
      <c r="P820" s="122">
        <v>81999.999999999985</v>
      </c>
      <c r="Q820" s="122">
        <v>4127.9528135048504</v>
      </c>
      <c r="R820" s="122">
        <v>4312.2081200000002</v>
      </c>
      <c r="S820" s="122">
        <v>27131.304529999674</v>
      </c>
      <c r="T820" s="122">
        <v>87328.57142857142</v>
      </c>
      <c r="U820" s="122">
        <v>32936</v>
      </c>
      <c r="V820" s="122">
        <v>28088</v>
      </c>
      <c r="W820" s="122">
        <v>1072</v>
      </c>
      <c r="X820" s="122">
        <v>8539.1698933333337</v>
      </c>
      <c r="Y820" s="122">
        <v>3826</v>
      </c>
      <c r="Z820" s="122">
        <v>9133.9285710000004</v>
      </c>
      <c r="AA820" s="122">
        <v>5707.3360000000002</v>
      </c>
      <c r="AB820" s="122">
        <v>2899</v>
      </c>
      <c r="AC820" s="122">
        <v>6380.0814800474045</v>
      </c>
      <c r="AD820" s="122">
        <v>1034.2190000000001</v>
      </c>
      <c r="AE820" s="122">
        <v>10254</v>
      </c>
      <c r="AF820" s="122">
        <v>2638.7799500000006</v>
      </c>
      <c r="AG820" s="122">
        <v>17242.37629</v>
      </c>
      <c r="AH820" s="122">
        <v>4503.5714289999996</v>
      </c>
      <c r="AI820" s="117">
        <f t="shared" si="271"/>
        <v>392532.41614554427</v>
      </c>
      <c r="AJ820" s="117">
        <f t="shared" si="272"/>
        <v>291213.95353216352</v>
      </c>
      <c r="AK820" s="117">
        <f t="shared" si="273"/>
        <v>73230.462613380747</v>
      </c>
      <c r="AL820" s="23"/>
      <c r="AM820" s="127" t="b">
        <f t="shared" si="274"/>
        <v>1</v>
      </c>
      <c r="AN820" s="127" t="str">
        <f t="shared" si="275"/>
        <v>Tax depreciation, 2011/12</v>
      </c>
      <c r="AO820" s="129"/>
      <c r="AP820" s="129"/>
      <c r="AQ820" s="129"/>
      <c r="AR820" s="129"/>
      <c r="AS820" s="129"/>
      <c r="AT820" s="129"/>
      <c r="AU820" s="129"/>
      <c r="AV820" s="129"/>
      <c r="AW820" s="129">
        <v>1</v>
      </c>
      <c r="AX820" s="197">
        <v>1</v>
      </c>
      <c r="AY820" s="197">
        <v>1</v>
      </c>
      <c r="AZ820" s="197">
        <v>1</v>
      </c>
      <c r="BA820" s="197"/>
      <c r="BB820" s="129"/>
      <c r="BC820" s="129"/>
      <c r="BD820" s="129"/>
      <c r="BE820" s="129"/>
      <c r="BF820" s="129"/>
      <c r="BG820" s="129"/>
      <c r="BH820" s="129"/>
      <c r="BI820" s="129"/>
      <c r="BJ820" s="129"/>
      <c r="BK820" s="129"/>
      <c r="BL820" s="129"/>
      <c r="BM820" s="197">
        <v>1</v>
      </c>
    </row>
    <row r="821" spans="1:65" x14ac:dyDescent="0.25">
      <c r="A821" s="121" t="s">
        <v>127</v>
      </c>
      <c r="B821" s="121" t="s">
        <v>25</v>
      </c>
      <c r="C821" s="172" t="s">
        <v>215</v>
      </c>
      <c r="D821" s="161">
        <v>10</v>
      </c>
      <c r="E821" s="29" t="str">
        <f t="shared" si="270"/>
        <v>Disclosed nominal return (incl actual asset revaluations)</v>
      </c>
      <c r="F821" s="122">
        <v>6961.9128839582681</v>
      </c>
      <c r="G821" s="122">
        <v>15020</v>
      </c>
      <c r="H821" s="122">
        <v>2343.1360739245001</v>
      </c>
      <c r="I821" s="122">
        <v>4586.3075777814593</v>
      </c>
      <c r="J821" s="122">
        <v>8083</v>
      </c>
      <c r="K821" s="122">
        <v>2459</v>
      </c>
      <c r="L821" s="122">
        <v>3115.6168900000002</v>
      </c>
      <c r="M821" s="122">
        <v>804.52700000000004</v>
      </c>
      <c r="N821" s="122">
        <v>3182</v>
      </c>
      <c r="O821" s="122">
        <v>7241.7870000000003</v>
      </c>
      <c r="P821" s="122">
        <v>65342</v>
      </c>
      <c r="Q821" s="122">
        <v>4166.7056190065823</v>
      </c>
      <c r="R821" s="122">
        <v>6247.1051883332402</v>
      </c>
      <c r="S821" s="122">
        <v>24947.481513599676</v>
      </c>
      <c r="T821" s="122">
        <v>85282</v>
      </c>
      <c r="U821" s="122">
        <v>30074.624469999959</v>
      </c>
      <c r="V821" s="122">
        <v>29332</v>
      </c>
      <c r="W821" s="122">
        <v>1027.2045714285714</v>
      </c>
      <c r="X821" s="122">
        <v>8672.9095649999999</v>
      </c>
      <c r="Y821" s="122">
        <v>4067.2251900000001</v>
      </c>
      <c r="Z821" s="122">
        <v>9480</v>
      </c>
      <c r="AA821" s="122">
        <v>5920.6970000000001</v>
      </c>
      <c r="AB821" s="122">
        <v>2849.0768701367761</v>
      </c>
      <c r="AC821" s="122">
        <v>6608.0982153081204</v>
      </c>
      <c r="AD821" s="122">
        <v>940.94500000000005</v>
      </c>
      <c r="AE821" s="122">
        <v>10424.86</v>
      </c>
      <c r="AF821" s="122">
        <v>2729.6145000000001</v>
      </c>
      <c r="AG821" s="122">
        <v>25443.53168</v>
      </c>
      <c r="AH821" s="122">
        <v>4520</v>
      </c>
      <c r="AI821" s="117">
        <f t="shared" si="271"/>
        <v>381873.36680847721</v>
      </c>
      <c r="AJ821" s="117">
        <f t="shared" si="272"/>
        <v>269857.20421660371</v>
      </c>
      <c r="AK821" s="117">
        <f t="shared" si="273"/>
        <v>82684.162591873464</v>
      </c>
      <c r="AL821" s="23"/>
      <c r="AM821" s="127" t="b">
        <f t="shared" si="274"/>
        <v>1</v>
      </c>
      <c r="AN821" s="127" t="str">
        <f t="shared" si="275"/>
        <v>Tax depreciation, 2012/13</v>
      </c>
      <c r="AO821" s="129"/>
      <c r="AP821" s="129"/>
      <c r="AQ821" s="129"/>
      <c r="AR821" s="129"/>
      <c r="AS821" s="129"/>
      <c r="AT821" s="129"/>
      <c r="AU821" s="129"/>
      <c r="AV821" s="129"/>
      <c r="AW821" s="129">
        <v>1</v>
      </c>
      <c r="AX821" s="197">
        <v>1</v>
      </c>
      <c r="AY821" s="197">
        <v>1</v>
      </c>
      <c r="AZ821" s="197">
        <v>1</v>
      </c>
      <c r="BA821" s="197"/>
      <c r="BB821" s="129"/>
      <c r="BC821" s="129"/>
      <c r="BD821" s="129"/>
      <c r="BE821" s="129"/>
      <c r="BF821" s="129"/>
      <c r="BG821" s="129"/>
      <c r="BH821" s="129"/>
      <c r="BI821" s="129"/>
      <c r="BJ821" s="129"/>
      <c r="BK821" s="129"/>
      <c r="BL821" s="129"/>
      <c r="BM821" s="197">
        <v>1</v>
      </c>
    </row>
    <row r="822" spans="1:65" x14ac:dyDescent="0.25">
      <c r="A822" s="121" t="s">
        <v>127</v>
      </c>
      <c r="B822" s="121" t="s">
        <v>26</v>
      </c>
      <c r="C822" s="172" t="s">
        <v>215</v>
      </c>
      <c r="D822" s="161">
        <v>10</v>
      </c>
      <c r="E822" s="29" t="str">
        <f t="shared" si="270"/>
        <v>Disclosed nominal return (incl actual asset revaluations)</v>
      </c>
      <c r="F822" s="122">
        <v>8307.997801038553</v>
      </c>
      <c r="G822" s="122">
        <v>14927</v>
      </c>
      <c r="H822" s="122">
        <v>2462.2910609461051</v>
      </c>
      <c r="I822" s="122">
        <v>6884.5093809769442</v>
      </c>
      <c r="J822" s="122">
        <v>10145</v>
      </c>
      <c r="K822" s="122">
        <v>2173.4059999999999</v>
      </c>
      <c r="L822" s="122">
        <v>3708</v>
      </c>
      <c r="M822" s="122">
        <v>891</v>
      </c>
      <c r="N822" s="122">
        <v>3490</v>
      </c>
      <c r="O822" s="122">
        <v>7427.5870000000004</v>
      </c>
      <c r="P822" s="122">
        <v>69941</v>
      </c>
      <c r="Q822" s="122">
        <v>4007</v>
      </c>
      <c r="R822" s="122">
        <v>7367.897964144895</v>
      </c>
      <c r="S822" s="122">
        <v>25109</v>
      </c>
      <c r="T822" s="122">
        <v>90303</v>
      </c>
      <c r="U822" s="122">
        <v>28396.70973000002</v>
      </c>
      <c r="V822" s="122">
        <v>32886.799999999996</v>
      </c>
      <c r="W822" s="122">
        <v>1162</v>
      </c>
      <c r="X822" s="122">
        <v>9025.4403599999987</v>
      </c>
      <c r="Y822" s="122">
        <v>4474</v>
      </c>
      <c r="Z822" s="122">
        <v>9751.3240000000005</v>
      </c>
      <c r="AA822" s="122">
        <v>6651</v>
      </c>
      <c r="AB822" s="122">
        <v>3706</v>
      </c>
      <c r="AC822" s="122">
        <v>7151.2165123669611</v>
      </c>
      <c r="AD822" s="122">
        <v>1065.5160000000001</v>
      </c>
      <c r="AE822" s="122">
        <v>10750.847</v>
      </c>
      <c r="AF822" s="122">
        <v>2877.4360399999996</v>
      </c>
      <c r="AG822" s="122">
        <v>25608.363733636263</v>
      </c>
      <c r="AH822" s="122">
        <v>4345</v>
      </c>
      <c r="AI822" s="117">
        <f t="shared" si="271"/>
        <v>404996.34258310974</v>
      </c>
      <c r="AJ822" s="117">
        <f t="shared" si="272"/>
        <v>285541.39893710648</v>
      </c>
      <c r="AK822" s="117">
        <f t="shared" si="273"/>
        <v>86568.143646003227</v>
      </c>
      <c r="AL822" s="23"/>
      <c r="AM822" s="127" t="b">
        <f t="shared" si="274"/>
        <v>1</v>
      </c>
      <c r="AN822" s="127" t="str">
        <f t="shared" si="275"/>
        <v>Tax depreciation, 2013/14</v>
      </c>
      <c r="AO822" s="129"/>
      <c r="AP822" s="129"/>
      <c r="AQ822" s="129"/>
      <c r="AR822" s="129"/>
      <c r="AS822" s="129"/>
      <c r="AT822" s="129"/>
      <c r="AU822" s="129"/>
      <c r="AV822" s="129"/>
      <c r="AW822" s="129">
        <v>1</v>
      </c>
      <c r="AX822" s="197">
        <v>1</v>
      </c>
      <c r="AY822" s="197">
        <v>1</v>
      </c>
      <c r="AZ822" s="197">
        <v>1</v>
      </c>
      <c r="BA822" s="197"/>
      <c r="BB822" s="129"/>
      <c r="BC822" s="129"/>
      <c r="BD822" s="129"/>
      <c r="BE822" s="129"/>
      <c r="BF822" s="129"/>
      <c r="BG822" s="129"/>
      <c r="BH822" s="129"/>
      <c r="BI822" s="129"/>
      <c r="BJ822" s="129"/>
      <c r="BK822" s="129"/>
      <c r="BL822" s="129"/>
      <c r="BM822" s="197">
        <v>1</v>
      </c>
    </row>
    <row r="823" spans="1:65" x14ac:dyDescent="0.25">
      <c r="A823" s="121" t="s">
        <v>127</v>
      </c>
      <c r="B823" s="121" t="s">
        <v>27</v>
      </c>
      <c r="C823" s="172" t="s">
        <v>215</v>
      </c>
      <c r="D823" s="161">
        <v>10</v>
      </c>
      <c r="E823" s="29" t="str">
        <f t="shared" si="270"/>
        <v>Disclosed nominal return (incl actual asset revaluations)</v>
      </c>
      <c r="F823" s="122">
        <v>9642</v>
      </c>
      <c r="G823" s="122">
        <v>15503</v>
      </c>
      <c r="H823" s="122">
        <v>2317.694350792377</v>
      </c>
      <c r="I823" s="122">
        <v>6245.0162099999998</v>
      </c>
      <c r="J823" s="122">
        <v>9899.7972199140677</v>
      </c>
      <c r="K823" s="122">
        <v>2083.9009999999998</v>
      </c>
      <c r="L823" s="122">
        <v>4179.9316346458863</v>
      </c>
      <c r="M823" s="122">
        <v>1607.4538</v>
      </c>
      <c r="N823" s="122">
        <v>3834</v>
      </c>
      <c r="O823" s="122">
        <v>11120.879000000001</v>
      </c>
      <c r="P823" s="122">
        <v>74723.512789891</v>
      </c>
      <c r="Q823" s="122">
        <v>4158</v>
      </c>
      <c r="R823" s="122">
        <v>7684.3149771625822</v>
      </c>
      <c r="S823" s="122">
        <v>28772.078640000305</v>
      </c>
      <c r="T823" s="122">
        <v>89144</v>
      </c>
      <c r="U823" s="122">
        <v>28065.731760000035</v>
      </c>
      <c r="V823" s="122">
        <v>32582.138999999999</v>
      </c>
      <c r="W823" s="122">
        <v>1118.0144700000001</v>
      </c>
      <c r="X823" s="122">
        <v>9780</v>
      </c>
      <c r="Y823" s="122">
        <v>4492</v>
      </c>
      <c r="Z823" s="122">
        <v>10720</v>
      </c>
      <c r="AA823" s="122">
        <v>7092</v>
      </c>
      <c r="AB823" s="122">
        <v>4225</v>
      </c>
      <c r="AC823" s="122">
        <v>7381.5730441135229</v>
      </c>
      <c r="AD823" s="122">
        <v>1274</v>
      </c>
      <c r="AE823" s="122">
        <v>11315.96</v>
      </c>
      <c r="AF823" s="122">
        <v>3056.8460599999999</v>
      </c>
      <c r="AG823" s="122">
        <v>26766.752486666675</v>
      </c>
      <c r="AH823" s="122">
        <v>4122</v>
      </c>
      <c r="AI823" s="117">
        <f t="shared" si="271"/>
        <v>422907.59644318651</v>
      </c>
      <c r="AJ823" s="117">
        <f t="shared" si="272"/>
        <v>298981.31138240627</v>
      </c>
      <c r="AK823" s="117">
        <f t="shared" si="273"/>
        <v>91344.1460607802</v>
      </c>
      <c r="AL823" s="23"/>
      <c r="AM823" s="127" t="b">
        <f t="shared" si="274"/>
        <v>1</v>
      </c>
      <c r="AN823" s="127" t="str">
        <f t="shared" si="275"/>
        <v>Tax depreciation, 2014/15</v>
      </c>
      <c r="AO823" s="129"/>
      <c r="AP823" s="129"/>
      <c r="AQ823" s="129"/>
      <c r="AR823" s="129"/>
      <c r="AS823" s="129"/>
      <c r="AT823" s="129"/>
      <c r="AU823" s="129"/>
      <c r="AV823" s="129"/>
      <c r="AW823" s="129">
        <v>1</v>
      </c>
      <c r="AX823" s="197">
        <v>1</v>
      </c>
      <c r="AY823" s="197">
        <v>1</v>
      </c>
      <c r="AZ823" s="197">
        <v>1</v>
      </c>
      <c r="BA823" s="197"/>
      <c r="BB823" s="129"/>
      <c r="BC823" s="129"/>
      <c r="BD823" s="129"/>
      <c r="BE823" s="129"/>
      <c r="BF823" s="129"/>
      <c r="BG823" s="129"/>
      <c r="BH823" s="129"/>
      <c r="BI823" s="129"/>
      <c r="BJ823" s="129"/>
      <c r="BK823" s="129"/>
      <c r="BL823" s="129"/>
      <c r="BM823" s="197">
        <v>1</v>
      </c>
    </row>
    <row r="824" spans="1:65" x14ac:dyDescent="0.25">
      <c r="A824" s="121"/>
      <c r="B824" s="121"/>
      <c r="C824" s="172"/>
      <c r="D824" s="25"/>
      <c r="E824" s="25"/>
      <c r="F824" s="25"/>
      <c r="G824" s="25"/>
      <c r="H824" s="25"/>
      <c r="I824" s="25"/>
      <c r="J824" s="25"/>
      <c r="K824" s="25"/>
      <c r="L824" s="25"/>
      <c r="M824" s="26"/>
      <c r="N824" s="26"/>
      <c r="O824" s="26"/>
      <c r="P824" s="26"/>
      <c r="Q824" s="26"/>
      <c r="R824" s="26"/>
      <c r="S824" s="26"/>
      <c r="T824" s="26"/>
      <c r="U824" s="26"/>
      <c r="V824" s="25"/>
      <c r="W824" s="23"/>
      <c r="X824" s="23"/>
      <c r="Y824" s="23"/>
      <c r="Z824" s="23"/>
      <c r="AA824" s="23"/>
      <c r="AB824" s="23"/>
      <c r="AC824" s="23"/>
      <c r="AD824" s="23"/>
      <c r="AE824" s="23"/>
      <c r="AF824" s="23"/>
      <c r="AG824" s="23"/>
      <c r="AH824" s="23"/>
      <c r="AI824" s="54"/>
      <c r="AJ824" s="54"/>
      <c r="AK824" s="54"/>
      <c r="AL824" s="23"/>
      <c r="AM824" s="127"/>
      <c r="AN824" s="127"/>
      <c r="AO824" s="129"/>
      <c r="AP824" s="129"/>
      <c r="AQ824" s="129"/>
      <c r="AR824" s="129"/>
      <c r="AS824" s="129"/>
      <c r="AT824" s="129"/>
      <c r="AU824" s="129"/>
      <c r="AV824" s="129"/>
      <c r="AW824" s="129"/>
      <c r="AX824" s="197"/>
      <c r="AY824" s="197"/>
      <c r="AZ824" s="197"/>
      <c r="BA824" s="197"/>
      <c r="BB824" s="129"/>
      <c r="BC824" s="129"/>
      <c r="BD824" s="129"/>
      <c r="BE824" s="129"/>
      <c r="BF824" s="129"/>
      <c r="BG824" s="129"/>
      <c r="BH824" s="129"/>
      <c r="BI824" s="129"/>
      <c r="BJ824" s="129"/>
      <c r="BK824" s="129"/>
      <c r="BL824" s="129"/>
      <c r="BM824" s="197"/>
    </row>
    <row r="825" spans="1:65" x14ac:dyDescent="0.25">
      <c r="A825" s="121"/>
      <c r="B825" s="121"/>
      <c r="C825" s="172"/>
      <c r="D825" s="46"/>
      <c r="E825" s="46"/>
      <c r="F825" s="54"/>
      <c r="G825" s="54"/>
      <c r="H825" s="54"/>
      <c r="I825" s="54"/>
      <c r="J825" s="54"/>
      <c r="K825" s="54"/>
      <c r="L825" s="54"/>
      <c r="M825" s="54"/>
      <c r="N825" s="54"/>
      <c r="O825" s="54"/>
      <c r="P825" s="54"/>
      <c r="Q825" s="54"/>
      <c r="R825" s="54"/>
      <c r="S825" s="54"/>
      <c r="T825" s="54"/>
      <c r="U825" s="54"/>
      <c r="V825" s="54"/>
      <c r="W825" s="55"/>
      <c r="X825" s="55"/>
      <c r="Y825" s="55"/>
      <c r="Z825" s="55"/>
      <c r="AA825" s="55"/>
      <c r="AB825" s="55"/>
      <c r="AC825" s="55"/>
      <c r="AD825" s="55"/>
      <c r="AE825" s="55"/>
      <c r="AF825" s="55"/>
      <c r="AG825" s="55"/>
      <c r="AH825" s="55"/>
      <c r="AI825" s="54"/>
      <c r="AJ825" s="54"/>
      <c r="AK825" s="54"/>
      <c r="AL825" s="23"/>
      <c r="AM825" s="127"/>
      <c r="AN825" s="127"/>
      <c r="AO825" s="129"/>
      <c r="AP825" s="129"/>
      <c r="AQ825" s="129"/>
      <c r="AR825" s="129"/>
      <c r="AS825" s="129"/>
      <c r="AT825" s="129"/>
      <c r="AU825" s="129"/>
      <c r="AV825" s="129"/>
      <c r="AW825" s="129"/>
      <c r="AX825" s="197"/>
      <c r="AY825" s="197"/>
      <c r="AZ825" s="197"/>
      <c r="BA825" s="197"/>
      <c r="BB825" s="129"/>
      <c r="BC825" s="129"/>
      <c r="BD825" s="129"/>
      <c r="BE825" s="129"/>
      <c r="BF825" s="129"/>
      <c r="BG825" s="129"/>
      <c r="BH825" s="129"/>
      <c r="BI825" s="129"/>
      <c r="BJ825" s="129"/>
      <c r="BK825" s="129"/>
      <c r="BL825" s="129"/>
      <c r="BM825" s="197"/>
    </row>
    <row r="826" spans="1:65" x14ac:dyDescent="0.25">
      <c r="A826" s="121" t="s">
        <v>82</v>
      </c>
      <c r="B826" s="121" t="s">
        <v>22</v>
      </c>
      <c r="C826" s="172" t="s">
        <v>222</v>
      </c>
      <c r="D826" s="161">
        <v>1</v>
      </c>
      <c r="E826" s="29" t="str">
        <f t="shared" ref="E826:E831" si="276">INDEX(ra_ScName,MATCH(D826,ra_ScNumber,0))</f>
        <v>Expected nominal return (incl forecast asset revaluations)</v>
      </c>
      <c r="F826" s="54"/>
      <c r="G826" s="54"/>
      <c r="H826" s="54"/>
      <c r="I826" s="54"/>
      <c r="J826" s="54"/>
      <c r="K826" s="54"/>
      <c r="L826" s="54"/>
      <c r="M826" s="54"/>
      <c r="N826" s="54"/>
      <c r="O826" s="54"/>
      <c r="P826" s="54"/>
      <c r="Q826" s="54"/>
      <c r="R826" s="54"/>
      <c r="S826" s="54"/>
      <c r="T826" s="54"/>
      <c r="U826" s="54"/>
      <c r="V826" s="54"/>
      <c r="W826" s="54"/>
      <c r="X826" s="54"/>
      <c r="Y826" s="54"/>
      <c r="Z826" s="54"/>
      <c r="AA826" s="54"/>
      <c r="AB826" s="54"/>
      <c r="AC826" s="54"/>
      <c r="AD826" s="54"/>
      <c r="AE826" s="54"/>
      <c r="AF826" s="54"/>
      <c r="AG826" s="54"/>
      <c r="AH826" s="54"/>
      <c r="AI826" s="117">
        <f t="shared" ref="AI826:AI831" si="277">SUM(F826:AH826)</f>
        <v>0</v>
      </c>
      <c r="AJ826" s="117">
        <f t="shared" ref="AJ826:AJ831" si="278">SUM(F826:U826)</f>
        <v>0</v>
      </c>
      <c r="AK826" s="117">
        <f t="shared" ref="AK826:AK831" si="279">SUM(W826:AH826)</f>
        <v>0</v>
      </c>
      <c r="AL826" s="23"/>
      <c r="AM826" s="127" t="b">
        <f t="shared" ref="AM826:AM831" si="280">IF(INDEX($AO826:$BM826,0,$F$14)=1,TRUE,FALSE)</f>
        <v>0</v>
      </c>
      <c r="AN826" s="127" t="str">
        <f t="shared" ref="AN826:AN831" si="281">IF(AM826,A826&amp;", "&amp;B826,"")</f>
        <v/>
      </c>
      <c r="AO826" s="129">
        <v>1</v>
      </c>
      <c r="AP826" s="129">
        <v>1</v>
      </c>
      <c r="AQ826" s="129">
        <v>1</v>
      </c>
      <c r="AR826" s="129">
        <v>1</v>
      </c>
      <c r="AS826" s="129">
        <v>1</v>
      </c>
      <c r="AT826" s="129">
        <v>1</v>
      </c>
      <c r="AU826" s="129">
        <v>1</v>
      </c>
      <c r="AV826" s="129">
        <v>1</v>
      </c>
      <c r="AW826" s="129"/>
      <c r="AX826" s="197"/>
      <c r="AY826" s="197"/>
      <c r="AZ826" s="197"/>
      <c r="BA826" s="197">
        <v>1</v>
      </c>
      <c r="BB826" s="129">
        <v>1</v>
      </c>
      <c r="BC826" s="129">
        <v>1</v>
      </c>
      <c r="BD826" s="129">
        <v>1</v>
      </c>
      <c r="BE826" s="129">
        <v>1</v>
      </c>
      <c r="BF826" s="129">
        <v>1</v>
      </c>
      <c r="BG826" s="129">
        <v>1</v>
      </c>
      <c r="BH826" s="129">
        <v>1</v>
      </c>
      <c r="BI826" s="129">
        <v>1</v>
      </c>
      <c r="BJ826" s="129">
        <v>1</v>
      </c>
      <c r="BK826" s="129">
        <v>1</v>
      </c>
      <c r="BL826" s="129">
        <v>1</v>
      </c>
      <c r="BM826" s="197"/>
    </row>
    <row r="827" spans="1:65" x14ac:dyDescent="0.25">
      <c r="A827" s="121" t="s">
        <v>82</v>
      </c>
      <c r="B827" s="121" t="s">
        <v>23</v>
      </c>
      <c r="C827" s="172" t="s">
        <v>222</v>
      </c>
      <c r="D827" s="161">
        <v>1</v>
      </c>
      <c r="E827" s="29" t="str">
        <f t="shared" si="276"/>
        <v>Expected nominal return (incl forecast asset revaluations)</v>
      </c>
      <c r="F827" s="54"/>
      <c r="G827" s="54"/>
      <c r="H827" s="54"/>
      <c r="I827" s="54"/>
      <c r="J827" s="54"/>
      <c r="K827" s="54"/>
      <c r="L827" s="54"/>
      <c r="M827" s="54"/>
      <c r="N827" s="54"/>
      <c r="O827" s="54"/>
      <c r="P827" s="54"/>
      <c r="Q827" s="54"/>
      <c r="R827" s="54"/>
      <c r="S827" s="54"/>
      <c r="T827" s="54"/>
      <c r="U827" s="54"/>
      <c r="V827" s="54"/>
      <c r="W827" s="54"/>
      <c r="X827" s="54"/>
      <c r="Y827" s="54"/>
      <c r="Z827" s="54"/>
      <c r="AA827" s="54"/>
      <c r="AB827" s="54"/>
      <c r="AC827" s="54"/>
      <c r="AD827" s="54"/>
      <c r="AE827" s="54"/>
      <c r="AF827" s="54"/>
      <c r="AG827" s="54"/>
      <c r="AH827" s="54"/>
      <c r="AI827" s="117">
        <f t="shared" si="277"/>
        <v>0</v>
      </c>
      <c r="AJ827" s="117">
        <f t="shared" si="278"/>
        <v>0</v>
      </c>
      <c r="AK827" s="117">
        <f t="shared" si="279"/>
        <v>0</v>
      </c>
      <c r="AL827" s="23"/>
      <c r="AM827" s="127" t="b">
        <f t="shared" si="280"/>
        <v>0</v>
      </c>
      <c r="AN827" s="127" t="str">
        <f t="shared" si="281"/>
        <v/>
      </c>
      <c r="AO827" s="129">
        <v>1</v>
      </c>
      <c r="AP827" s="129">
        <v>1</v>
      </c>
      <c r="AQ827" s="129">
        <v>1</v>
      </c>
      <c r="AR827" s="129">
        <v>1</v>
      </c>
      <c r="AS827" s="129">
        <v>1</v>
      </c>
      <c r="AT827" s="129">
        <v>1</v>
      </c>
      <c r="AU827" s="129">
        <v>1</v>
      </c>
      <c r="AV827" s="129">
        <v>1</v>
      </c>
      <c r="AW827" s="129"/>
      <c r="AX827" s="197"/>
      <c r="AY827" s="197"/>
      <c r="AZ827" s="197"/>
      <c r="BA827" s="197">
        <v>1</v>
      </c>
      <c r="BB827" s="129">
        <v>1</v>
      </c>
      <c r="BC827" s="129">
        <v>1</v>
      </c>
      <c r="BD827" s="129">
        <v>1</v>
      </c>
      <c r="BE827" s="129">
        <v>1</v>
      </c>
      <c r="BF827" s="129">
        <v>1</v>
      </c>
      <c r="BG827" s="129">
        <v>1</v>
      </c>
      <c r="BH827" s="129">
        <v>1</v>
      </c>
      <c r="BI827" s="129">
        <v>1</v>
      </c>
      <c r="BJ827" s="129">
        <v>1</v>
      </c>
      <c r="BK827" s="129">
        <v>1</v>
      </c>
      <c r="BL827" s="129">
        <v>1</v>
      </c>
      <c r="BM827" s="197"/>
    </row>
    <row r="828" spans="1:65" x14ac:dyDescent="0.25">
      <c r="A828" s="121" t="s">
        <v>82</v>
      </c>
      <c r="B828" s="121" t="s">
        <v>24</v>
      </c>
      <c r="C828" s="172" t="s">
        <v>222</v>
      </c>
      <c r="D828" s="161">
        <v>1</v>
      </c>
      <c r="E828" s="29" t="str">
        <f t="shared" si="276"/>
        <v>Expected nominal return (incl forecast asset revaluations)</v>
      </c>
      <c r="F828" s="54"/>
      <c r="G828" s="54"/>
      <c r="H828" s="54"/>
      <c r="I828" s="54"/>
      <c r="J828" s="54"/>
      <c r="K828" s="54"/>
      <c r="L828" s="54"/>
      <c r="M828" s="54"/>
      <c r="N828" s="54"/>
      <c r="O828" s="54"/>
      <c r="P828" s="54"/>
      <c r="Q828" s="54"/>
      <c r="R828" s="54"/>
      <c r="S828" s="54"/>
      <c r="T828" s="54"/>
      <c r="U828" s="54"/>
      <c r="V828" s="54"/>
      <c r="W828" s="54"/>
      <c r="X828" s="54"/>
      <c r="Y828" s="54"/>
      <c r="Z828" s="54"/>
      <c r="AA828" s="54"/>
      <c r="AB828" s="54"/>
      <c r="AC828" s="54"/>
      <c r="AD828" s="54"/>
      <c r="AE828" s="54"/>
      <c r="AF828" s="54"/>
      <c r="AG828" s="54"/>
      <c r="AH828" s="54"/>
      <c r="AI828" s="117">
        <f t="shared" si="277"/>
        <v>0</v>
      </c>
      <c r="AJ828" s="117">
        <f t="shared" si="278"/>
        <v>0</v>
      </c>
      <c r="AK828" s="117">
        <f t="shared" si="279"/>
        <v>0</v>
      </c>
      <c r="AL828" s="23"/>
      <c r="AM828" s="127" t="b">
        <f t="shared" si="280"/>
        <v>0</v>
      </c>
      <c r="AN828" s="127" t="str">
        <f t="shared" si="281"/>
        <v/>
      </c>
      <c r="AO828" s="129">
        <v>1</v>
      </c>
      <c r="AP828" s="129">
        <v>1</v>
      </c>
      <c r="AQ828" s="129">
        <v>1</v>
      </c>
      <c r="AR828" s="129">
        <v>1</v>
      </c>
      <c r="AS828" s="129">
        <v>1</v>
      </c>
      <c r="AT828" s="129">
        <v>1</v>
      </c>
      <c r="AU828" s="129">
        <v>1</v>
      </c>
      <c r="AV828" s="129">
        <v>1</v>
      </c>
      <c r="AW828" s="129"/>
      <c r="AX828" s="197"/>
      <c r="AY828" s="197"/>
      <c r="AZ828" s="197"/>
      <c r="BA828" s="197">
        <v>1</v>
      </c>
      <c r="BB828" s="129">
        <v>1</v>
      </c>
      <c r="BC828" s="129">
        <v>1</v>
      </c>
      <c r="BD828" s="129">
        <v>1</v>
      </c>
      <c r="BE828" s="129">
        <v>1</v>
      </c>
      <c r="BF828" s="129">
        <v>1</v>
      </c>
      <c r="BG828" s="129">
        <v>1</v>
      </c>
      <c r="BH828" s="129">
        <v>1</v>
      </c>
      <c r="BI828" s="129">
        <v>1</v>
      </c>
      <c r="BJ828" s="129">
        <v>1</v>
      </c>
      <c r="BK828" s="129">
        <v>1</v>
      </c>
      <c r="BL828" s="129">
        <v>1</v>
      </c>
      <c r="BM828" s="197"/>
    </row>
    <row r="829" spans="1:65" x14ac:dyDescent="0.25">
      <c r="A829" s="121" t="s">
        <v>82</v>
      </c>
      <c r="B829" s="121" t="s">
        <v>25</v>
      </c>
      <c r="C829" s="172" t="s">
        <v>222</v>
      </c>
      <c r="D829" s="161">
        <v>1</v>
      </c>
      <c r="E829" s="29" t="str">
        <f t="shared" si="276"/>
        <v>Expected nominal return (incl forecast asset revaluations)</v>
      </c>
      <c r="F829" s="54"/>
      <c r="G829" s="54"/>
      <c r="H829" s="54"/>
      <c r="I829" s="54"/>
      <c r="J829" s="54"/>
      <c r="K829" s="54"/>
      <c r="L829" s="54"/>
      <c r="M829" s="54"/>
      <c r="N829" s="54"/>
      <c r="O829" s="54"/>
      <c r="P829" s="54"/>
      <c r="Q829" s="54"/>
      <c r="R829" s="54"/>
      <c r="S829" s="54"/>
      <c r="T829" s="54"/>
      <c r="U829" s="54"/>
      <c r="V829" s="54"/>
      <c r="W829" s="54"/>
      <c r="X829" s="54"/>
      <c r="Y829" s="54"/>
      <c r="Z829" s="54"/>
      <c r="AA829" s="54"/>
      <c r="AB829" s="54"/>
      <c r="AC829" s="54"/>
      <c r="AD829" s="54"/>
      <c r="AE829" s="54"/>
      <c r="AF829" s="54"/>
      <c r="AG829" s="54"/>
      <c r="AH829" s="54"/>
      <c r="AI829" s="117">
        <f t="shared" si="277"/>
        <v>0</v>
      </c>
      <c r="AJ829" s="117">
        <f t="shared" si="278"/>
        <v>0</v>
      </c>
      <c r="AK829" s="117">
        <f t="shared" si="279"/>
        <v>0</v>
      </c>
      <c r="AL829" s="23"/>
      <c r="AM829" s="127" t="b">
        <f t="shared" si="280"/>
        <v>0</v>
      </c>
      <c r="AN829" s="127" t="str">
        <f t="shared" si="281"/>
        <v/>
      </c>
      <c r="AO829" s="129">
        <v>1</v>
      </c>
      <c r="AP829" s="129">
        <v>1</v>
      </c>
      <c r="AQ829" s="129">
        <v>1</v>
      </c>
      <c r="AR829" s="129">
        <v>1</v>
      </c>
      <c r="AS829" s="129">
        <v>1</v>
      </c>
      <c r="AT829" s="129">
        <v>1</v>
      </c>
      <c r="AU829" s="129">
        <v>1</v>
      </c>
      <c r="AV829" s="129">
        <v>1</v>
      </c>
      <c r="AW829" s="129"/>
      <c r="AX829" s="197"/>
      <c r="AY829" s="197"/>
      <c r="AZ829" s="197"/>
      <c r="BA829" s="197">
        <v>1</v>
      </c>
      <c r="BB829" s="129">
        <v>1</v>
      </c>
      <c r="BC829" s="129">
        <v>1</v>
      </c>
      <c r="BD829" s="129">
        <v>1</v>
      </c>
      <c r="BE829" s="129">
        <v>1</v>
      </c>
      <c r="BF829" s="129">
        <v>1</v>
      </c>
      <c r="BG829" s="129">
        <v>1</v>
      </c>
      <c r="BH829" s="129">
        <v>1</v>
      </c>
      <c r="BI829" s="129">
        <v>1</v>
      </c>
      <c r="BJ829" s="129">
        <v>1</v>
      </c>
      <c r="BK829" s="129">
        <v>1</v>
      </c>
      <c r="BL829" s="129">
        <v>1</v>
      </c>
      <c r="BM829" s="197"/>
    </row>
    <row r="830" spans="1:65" x14ac:dyDescent="0.25">
      <c r="A830" s="121" t="s">
        <v>82</v>
      </c>
      <c r="B830" s="121" t="s">
        <v>26</v>
      </c>
      <c r="C830" s="172" t="s">
        <v>222</v>
      </c>
      <c r="D830" s="161">
        <v>1</v>
      </c>
      <c r="E830" s="29" t="str">
        <f t="shared" si="276"/>
        <v>Expected nominal return (incl forecast asset revaluations)</v>
      </c>
      <c r="F830" s="54"/>
      <c r="G830" s="54"/>
      <c r="H830" s="54"/>
      <c r="I830" s="54"/>
      <c r="J830" s="54"/>
      <c r="K830" s="54"/>
      <c r="L830" s="54"/>
      <c r="M830" s="54"/>
      <c r="N830" s="54"/>
      <c r="O830" s="54"/>
      <c r="P830" s="54"/>
      <c r="Q830" s="54"/>
      <c r="R830" s="54"/>
      <c r="S830" s="54"/>
      <c r="T830" s="54"/>
      <c r="U830" s="54"/>
      <c r="V830" s="54"/>
      <c r="W830" s="54"/>
      <c r="X830" s="54"/>
      <c r="Y830" s="54"/>
      <c r="Z830" s="54"/>
      <c r="AA830" s="54"/>
      <c r="AB830" s="54"/>
      <c r="AC830" s="54"/>
      <c r="AD830" s="54"/>
      <c r="AE830" s="54"/>
      <c r="AF830" s="54"/>
      <c r="AG830" s="54"/>
      <c r="AH830" s="54"/>
      <c r="AI830" s="117">
        <f t="shared" si="277"/>
        <v>0</v>
      </c>
      <c r="AJ830" s="117">
        <f t="shared" si="278"/>
        <v>0</v>
      </c>
      <c r="AK830" s="117">
        <f t="shared" si="279"/>
        <v>0</v>
      </c>
      <c r="AL830" s="23"/>
      <c r="AM830" s="127" t="b">
        <f t="shared" si="280"/>
        <v>0</v>
      </c>
      <c r="AN830" s="127" t="str">
        <f t="shared" si="281"/>
        <v/>
      </c>
      <c r="AO830" s="129">
        <v>1</v>
      </c>
      <c r="AP830" s="129">
        <v>1</v>
      </c>
      <c r="AQ830" s="129">
        <v>1</v>
      </c>
      <c r="AR830" s="129">
        <v>1</v>
      </c>
      <c r="AS830" s="129">
        <v>1</v>
      </c>
      <c r="AT830" s="129">
        <v>1</v>
      </c>
      <c r="AU830" s="129">
        <v>1</v>
      </c>
      <c r="AV830" s="129">
        <v>1</v>
      </c>
      <c r="AW830" s="129"/>
      <c r="AX830" s="197"/>
      <c r="AY830" s="197"/>
      <c r="AZ830" s="197"/>
      <c r="BA830" s="197">
        <v>1</v>
      </c>
      <c r="BB830" s="129">
        <v>1</v>
      </c>
      <c r="BC830" s="129">
        <v>1</v>
      </c>
      <c r="BD830" s="129">
        <v>1</v>
      </c>
      <c r="BE830" s="129">
        <v>1</v>
      </c>
      <c r="BF830" s="129">
        <v>1</v>
      </c>
      <c r="BG830" s="129">
        <v>1</v>
      </c>
      <c r="BH830" s="129">
        <v>1</v>
      </c>
      <c r="BI830" s="129">
        <v>1</v>
      </c>
      <c r="BJ830" s="129">
        <v>1</v>
      </c>
      <c r="BK830" s="129">
        <v>1</v>
      </c>
      <c r="BL830" s="129">
        <v>1</v>
      </c>
      <c r="BM830" s="197"/>
    </row>
    <row r="831" spans="1:65" x14ac:dyDescent="0.25">
      <c r="A831" s="121" t="s">
        <v>82</v>
      </c>
      <c r="B831" s="121" t="s">
        <v>27</v>
      </c>
      <c r="C831" s="172" t="s">
        <v>222</v>
      </c>
      <c r="D831" s="161">
        <v>1</v>
      </c>
      <c r="E831" s="29" t="str">
        <f t="shared" si="276"/>
        <v>Expected nominal return (incl forecast asset revaluations)</v>
      </c>
      <c r="F831" s="54"/>
      <c r="G831" s="54"/>
      <c r="H831" s="54"/>
      <c r="I831" s="54"/>
      <c r="J831" s="54"/>
      <c r="K831" s="54"/>
      <c r="L831" s="54"/>
      <c r="M831" s="54"/>
      <c r="N831" s="54"/>
      <c r="O831" s="54"/>
      <c r="P831" s="54"/>
      <c r="Q831" s="54"/>
      <c r="R831" s="54"/>
      <c r="S831" s="54"/>
      <c r="T831" s="54"/>
      <c r="U831" s="54"/>
      <c r="V831" s="54"/>
      <c r="W831" s="54"/>
      <c r="X831" s="54"/>
      <c r="Y831" s="54"/>
      <c r="Z831" s="54"/>
      <c r="AA831" s="54"/>
      <c r="AB831" s="54"/>
      <c r="AC831" s="54"/>
      <c r="AD831" s="54"/>
      <c r="AE831" s="54"/>
      <c r="AF831" s="54"/>
      <c r="AG831" s="54"/>
      <c r="AH831" s="54"/>
      <c r="AI831" s="117">
        <f t="shared" si="277"/>
        <v>0</v>
      </c>
      <c r="AJ831" s="117">
        <f t="shared" si="278"/>
        <v>0</v>
      </c>
      <c r="AK831" s="117">
        <f t="shared" si="279"/>
        <v>0</v>
      </c>
      <c r="AL831" s="23"/>
      <c r="AM831" s="127" t="b">
        <f t="shared" si="280"/>
        <v>0</v>
      </c>
      <c r="AN831" s="127" t="str">
        <f t="shared" si="281"/>
        <v/>
      </c>
      <c r="AO831" s="129">
        <v>1</v>
      </c>
      <c r="AP831" s="129">
        <v>1</v>
      </c>
      <c r="AQ831" s="129">
        <v>1</v>
      </c>
      <c r="AR831" s="129">
        <v>1</v>
      </c>
      <c r="AS831" s="129">
        <v>1</v>
      </c>
      <c r="AT831" s="129">
        <v>1</v>
      </c>
      <c r="AU831" s="129">
        <v>1</v>
      </c>
      <c r="AV831" s="129">
        <v>1</v>
      </c>
      <c r="AW831" s="129"/>
      <c r="AX831" s="197"/>
      <c r="AY831" s="197"/>
      <c r="AZ831" s="197"/>
      <c r="BA831" s="197">
        <v>1</v>
      </c>
      <c r="BB831" s="129">
        <v>1</v>
      </c>
      <c r="BC831" s="129">
        <v>1</v>
      </c>
      <c r="BD831" s="129">
        <v>1</v>
      </c>
      <c r="BE831" s="129">
        <v>1</v>
      </c>
      <c r="BF831" s="129">
        <v>1</v>
      </c>
      <c r="BG831" s="129">
        <v>1</v>
      </c>
      <c r="BH831" s="129">
        <v>1</v>
      </c>
      <c r="BI831" s="129">
        <v>1</v>
      </c>
      <c r="BJ831" s="129">
        <v>1</v>
      </c>
      <c r="BK831" s="129">
        <v>1</v>
      </c>
      <c r="BL831" s="129">
        <v>1</v>
      </c>
      <c r="BM831" s="197"/>
    </row>
    <row r="832" spans="1:65" x14ac:dyDescent="0.25">
      <c r="A832" s="121"/>
      <c r="B832" s="121"/>
      <c r="C832" s="172"/>
      <c r="D832" s="25"/>
      <c r="E832" s="25"/>
      <c r="F832" s="25"/>
      <c r="G832" s="25"/>
      <c r="H832" s="25"/>
      <c r="I832" s="25"/>
      <c r="J832" s="25"/>
      <c r="K832" s="25"/>
      <c r="L832" s="25"/>
      <c r="M832" s="26"/>
      <c r="N832" s="26"/>
      <c r="O832" s="26"/>
      <c r="P832" s="26"/>
      <c r="Q832" s="26"/>
      <c r="R832" s="26"/>
      <c r="S832" s="26"/>
      <c r="T832" s="26"/>
      <c r="U832" s="26"/>
      <c r="V832" s="25"/>
      <c r="W832" s="23"/>
      <c r="X832" s="23"/>
      <c r="Y832" s="23"/>
      <c r="Z832" s="23"/>
      <c r="AA832" s="23"/>
      <c r="AB832" s="23"/>
      <c r="AC832" s="23"/>
      <c r="AD832" s="23"/>
      <c r="AE832" s="23"/>
      <c r="AF832" s="23"/>
      <c r="AG832" s="23"/>
      <c r="AH832" s="23"/>
      <c r="AI832" s="54"/>
      <c r="AJ832" s="54"/>
      <c r="AK832" s="54"/>
      <c r="AL832" s="23"/>
      <c r="AM832" s="127"/>
      <c r="AN832" s="127"/>
      <c r="AO832" s="129"/>
      <c r="AP832" s="129"/>
      <c r="AQ832" s="129"/>
      <c r="AR832" s="129"/>
      <c r="AS832" s="129"/>
      <c r="AT832" s="129"/>
      <c r="AU832" s="129"/>
      <c r="AV832" s="129"/>
      <c r="AW832" s="129"/>
      <c r="AX832" s="197"/>
      <c r="AY832" s="197"/>
      <c r="AZ832" s="197"/>
      <c r="BA832" s="197"/>
      <c r="BB832" s="129"/>
      <c r="BC832" s="129"/>
      <c r="BD832" s="129"/>
      <c r="BE832" s="129"/>
      <c r="BF832" s="129"/>
      <c r="BG832" s="129"/>
      <c r="BH832" s="129"/>
      <c r="BI832" s="129"/>
      <c r="BJ832" s="129"/>
      <c r="BK832" s="129"/>
      <c r="BL832" s="129"/>
      <c r="BM832" s="197"/>
    </row>
    <row r="833" spans="1:65" x14ac:dyDescent="0.25">
      <c r="A833" s="121"/>
      <c r="B833" s="121"/>
      <c r="C833" s="172"/>
      <c r="D833" s="46"/>
      <c r="E833" s="46"/>
      <c r="F833" s="54"/>
      <c r="G833" s="54"/>
      <c r="H833" s="54"/>
      <c r="I833" s="54"/>
      <c r="J833" s="54"/>
      <c r="K833" s="54"/>
      <c r="L833" s="54"/>
      <c r="M833" s="54"/>
      <c r="N833" s="54"/>
      <c r="O833" s="54"/>
      <c r="P833" s="54"/>
      <c r="Q833" s="54"/>
      <c r="R833" s="54"/>
      <c r="S833" s="54"/>
      <c r="T833" s="54"/>
      <c r="U833" s="54"/>
      <c r="V833" s="54"/>
      <c r="W833" s="55"/>
      <c r="X833" s="55"/>
      <c r="Y833" s="55"/>
      <c r="Z833" s="55"/>
      <c r="AA833" s="55"/>
      <c r="AB833" s="55"/>
      <c r="AC833" s="55"/>
      <c r="AD833" s="55"/>
      <c r="AE833" s="55"/>
      <c r="AF833" s="55"/>
      <c r="AG833" s="55"/>
      <c r="AH833" s="55"/>
      <c r="AI833" s="54"/>
      <c r="AJ833" s="54"/>
      <c r="AK833" s="54"/>
      <c r="AL833" s="23"/>
      <c r="AM833" s="127"/>
      <c r="AN833" s="127"/>
      <c r="AO833" s="129"/>
      <c r="AP833" s="129"/>
      <c r="AQ833" s="129"/>
      <c r="AR833" s="129"/>
      <c r="AS833" s="129"/>
      <c r="AT833" s="129"/>
      <c r="AU833" s="129"/>
      <c r="AV833" s="129"/>
      <c r="AW833" s="129"/>
      <c r="AX833" s="197"/>
      <c r="AY833" s="197"/>
      <c r="AZ833" s="197"/>
      <c r="BA833" s="197"/>
      <c r="BB833" s="129"/>
      <c r="BC833" s="129"/>
      <c r="BD833" s="129"/>
      <c r="BE833" s="129"/>
      <c r="BF833" s="129"/>
      <c r="BG833" s="129"/>
      <c r="BH833" s="129"/>
      <c r="BI833" s="129"/>
      <c r="BJ833" s="129"/>
      <c r="BK833" s="129"/>
      <c r="BL833" s="129"/>
      <c r="BM833" s="197"/>
    </row>
    <row r="834" spans="1:65" x14ac:dyDescent="0.25">
      <c r="A834" s="121" t="s">
        <v>82</v>
      </c>
      <c r="B834" s="121" t="s">
        <v>22</v>
      </c>
      <c r="C834" s="172" t="s">
        <v>214</v>
      </c>
      <c r="D834" s="161">
        <v>10</v>
      </c>
      <c r="E834" s="29" t="str">
        <f t="shared" ref="E834:E839" si="282">INDEX(ra_ScName,MATCH(D834,ra_ScNumber,0))</f>
        <v>Disclosed nominal return (incl actual asset revaluations)</v>
      </c>
      <c r="F834" s="122">
        <v>-162.75989999999999</v>
      </c>
      <c r="G834" s="122">
        <v>-28</v>
      </c>
      <c r="H834" s="122">
        <v>6</v>
      </c>
      <c r="I834" s="122">
        <v>-43.5</v>
      </c>
      <c r="J834" s="122">
        <v>6</v>
      </c>
      <c r="K834" s="122">
        <v>3.3</v>
      </c>
      <c r="L834" s="122">
        <v>127.73310600000001</v>
      </c>
      <c r="M834" s="122">
        <v>-0.44655</v>
      </c>
      <c r="N834" s="122">
        <v>-3</v>
      </c>
      <c r="O834" s="122">
        <v>17.1693</v>
      </c>
      <c r="P834" s="122">
        <v>-680</v>
      </c>
      <c r="Q834" s="122">
        <v>-1091.529836624841</v>
      </c>
      <c r="R834" s="122">
        <v>36</v>
      </c>
      <c r="S834" s="122">
        <v>185.71799999999999</v>
      </c>
      <c r="T834" s="122">
        <v>1011</v>
      </c>
      <c r="U834" s="122">
        <v>-67.395560999999987</v>
      </c>
      <c r="V834" s="122">
        <v>-1849.1547</v>
      </c>
      <c r="W834" s="122">
        <v>16.8627</v>
      </c>
      <c r="X834" s="122">
        <v>168.1344332999999</v>
      </c>
      <c r="Y834" s="122">
        <v>44.52</v>
      </c>
      <c r="Z834" s="122">
        <v>28</v>
      </c>
      <c r="AA834" s="122">
        <v>15.440991</v>
      </c>
      <c r="AB834" s="122">
        <v>0</v>
      </c>
      <c r="AC834" s="122">
        <v>-1.852227649256565</v>
      </c>
      <c r="AD834" s="122">
        <v>5.0999999999999996</v>
      </c>
      <c r="AE834" s="122">
        <v>127.8</v>
      </c>
      <c r="AF834" s="122">
        <v>13.76512</v>
      </c>
      <c r="AG834" s="122">
        <v>274.6644756727311</v>
      </c>
      <c r="AH834" s="122">
        <v>63</v>
      </c>
      <c r="AI834" s="117">
        <f t="shared" ref="AI834:AI839" si="283">SUM(F834:AH834)</f>
        <v>-1777.4306493013669</v>
      </c>
      <c r="AJ834" s="117">
        <f t="shared" ref="AJ834:AJ839" si="284">SUM(F834:U834)</f>
        <v>-683.71144162484097</v>
      </c>
      <c r="AK834" s="117">
        <f t="shared" ref="AK834:AK839" si="285">SUM(W834:AH834)</f>
        <v>755.43549232347448</v>
      </c>
      <c r="AL834" s="23"/>
      <c r="AM834" s="127" t="b">
        <f t="shared" ref="AM834:AM839" si="286">IF(INDEX($AO834:$BM834,0,$F$14)=1,TRUE,FALSE)</f>
        <v>1</v>
      </c>
      <c r="AN834" s="127" t="str">
        <f t="shared" ref="AN834:AN839" si="287">IF(AM834,A834&amp;", "&amp;B834,"")</f>
        <v>Tax effect of other temporary differences*, 2009/10</v>
      </c>
      <c r="AO834" s="129"/>
      <c r="AP834" s="129"/>
      <c r="AQ834" s="129"/>
      <c r="AR834" s="129"/>
      <c r="AS834" s="129"/>
      <c r="AT834" s="129"/>
      <c r="AU834" s="129"/>
      <c r="AV834" s="129"/>
      <c r="AW834" s="129">
        <v>1</v>
      </c>
      <c r="AX834" s="197">
        <v>1</v>
      </c>
      <c r="AY834" s="197">
        <v>1</v>
      </c>
      <c r="AZ834" s="197">
        <v>1</v>
      </c>
      <c r="BA834" s="197"/>
      <c r="BB834" s="129"/>
      <c r="BC834" s="129"/>
      <c r="BD834" s="129"/>
      <c r="BE834" s="129"/>
      <c r="BF834" s="129"/>
      <c r="BG834" s="129"/>
      <c r="BH834" s="129"/>
      <c r="BI834" s="129"/>
      <c r="BJ834" s="129"/>
      <c r="BK834" s="129"/>
      <c r="BL834" s="129"/>
      <c r="BM834" s="197">
        <v>1</v>
      </c>
    </row>
    <row r="835" spans="1:65" x14ac:dyDescent="0.25">
      <c r="A835" s="121" t="s">
        <v>82</v>
      </c>
      <c r="B835" s="121" t="s">
        <v>23</v>
      </c>
      <c r="C835" s="172" t="s">
        <v>214</v>
      </c>
      <c r="D835" s="161">
        <v>10</v>
      </c>
      <c r="E835" s="29" t="str">
        <f t="shared" si="282"/>
        <v>Disclosed nominal return (incl actual asset revaluations)</v>
      </c>
      <c r="F835" s="122">
        <v>104.6802</v>
      </c>
      <c r="G835" s="122">
        <v>125</v>
      </c>
      <c r="H835" s="122">
        <v>-43</v>
      </c>
      <c r="I835" s="122">
        <v>-203.4</v>
      </c>
      <c r="J835" s="122">
        <v>-26</v>
      </c>
      <c r="K835" s="122">
        <v>17.9802</v>
      </c>
      <c r="L835" s="122">
        <v>77.503728000000024</v>
      </c>
      <c r="M835" s="122">
        <v>-10.455126</v>
      </c>
      <c r="N835" s="122">
        <v>91</v>
      </c>
      <c r="O835" s="122">
        <v>-0.71325306122448495</v>
      </c>
      <c r="P835" s="122">
        <v>-140</v>
      </c>
      <c r="Q835" s="122">
        <v>-1174.6416728626</v>
      </c>
      <c r="R835" s="122">
        <v>-39</v>
      </c>
      <c r="S835" s="122">
        <v>-403.32299999999998</v>
      </c>
      <c r="T835" s="122">
        <v>-572</v>
      </c>
      <c r="U835" s="122">
        <v>74.084138999999979</v>
      </c>
      <c r="V835" s="122">
        <v>43.188000000000002</v>
      </c>
      <c r="W835" s="122">
        <v>-0.36764000000000002</v>
      </c>
      <c r="X835" s="122">
        <v>28.96668555000015</v>
      </c>
      <c r="Y835" s="122">
        <v>8.1199999999999992</v>
      </c>
      <c r="Z835" s="122">
        <v>-386</v>
      </c>
      <c r="AA835" s="122">
        <v>55.277790000000003</v>
      </c>
      <c r="AB835" s="122">
        <v>0</v>
      </c>
      <c r="AC835" s="122">
        <v>-119.499611879176</v>
      </c>
      <c r="AD835" s="122">
        <v>3</v>
      </c>
      <c r="AE835" s="122">
        <v>98.399999999999991</v>
      </c>
      <c r="AF835" s="122">
        <v>-8.1484100000000002</v>
      </c>
      <c r="AG835" s="122">
        <v>44.118959932910052</v>
      </c>
      <c r="AH835" s="122">
        <v>137</v>
      </c>
      <c r="AI835" s="117">
        <f t="shared" si="283"/>
        <v>-2218.2290113200897</v>
      </c>
      <c r="AJ835" s="117">
        <f t="shared" si="284"/>
        <v>-2122.2847849238242</v>
      </c>
      <c r="AK835" s="117">
        <f t="shared" si="285"/>
        <v>-139.13222639626582</v>
      </c>
      <c r="AL835" s="23"/>
      <c r="AM835" s="127" t="b">
        <f t="shared" si="286"/>
        <v>1</v>
      </c>
      <c r="AN835" s="127" t="str">
        <f t="shared" si="287"/>
        <v>Tax effect of other temporary differences*, 2010/11</v>
      </c>
      <c r="AO835" s="129"/>
      <c r="AP835" s="129"/>
      <c r="AQ835" s="129"/>
      <c r="AR835" s="129"/>
      <c r="AS835" s="129"/>
      <c r="AT835" s="129"/>
      <c r="AU835" s="129"/>
      <c r="AV835" s="129"/>
      <c r="AW835" s="129">
        <v>1</v>
      </c>
      <c r="AX835" s="197">
        <v>1</v>
      </c>
      <c r="AY835" s="197">
        <v>1</v>
      </c>
      <c r="AZ835" s="197">
        <v>1</v>
      </c>
      <c r="BA835" s="197"/>
      <c r="BB835" s="129"/>
      <c r="BC835" s="129"/>
      <c r="BD835" s="129"/>
      <c r="BE835" s="129"/>
      <c r="BF835" s="129"/>
      <c r="BG835" s="129"/>
      <c r="BH835" s="129"/>
      <c r="BI835" s="129"/>
      <c r="BJ835" s="129"/>
      <c r="BK835" s="129"/>
      <c r="BL835" s="129"/>
      <c r="BM835" s="197">
        <v>1</v>
      </c>
    </row>
    <row r="836" spans="1:65" x14ac:dyDescent="0.25">
      <c r="A836" s="121" t="s">
        <v>82</v>
      </c>
      <c r="B836" s="121" t="s">
        <v>24</v>
      </c>
      <c r="C836" s="172" t="s">
        <v>214</v>
      </c>
      <c r="D836" s="161">
        <v>10</v>
      </c>
      <c r="E836" s="29" t="str">
        <f t="shared" si="282"/>
        <v>Disclosed nominal return (incl actual asset revaluations)</v>
      </c>
      <c r="F836" s="122">
        <v>-37.639835504428667</v>
      </c>
      <c r="G836" s="122">
        <v>185</v>
      </c>
      <c r="H836" s="122">
        <v>-20</v>
      </c>
      <c r="I836" s="122">
        <v>-94.920000000000016</v>
      </c>
      <c r="J836" s="122">
        <v>34</v>
      </c>
      <c r="K836" s="122">
        <v>87.053680000000014</v>
      </c>
      <c r="L836" s="122">
        <v>-118.84255400000001</v>
      </c>
      <c r="M836" s="122">
        <v>5.0719199999999298E-2</v>
      </c>
      <c r="N836" s="122">
        <v>81</v>
      </c>
      <c r="O836" s="122">
        <v>-2.7834571428571429</v>
      </c>
      <c r="P836" s="122">
        <v>-2660</v>
      </c>
      <c r="Q836" s="122">
        <v>-1069.452527426608</v>
      </c>
      <c r="R836" s="122">
        <v>31</v>
      </c>
      <c r="S836" s="122">
        <v>232.93199999999999</v>
      </c>
      <c r="T836" s="122">
        <v>115</v>
      </c>
      <c r="U836" s="122">
        <v>-5.5083671999999941</v>
      </c>
      <c r="V836" s="122">
        <v>-1912.1116</v>
      </c>
      <c r="W836" s="122">
        <v>9.0115200000000009</v>
      </c>
      <c r="X836" s="122">
        <v>-27.057624999999899</v>
      </c>
      <c r="Y836" s="122">
        <v>32.67</v>
      </c>
      <c r="Z836" s="122">
        <v>-373.5</v>
      </c>
      <c r="AA836" s="122">
        <v>4.5318643999999884</v>
      </c>
      <c r="AB836" s="122">
        <v>0</v>
      </c>
      <c r="AC836" s="122">
        <v>-89.32364719526457</v>
      </c>
      <c r="AD836" s="122">
        <v>3.92</v>
      </c>
      <c r="AE836" s="122">
        <v>-32.479999999999997</v>
      </c>
      <c r="AF836" s="122">
        <v>1.7203999999999999</v>
      </c>
      <c r="AG836" s="122">
        <v>37.902100008173292</v>
      </c>
      <c r="AH836" s="122">
        <v>99</v>
      </c>
      <c r="AI836" s="117">
        <f t="shared" si="283"/>
        <v>-5488.8273298609838</v>
      </c>
      <c r="AJ836" s="117">
        <f t="shared" si="284"/>
        <v>-3243.1103420738941</v>
      </c>
      <c r="AK836" s="117">
        <f t="shared" si="285"/>
        <v>-333.60538778709122</v>
      </c>
      <c r="AL836" s="23"/>
      <c r="AM836" s="127" t="b">
        <f t="shared" si="286"/>
        <v>1</v>
      </c>
      <c r="AN836" s="127" t="str">
        <f t="shared" si="287"/>
        <v>Tax effect of other temporary differences*, 2011/12</v>
      </c>
      <c r="AO836" s="129"/>
      <c r="AP836" s="129"/>
      <c r="AQ836" s="129"/>
      <c r="AR836" s="129"/>
      <c r="AS836" s="129"/>
      <c r="AT836" s="129"/>
      <c r="AU836" s="129"/>
      <c r="AV836" s="129"/>
      <c r="AW836" s="129">
        <v>1</v>
      </c>
      <c r="AX836" s="197">
        <v>1</v>
      </c>
      <c r="AY836" s="197">
        <v>1</v>
      </c>
      <c r="AZ836" s="197">
        <v>1</v>
      </c>
      <c r="BA836" s="197"/>
      <c r="BB836" s="129"/>
      <c r="BC836" s="129"/>
      <c r="BD836" s="129"/>
      <c r="BE836" s="129"/>
      <c r="BF836" s="129"/>
      <c r="BG836" s="129"/>
      <c r="BH836" s="129"/>
      <c r="BI836" s="129"/>
      <c r="BJ836" s="129"/>
      <c r="BK836" s="129"/>
      <c r="BL836" s="129"/>
      <c r="BM836" s="197">
        <v>1</v>
      </c>
    </row>
    <row r="837" spans="1:65" x14ac:dyDescent="0.25">
      <c r="A837" s="121" t="s">
        <v>82</v>
      </c>
      <c r="B837" s="121" t="s">
        <v>25</v>
      </c>
      <c r="C837" s="172" t="s">
        <v>218</v>
      </c>
      <c r="D837" s="161">
        <v>10</v>
      </c>
      <c r="E837" s="29" t="str">
        <f t="shared" si="282"/>
        <v>Disclosed nominal return (incl actual asset revaluations)</v>
      </c>
      <c r="F837" s="122">
        <v>-140.31466849557134</v>
      </c>
      <c r="G837" s="122">
        <v>313</v>
      </c>
      <c r="H837" s="122">
        <v>-8</v>
      </c>
      <c r="I837" s="122">
        <v>24.351459999999996</v>
      </c>
      <c r="J837" s="122">
        <v>2</v>
      </c>
      <c r="K837" s="122">
        <v>-7.48888</v>
      </c>
      <c r="L837" s="122">
        <v>34.585570544000007</v>
      </c>
      <c r="M837" s="122">
        <v>0.94232040000000017</v>
      </c>
      <c r="N837" s="122">
        <v>39</v>
      </c>
      <c r="O837" s="122">
        <v>84.94632571428572</v>
      </c>
      <c r="P837" s="122">
        <v>74</v>
      </c>
      <c r="Q837" s="122">
        <v>-1338.6495474147982</v>
      </c>
      <c r="R837" s="122">
        <v>7.292320000000001</v>
      </c>
      <c r="S837" s="122">
        <v>687.12696000000005</v>
      </c>
      <c r="T837" s="122">
        <v>-1166</v>
      </c>
      <c r="U837" s="122">
        <v>60.027363200000025</v>
      </c>
      <c r="V837" s="122">
        <v>-831.18140000000005</v>
      </c>
      <c r="W837" s="122">
        <v>4.9291200000000011</v>
      </c>
      <c r="X837" s="122">
        <v>26.501545769709629</v>
      </c>
      <c r="Y837" s="122">
        <v>74.239999999999995</v>
      </c>
      <c r="Z837" s="122">
        <v>-356</v>
      </c>
      <c r="AA837" s="122">
        <v>6.6170719794180677</v>
      </c>
      <c r="AB837" s="122">
        <v>-423</v>
      </c>
      <c r="AC837" s="122">
        <v>-70.564377008682214</v>
      </c>
      <c r="AD837" s="122">
        <v>-19.880000000000003</v>
      </c>
      <c r="AE837" s="122">
        <v>-171.53612000000001</v>
      </c>
      <c r="AF837" s="122">
        <v>7.94374</v>
      </c>
      <c r="AG837" s="122">
        <v>223.97255617971032</v>
      </c>
      <c r="AH837" s="122">
        <v>60.48</v>
      </c>
      <c r="AI837" s="117">
        <f t="shared" si="283"/>
        <v>-2800.6586391319283</v>
      </c>
      <c r="AJ837" s="117">
        <f t="shared" si="284"/>
        <v>-1333.1807760520837</v>
      </c>
      <c r="AK837" s="117">
        <f t="shared" si="285"/>
        <v>-636.2964630798441</v>
      </c>
      <c r="AL837" s="23"/>
      <c r="AM837" s="127" t="b">
        <f t="shared" si="286"/>
        <v>1</v>
      </c>
      <c r="AN837" s="127" t="str">
        <f t="shared" si="287"/>
        <v>Tax effect of other temporary differences*, 2012/13</v>
      </c>
      <c r="AO837" s="129"/>
      <c r="AP837" s="129"/>
      <c r="AQ837" s="129"/>
      <c r="AR837" s="129"/>
      <c r="AS837" s="129"/>
      <c r="AT837" s="129"/>
      <c r="AU837" s="129"/>
      <c r="AV837" s="129"/>
      <c r="AW837" s="129">
        <v>1</v>
      </c>
      <c r="AX837" s="197">
        <v>1</v>
      </c>
      <c r="AY837" s="197">
        <v>1</v>
      </c>
      <c r="AZ837" s="197">
        <v>1</v>
      </c>
      <c r="BA837" s="197"/>
      <c r="BB837" s="129"/>
      <c r="BC837" s="129"/>
      <c r="BD837" s="129"/>
      <c r="BE837" s="129"/>
      <c r="BF837" s="129"/>
      <c r="BG837" s="129"/>
      <c r="BH837" s="129"/>
      <c r="BI837" s="129"/>
      <c r="BJ837" s="129"/>
      <c r="BK837" s="129"/>
      <c r="BL837" s="129"/>
      <c r="BM837" s="197">
        <v>1</v>
      </c>
    </row>
    <row r="838" spans="1:65" x14ac:dyDescent="0.25">
      <c r="A838" s="121" t="s">
        <v>82</v>
      </c>
      <c r="B838" s="121" t="s">
        <v>26</v>
      </c>
      <c r="C838" s="172" t="s">
        <v>218</v>
      </c>
      <c r="D838" s="161">
        <v>10</v>
      </c>
      <c r="E838" s="29" t="str">
        <f t="shared" si="282"/>
        <v>Disclosed nominal return (incl actual asset revaluations)</v>
      </c>
      <c r="F838" s="122">
        <v>50.411480000000012</v>
      </c>
      <c r="G838" s="122">
        <v>419</v>
      </c>
      <c r="H838" s="122">
        <v>-14</v>
      </c>
      <c r="I838" s="122">
        <v>15.80425</v>
      </c>
      <c r="J838" s="122">
        <v>10</v>
      </c>
      <c r="K838" s="122">
        <v>9.0622000000000007</v>
      </c>
      <c r="L838" s="122">
        <v>90</v>
      </c>
      <c r="M838" s="122">
        <v>1.4000000000000001</v>
      </c>
      <c r="N838" s="122">
        <v>106</v>
      </c>
      <c r="O838" s="122">
        <v>164.82105714285717</v>
      </c>
      <c r="P838" s="122">
        <v>373.33855671437391</v>
      </c>
      <c r="Q838" s="122">
        <v>-1241</v>
      </c>
      <c r="R838" s="122">
        <v>-16</v>
      </c>
      <c r="S838" s="122">
        <v>128.64618200000001</v>
      </c>
      <c r="T838" s="122">
        <v>419</v>
      </c>
      <c r="U838" s="122">
        <v>47.420875600000002</v>
      </c>
      <c r="V838" s="122">
        <v>-313.26399999999984</v>
      </c>
      <c r="W838" s="122">
        <v>-10</v>
      </c>
      <c r="X838" s="122">
        <v>-3.9010132697095838</v>
      </c>
      <c r="Y838" s="122">
        <v>-60.88</v>
      </c>
      <c r="Z838" s="122">
        <v>-54.50823280000008</v>
      </c>
      <c r="AA838" s="122">
        <v>188</v>
      </c>
      <c r="AB838" s="122">
        <v>-319</v>
      </c>
      <c r="AC838" s="122">
        <v>-94.787911712255962</v>
      </c>
      <c r="AD838" s="122">
        <v>-6</v>
      </c>
      <c r="AE838" s="122">
        <v>201.68176000000003</v>
      </c>
      <c r="AF838" s="122">
        <v>-3.33317</v>
      </c>
      <c r="AG838" s="122">
        <v>-79.673954202384607</v>
      </c>
      <c r="AH838" s="122">
        <v>57.960000000000008</v>
      </c>
      <c r="AI838" s="117">
        <f t="shared" si="283"/>
        <v>66.198079472881076</v>
      </c>
      <c r="AJ838" s="117">
        <f t="shared" si="284"/>
        <v>563.90460145723114</v>
      </c>
      <c r="AK838" s="117">
        <f t="shared" si="285"/>
        <v>-184.44252198435015</v>
      </c>
      <c r="AL838" s="23"/>
      <c r="AM838" s="127" t="b">
        <f t="shared" si="286"/>
        <v>1</v>
      </c>
      <c r="AN838" s="127" t="str">
        <f t="shared" si="287"/>
        <v>Tax effect of other temporary differences*, 2013/14</v>
      </c>
      <c r="AO838" s="129"/>
      <c r="AP838" s="129"/>
      <c r="AQ838" s="129"/>
      <c r="AR838" s="129"/>
      <c r="AS838" s="129"/>
      <c r="AT838" s="129"/>
      <c r="AU838" s="129"/>
      <c r="AV838" s="129"/>
      <c r="AW838" s="129">
        <v>1</v>
      </c>
      <c r="AX838" s="197">
        <v>1</v>
      </c>
      <c r="AY838" s="197">
        <v>1</v>
      </c>
      <c r="AZ838" s="197">
        <v>1</v>
      </c>
      <c r="BA838" s="197"/>
      <c r="BB838" s="129"/>
      <c r="BC838" s="129"/>
      <c r="BD838" s="129"/>
      <c r="BE838" s="129"/>
      <c r="BF838" s="129"/>
      <c r="BG838" s="129"/>
      <c r="BH838" s="129"/>
      <c r="BI838" s="129"/>
      <c r="BJ838" s="129"/>
      <c r="BK838" s="129"/>
      <c r="BL838" s="129"/>
      <c r="BM838" s="197">
        <v>1</v>
      </c>
    </row>
    <row r="839" spans="1:65" x14ac:dyDescent="0.25">
      <c r="A839" s="121" t="s">
        <v>82</v>
      </c>
      <c r="B839" s="121" t="s">
        <v>27</v>
      </c>
      <c r="C839" s="172" t="s">
        <v>218</v>
      </c>
      <c r="D839" s="161">
        <v>10</v>
      </c>
      <c r="E839" s="29" t="str">
        <f t="shared" si="282"/>
        <v>Disclosed nominal return (incl actual asset revaluations)</v>
      </c>
      <c r="F839" s="122">
        <v>-23</v>
      </c>
      <c r="G839" s="122">
        <v>553</v>
      </c>
      <c r="H839" s="122">
        <v>-9</v>
      </c>
      <c r="I839" s="122">
        <v>-1.4161252000000015</v>
      </c>
      <c r="J839" s="122">
        <v>-8.6310234202519496</v>
      </c>
      <c r="K839" s="122">
        <v>9.3802800000000008</v>
      </c>
      <c r="L839" s="122">
        <v>167.44</v>
      </c>
      <c r="M839" s="122">
        <v>0</v>
      </c>
      <c r="N839" s="122">
        <v>68.45110160000003</v>
      </c>
      <c r="O839" s="122">
        <v>179.37024</v>
      </c>
      <c r="P839" s="122">
        <v>222.26662050804333</v>
      </c>
      <c r="Q839" s="122">
        <v>-2221</v>
      </c>
      <c r="R839" s="122">
        <v>26</v>
      </c>
      <c r="S839" s="122">
        <v>83.160000000000011</v>
      </c>
      <c r="T839" s="122">
        <v>-548</v>
      </c>
      <c r="U839" s="122">
        <v>27.62310040000002</v>
      </c>
      <c r="V839" s="122">
        <v>-3345.1616800000006</v>
      </c>
      <c r="W839" s="122">
        <v>-11.099573240000002</v>
      </c>
      <c r="X839" s="122">
        <v>11</v>
      </c>
      <c r="Y839" s="122">
        <v>25.36</v>
      </c>
      <c r="Z839" s="122">
        <v>-483.29</v>
      </c>
      <c r="AA839" s="122">
        <v>-195</v>
      </c>
      <c r="AB839" s="122">
        <v>202</v>
      </c>
      <c r="AC839" s="122">
        <v>-71.55425838399978</v>
      </c>
      <c r="AD839" s="122">
        <v>6</v>
      </c>
      <c r="AE839" s="122">
        <v>243.50732000000002</v>
      </c>
      <c r="AF839" s="122">
        <v>2.60467</v>
      </c>
      <c r="AG839" s="122">
        <v>0</v>
      </c>
      <c r="AH839" s="122">
        <v>27.720000000000002</v>
      </c>
      <c r="AI839" s="117">
        <f t="shared" si="283"/>
        <v>-5062.2693277362087</v>
      </c>
      <c r="AJ839" s="117">
        <f t="shared" si="284"/>
        <v>-1474.3558061122085</v>
      </c>
      <c r="AK839" s="117">
        <f t="shared" si="285"/>
        <v>-242.75184162399975</v>
      </c>
      <c r="AL839" s="23"/>
      <c r="AM839" s="127" t="b">
        <f t="shared" si="286"/>
        <v>1</v>
      </c>
      <c r="AN839" s="127" t="str">
        <f t="shared" si="287"/>
        <v>Tax effect of other temporary differences*, 2014/15</v>
      </c>
      <c r="AO839" s="129"/>
      <c r="AP839" s="129"/>
      <c r="AQ839" s="129"/>
      <c r="AR839" s="129"/>
      <c r="AS839" s="129"/>
      <c r="AT839" s="129"/>
      <c r="AU839" s="129"/>
      <c r="AV839" s="129"/>
      <c r="AW839" s="129">
        <v>1</v>
      </c>
      <c r="AX839" s="197">
        <v>1</v>
      </c>
      <c r="AY839" s="197">
        <v>1</v>
      </c>
      <c r="AZ839" s="197">
        <v>1</v>
      </c>
      <c r="BA839" s="197"/>
      <c r="BB839" s="129"/>
      <c r="BC839" s="129"/>
      <c r="BD839" s="129"/>
      <c r="BE839" s="129"/>
      <c r="BF839" s="129"/>
      <c r="BG839" s="129"/>
      <c r="BH839" s="129"/>
      <c r="BI839" s="129"/>
      <c r="BJ839" s="129"/>
      <c r="BK839" s="129"/>
      <c r="BL839" s="129"/>
      <c r="BM839" s="197">
        <v>1</v>
      </c>
    </row>
    <row r="840" spans="1:65" x14ac:dyDescent="0.25">
      <c r="A840" s="49"/>
      <c r="B840" s="121"/>
      <c r="C840" s="172"/>
      <c r="D840" s="25"/>
      <c r="E840" s="25"/>
      <c r="F840" s="25"/>
      <c r="G840" s="25"/>
      <c r="H840" s="25"/>
      <c r="I840" s="25"/>
      <c r="J840" s="25"/>
      <c r="K840" s="25"/>
      <c r="L840" s="25"/>
      <c r="M840" s="26"/>
      <c r="N840" s="26"/>
      <c r="O840" s="26"/>
      <c r="P840" s="26"/>
      <c r="Q840" s="26"/>
      <c r="R840" s="26"/>
      <c r="S840" s="26"/>
      <c r="T840" s="26"/>
      <c r="U840" s="26"/>
      <c r="V840" s="25"/>
      <c r="W840" s="23"/>
      <c r="X840" s="23"/>
      <c r="Y840" s="23"/>
      <c r="Z840" s="23"/>
      <c r="AA840" s="23"/>
      <c r="AB840" s="23"/>
      <c r="AC840" s="23"/>
      <c r="AD840" s="23"/>
      <c r="AE840" s="23"/>
      <c r="AF840" s="23"/>
      <c r="AG840" s="23"/>
      <c r="AH840" s="23"/>
      <c r="AI840" s="54"/>
      <c r="AJ840" s="54"/>
      <c r="AK840" s="54"/>
      <c r="AL840" s="23"/>
      <c r="AM840" s="127"/>
      <c r="AN840" s="127"/>
      <c r="AO840" s="129"/>
      <c r="AP840" s="129"/>
      <c r="AQ840" s="129"/>
      <c r="AR840" s="129"/>
      <c r="AS840" s="129"/>
      <c r="AT840" s="129"/>
      <c r="AU840" s="129"/>
      <c r="AV840" s="129"/>
      <c r="AW840" s="129"/>
      <c r="AX840" s="197"/>
      <c r="AY840" s="197"/>
      <c r="AZ840" s="197"/>
      <c r="BA840" s="197"/>
      <c r="BB840" s="129"/>
      <c r="BC840" s="129"/>
      <c r="BD840" s="129"/>
      <c r="BE840" s="129"/>
      <c r="BF840" s="129"/>
      <c r="BG840" s="129"/>
      <c r="BH840" s="129"/>
      <c r="BI840" s="129"/>
      <c r="BJ840" s="129"/>
      <c r="BK840" s="129"/>
      <c r="BL840" s="129"/>
      <c r="BM840" s="197"/>
    </row>
    <row r="841" spans="1:65" x14ac:dyDescent="0.25">
      <c r="A841" s="121"/>
      <c r="B841" s="121"/>
      <c r="C841" s="172"/>
      <c r="D841" s="46"/>
      <c r="E841" s="46"/>
      <c r="F841" s="54"/>
      <c r="G841" s="54"/>
      <c r="H841" s="54"/>
      <c r="I841" s="54"/>
      <c r="J841" s="54"/>
      <c r="K841" s="54"/>
      <c r="L841" s="54"/>
      <c r="M841" s="54"/>
      <c r="N841" s="54"/>
      <c r="O841" s="54"/>
      <c r="P841" s="54"/>
      <c r="Q841" s="54"/>
      <c r="R841" s="54"/>
      <c r="S841" s="54"/>
      <c r="T841" s="54"/>
      <c r="U841" s="54"/>
      <c r="V841" s="54"/>
      <c r="W841" s="55"/>
      <c r="X841" s="55"/>
      <c r="Y841" s="55"/>
      <c r="Z841" s="55"/>
      <c r="AA841" s="55"/>
      <c r="AB841" s="55"/>
      <c r="AC841" s="55"/>
      <c r="AD841" s="55"/>
      <c r="AE841" s="55"/>
      <c r="AF841" s="55"/>
      <c r="AG841" s="55"/>
      <c r="AH841" s="55"/>
      <c r="AI841" s="54"/>
      <c r="AJ841" s="54"/>
      <c r="AK841" s="54"/>
      <c r="AL841" s="23"/>
      <c r="AM841" s="127"/>
      <c r="AN841" s="127"/>
      <c r="AO841" s="129"/>
      <c r="AP841" s="129"/>
      <c r="AQ841" s="129"/>
      <c r="AR841" s="129"/>
      <c r="AS841" s="129"/>
      <c r="AT841" s="129"/>
      <c r="AU841" s="129"/>
      <c r="AV841" s="129"/>
      <c r="AW841" s="129"/>
      <c r="AX841" s="197"/>
      <c r="AY841" s="197"/>
      <c r="AZ841" s="197"/>
      <c r="BA841" s="197"/>
      <c r="BB841" s="129"/>
      <c r="BC841" s="129"/>
      <c r="BD841" s="129"/>
      <c r="BE841" s="129"/>
      <c r="BF841" s="129"/>
      <c r="BG841" s="129"/>
      <c r="BH841" s="129"/>
      <c r="BI841" s="129"/>
      <c r="BJ841" s="129"/>
      <c r="BK841" s="129"/>
      <c r="BL841" s="129"/>
      <c r="BM841" s="197"/>
    </row>
    <row r="842" spans="1:65" x14ac:dyDescent="0.25">
      <c r="A842" s="121" t="s">
        <v>84</v>
      </c>
      <c r="B842" s="121" t="s">
        <v>22</v>
      </c>
      <c r="C842" s="172" t="s">
        <v>222</v>
      </c>
      <c r="D842" s="161">
        <v>1</v>
      </c>
      <c r="E842" s="29" t="str">
        <f t="shared" ref="E842:E847" si="288">INDEX(ra_ScName,MATCH(D842,ra_ScNumber,0))</f>
        <v>Expected nominal return (incl forecast asset revaluations)</v>
      </c>
      <c r="F842" s="54"/>
      <c r="G842" s="54"/>
      <c r="H842" s="54"/>
      <c r="I842" s="54"/>
      <c r="J842" s="54"/>
      <c r="K842" s="54"/>
      <c r="L842" s="54"/>
      <c r="M842" s="54"/>
      <c r="N842" s="54"/>
      <c r="O842" s="54"/>
      <c r="P842" s="54"/>
      <c r="Q842" s="54"/>
      <c r="R842" s="54"/>
      <c r="S842" s="54"/>
      <c r="T842" s="54"/>
      <c r="U842" s="54"/>
      <c r="V842" s="54"/>
      <c r="W842" s="54"/>
      <c r="X842" s="54"/>
      <c r="Y842" s="54"/>
      <c r="Z842" s="54"/>
      <c r="AA842" s="54"/>
      <c r="AB842" s="54"/>
      <c r="AC842" s="54"/>
      <c r="AD842" s="54"/>
      <c r="AE842" s="54"/>
      <c r="AF842" s="54"/>
      <c r="AG842" s="54"/>
      <c r="AH842" s="54"/>
      <c r="AI842" s="117">
        <f t="shared" ref="AI842:AI847" si="289">SUM(F842:AH842)</f>
        <v>0</v>
      </c>
      <c r="AJ842" s="117">
        <f t="shared" ref="AJ842:AJ847" si="290">SUM(F842:U842)</f>
        <v>0</v>
      </c>
      <c r="AK842" s="117">
        <f t="shared" ref="AK842:AK847" si="291">SUM(W842:AH842)</f>
        <v>0</v>
      </c>
      <c r="AL842" s="23"/>
      <c r="AM842" s="127" t="b">
        <f t="shared" ref="AM842:AM847" si="292">IF(INDEX($AO842:$BM842,0,$F$14)=1,TRUE,FALSE)</f>
        <v>0</v>
      </c>
      <c r="AN842" s="127" t="str">
        <f t="shared" ref="AN842:AN847" si="293">IF(AM842,A842&amp;", "&amp;B842,"")</f>
        <v/>
      </c>
      <c r="AO842" s="129">
        <v>1</v>
      </c>
      <c r="AP842" s="129">
        <v>1</v>
      </c>
      <c r="AQ842" s="129">
        <v>1</v>
      </c>
      <c r="AR842" s="129">
        <v>1</v>
      </c>
      <c r="AS842" s="129">
        <v>1</v>
      </c>
      <c r="AT842" s="129">
        <v>1</v>
      </c>
      <c r="AU842" s="129">
        <v>1</v>
      </c>
      <c r="AV842" s="129">
        <v>1</v>
      </c>
      <c r="AW842" s="129"/>
      <c r="AX842" s="197"/>
      <c r="AY842" s="197"/>
      <c r="AZ842" s="197"/>
      <c r="BA842" s="197">
        <v>1</v>
      </c>
      <c r="BB842" s="129">
        <v>1</v>
      </c>
      <c r="BC842" s="129">
        <v>1</v>
      </c>
      <c r="BD842" s="129">
        <v>1</v>
      </c>
      <c r="BE842" s="129">
        <v>1</v>
      </c>
      <c r="BF842" s="129">
        <v>1</v>
      </c>
      <c r="BG842" s="129">
        <v>1</v>
      </c>
      <c r="BH842" s="129">
        <v>1</v>
      </c>
      <c r="BI842" s="129">
        <v>1</v>
      </c>
      <c r="BJ842" s="129">
        <v>1</v>
      </c>
      <c r="BK842" s="129">
        <v>1</v>
      </c>
      <c r="BL842" s="129">
        <v>1</v>
      </c>
      <c r="BM842" s="197"/>
    </row>
    <row r="843" spans="1:65" x14ac:dyDescent="0.25">
      <c r="A843" s="121" t="s">
        <v>84</v>
      </c>
      <c r="B843" s="121" t="s">
        <v>23</v>
      </c>
      <c r="C843" s="172" t="s">
        <v>222</v>
      </c>
      <c r="D843" s="161">
        <v>1</v>
      </c>
      <c r="E843" s="29" t="str">
        <f t="shared" si="288"/>
        <v>Expected nominal return (incl forecast asset revaluations)</v>
      </c>
      <c r="F843" s="54"/>
      <c r="G843" s="54"/>
      <c r="H843" s="54"/>
      <c r="I843" s="54"/>
      <c r="J843" s="54"/>
      <c r="K843" s="54"/>
      <c r="L843" s="54"/>
      <c r="M843" s="54"/>
      <c r="N843" s="54"/>
      <c r="O843" s="54"/>
      <c r="P843" s="54"/>
      <c r="Q843" s="54"/>
      <c r="R843" s="54"/>
      <c r="S843" s="54"/>
      <c r="T843" s="54"/>
      <c r="U843" s="54"/>
      <c r="V843" s="54"/>
      <c r="W843" s="54"/>
      <c r="X843" s="54"/>
      <c r="Y843" s="54"/>
      <c r="Z843" s="54"/>
      <c r="AA843" s="54"/>
      <c r="AB843" s="54"/>
      <c r="AC843" s="54"/>
      <c r="AD843" s="54"/>
      <c r="AE843" s="54"/>
      <c r="AF843" s="54"/>
      <c r="AG843" s="54"/>
      <c r="AH843" s="54"/>
      <c r="AI843" s="117">
        <f t="shared" si="289"/>
        <v>0</v>
      </c>
      <c r="AJ843" s="117">
        <f t="shared" si="290"/>
        <v>0</v>
      </c>
      <c r="AK843" s="117">
        <f t="shared" si="291"/>
        <v>0</v>
      </c>
      <c r="AL843" s="23"/>
      <c r="AM843" s="127" t="b">
        <f t="shared" si="292"/>
        <v>0</v>
      </c>
      <c r="AN843" s="127" t="str">
        <f t="shared" si="293"/>
        <v/>
      </c>
      <c r="AO843" s="129">
        <v>1</v>
      </c>
      <c r="AP843" s="129">
        <v>1</v>
      </c>
      <c r="AQ843" s="129">
        <v>1</v>
      </c>
      <c r="AR843" s="129">
        <v>1</v>
      </c>
      <c r="AS843" s="129">
        <v>1</v>
      </c>
      <c r="AT843" s="129">
        <v>1</v>
      </c>
      <c r="AU843" s="129">
        <v>1</v>
      </c>
      <c r="AV843" s="129">
        <v>1</v>
      </c>
      <c r="AW843" s="129"/>
      <c r="AX843" s="197"/>
      <c r="AY843" s="197"/>
      <c r="AZ843" s="197"/>
      <c r="BA843" s="197">
        <v>1</v>
      </c>
      <c r="BB843" s="129">
        <v>1</v>
      </c>
      <c r="BC843" s="129">
        <v>1</v>
      </c>
      <c r="BD843" s="129">
        <v>1</v>
      </c>
      <c r="BE843" s="129">
        <v>1</v>
      </c>
      <c r="BF843" s="129">
        <v>1</v>
      </c>
      <c r="BG843" s="129">
        <v>1</v>
      </c>
      <c r="BH843" s="129">
        <v>1</v>
      </c>
      <c r="BI843" s="129">
        <v>1</v>
      </c>
      <c r="BJ843" s="129">
        <v>1</v>
      </c>
      <c r="BK843" s="129">
        <v>1</v>
      </c>
      <c r="BL843" s="129">
        <v>1</v>
      </c>
      <c r="BM843" s="197"/>
    </row>
    <row r="844" spans="1:65" x14ac:dyDescent="0.25">
      <c r="A844" s="121" t="s">
        <v>84</v>
      </c>
      <c r="B844" s="121" t="s">
        <v>24</v>
      </c>
      <c r="C844" s="172" t="s">
        <v>222</v>
      </c>
      <c r="D844" s="161">
        <v>1</v>
      </c>
      <c r="E844" s="29" t="str">
        <f t="shared" si="288"/>
        <v>Expected nominal return (incl forecast asset revaluations)</v>
      </c>
      <c r="F844" s="54"/>
      <c r="G844" s="54"/>
      <c r="H844" s="54"/>
      <c r="I844" s="54"/>
      <c r="J844" s="54"/>
      <c r="K844" s="54"/>
      <c r="L844" s="54"/>
      <c r="M844" s="54"/>
      <c r="N844" s="54"/>
      <c r="O844" s="54"/>
      <c r="P844" s="54"/>
      <c r="Q844" s="54"/>
      <c r="R844" s="54"/>
      <c r="S844" s="54"/>
      <c r="T844" s="54"/>
      <c r="U844" s="54"/>
      <c r="V844" s="54"/>
      <c r="W844" s="54"/>
      <c r="X844" s="54"/>
      <c r="Y844" s="54"/>
      <c r="Z844" s="54"/>
      <c r="AA844" s="54"/>
      <c r="AB844" s="54"/>
      <c r="AC844" s="54"/>
      <c r="AD844" s="54"/>
      <c r="AE844" s="54"/>
      <c r="AF844" s="54"/>
      <c r="AG844" s="54"/>
      <c r="AH844" s="54"/>
      <c r="AI844" s="117">
        <f t="shared" si="289"/>
        <v>0</v>
      </c>
      <c r="AJ844" s="117">
        <f t="shared" si="290"/>
        <v>0</v>
      </c>
      <c r="AK844" s="117">
        <f t="shared" si="291"/>
        <v>0</v>
      </c>
      <c r="AL844" s="23"/>
      <c r="AM844" s="127" t="b">
        <f t="shared" si="292"/>
        <v>0</v>
      </c>
      <c r="AN844" s="127" t="str">
        <f t="shared" si="293"/>
        <v/>
      </c>
      <c r="AO844" s="129">
        <v>1</v>
      </c>
      <c r="AP844" s="129">
        <v>1</v>
      </c>
      <c r="AQ844" s="129">
        <v>1</v>
      </c>
      <c r="AR844" s="129">
        <v>1</v>
      </c>
      <c r="AS844" s="129">
        <v>1</v>
      </c>
      <c r="AT844" s="129">
        <v>1</v>
      </c>
      <c r="AU844" s="129">
        <v>1</v>
      </c>
      <c r="AV844" s="129">
        <v>1</v>
      </c>
      <c r="AW844" s="129"/>
      <c r="AX844" s="197"/>
      <c r="AY844" s="197"/>
      <c r="AZ844" s="197"/>
      <c r="BA844" s="197">
        <v>1</v>
      </c>
      <c r="BB844" s="129">
        <v>1</v>
      </c>
      <c r="BC844" s="129">
        <v>1</v>
      </c>
      <c r="BD844" s="129">
        <v>1</v>
      </c>
      <c r="BE844" s="129">
        <v>1</v>
      </c>
      <c r="BF844" s="129">
        <v>1</v>
      </c>
      <c r="BG844" s="129">
        <v>1</v>
      </c>
      <c r="BH844" s="129">
        <v>1</v>
      </c>
      <c r="BI844" s="129">
        <v>1</v>
      </c>
      <c r="BJ844" s="129">
        <v>1</v>
      </c>
      <c r="BK844" s="129">
        <v>1</v>
      </c>
      <c r="BL844" s="129">
        <v>1</v>
      </c>
      <c r="BM844" s="197"/>
    </row>
    <row r="845" spans="1:65" x14ac:dyDescent="0.25">
      <c r="A845" s="121" t="s">
        <v>84</v>
      </c>
      <c r="B845" s="121" t="s">
        <v>25</v>
      </c>
      <c r="C845" s="172" t="s">
        <v>222</v>
      </c>
      <c r="D845" s="161">
        <v>1</v>
      </c>
      <c r="E845" s="29" t="str">
        <f t="shared" si="288"/>
        <v>Expected nominal return (incl forecast asset revaluations)</v>
      </c>
      <c r="F845" s="54"/>
      <c r="G845" s="54"/>
      <c r="H845" s="54"/>
      <c r="I845" s="54"/>
      <c r="J845" s="54"/>
      <c r="K845" s="54"/>
      <c r="L845" s="54"/>
      <c r="M845" s="54"/>
      <c r="N845" s="54"/>
      <c r="O845" s="54"/>
      <c r="P845" s="54"/>
      <c r="Q845" s="54"/>
      <c r="R845" s="54"/>
      <c r="S845" s="54"/>
      <c r="T845" s="54"/>
      <c r="U845" s="54"/>
      <c r="V845" s="54"/>
      <c r="W845" s="54"/>
      <c r="X845" s="54"/>
      <c r="Y845" s="54"/>
      <c r="Z845" s="54"/>
      <c r="AA845" s="54"/>
      <c r="AB845" s="54"/>
      <c r="AC845" s="54"/>
      <c r="AD845" s="54"/>
      <c r="AE845" s="54"/>
      <c r="AF845" s="54"/>
      <c r="AG845" s="54"/>
      <c r="AH845" s="54"/>
      <c r="AI845" s="117">
        <f t="shared" si="289"/>
        <v>0</v>
      </c>
      <c r="AJ845" s="117">
        <f t="shared" si="290"/>
        <v>0</v>
      </c>
      <c r="AK845" s="117">
        <f t="shared" si="291"/>
        <v>0</v>
      </c>
      <c r="AL845" s="23"/>
      <c r="AM845" s="127" t="b">
        <f t="shared" si="292"/>
        <v>0</v>
      </c>
      <c r="AN845" s="127" t="str">
        <f t="shared" si="293"/>
        <v/>
      </c>
      <c r="AO845" s="129">
        <v>1</v>
      </c>
      <c r="AP845" s="129">
        <v>1</v>
      </c>
      <c r="AQ845" s="129">
        <v>1</v>
      </c>
      <c r="AR845" s="129">
        <v>1</v>
      </c>
      <c r="AS845" s="129">
        <v>1</v>
      </c>
      <c r="AT845" s="129">
        <v>1</v>
      </c>
      <c r="AU845" s="129">
        <v>1</v>
      </c>
      <c r="AV845" s="129">
        <v>1</v>
      </c>
      <c r="AW845" s="129"/>
      <c r="AX845" s="197"/>
      <c r="AY845" s="197"/>
      <c r="AZ845" s="197"/>
      <c r="BA845" s="197">
        <v>1</v>
      </c>
      <c r="BB845" s="129">
        <v>1</v>
      </c>
      <c r="BC845" s="129">
        <v>1</v>
      </c>
      <c r="BD845" s="129">
        <v>1</v>
      </c>
      <c r="BE845" s="129">
        <v>1</v>
      </c>
      <c r="BF845" s="129">
        <v>1</v>
      </c>
      <c r="BG845" s="129">
        <v>1</v>
      </c>
      <c r="BH845" s="129">
        <v>1</v>
      </c>
      <c r="BI845" s="129">
        <v>1</v>
      </c>
      <c r="BJ845" s="129">
        <v>1</v>
      </c>
      <c r="BK845" s="129">
        <v>1</v>
      </c>
      <c r="BL845" s="129">
        <v>1</v>
      </c>
      <c r="BM845" s="197"/>
    </row>
    <row r="846" spans="1:65" x14ac:dyDescent="0.25">
      <c r="A846" s="121" t="s">
        <v>84</v>
      </c>
      <c r="B846" s="121" t="s">
        <v>26</v>
      </c>
      <c r="C846" s="172" t="s">
        <v>222</v>
      </c>
      <c r="D846" s="161">
        <v>1</v>
      </c>
      <c r="E846" s="29" t="str">
        <f t="shared" si="288"/>
        <v>Expected nominal return (incl forecast asset revaluations)</v>
      </c>
      <c r="F846" s="54"/>
      <c r="G846" s="54"/>
      <c r="H846" s="54"/>
      <c r="I846" s="54"/>
      <c r="J846" s="54"/>
      <c r="K846" s="54"/>
      <c r="L846" s="54"/>
      <c r="M846" s="54"/>
      <c r="N846" s="54"/>
      <c r="O846" s="54"/>
      <c r="P846" s="54"/>
      <c r="Q846" s="54"/>
      <c r="R846" s="54"/>
      <c r="S846" s="54"/>
      <c r="T846" s="54"/>
      <c r="U846" s="54"/>
      <c r="V846" s="54"/>
      <c r="W846" s="54"/>
      <c r="X846" s="54"/>
      <c r="Y846" s="54"/>
      <c r="Z846" s="54"/>
      <c r="AA846" s="54"/>
      <c r="AB846" s="54"/>
      <c r="AC846" s="54"/>
      <c r="AD846" s="54"/>
      <c r="AE846" s="54"/>
      <c r="AF846" s="54"/>
      <c r="AG846" s="54"/>
      <c r="AH846" s="54"/>
      <c r="AI846" s="117">
        <f t="shared" si="289"/>
        <v>0</v>
      </c>
      <c r="AJ846" s="117">
        <f t="shared" si="290"/>
        <v>0</v>
      </c>
      <c r="AK846" s="117">
        <f t="shared" si="291"/>
        <v>0</v>
      </c>
      <c r="AL846" s="23"/>
      <c r="AM846" s="127" t="b">
        <f t="shared" si="292"/>
        <v>0</v>
      </c>
      <c r="AN846" s="127" t="str">
        <f t="shared" si="293"/>
        <v/>
      </c>
      <c r="AO846" s="129">
        <v>1</v>
      </c>
      <c r="AP846" s="129">
        <v>1</v>
      </c>
      <c r="AQ846" s="129">
        <v>1</v>
      </c>
      <c r="AR846" s="129">
        <v>1</v>
      </c>
      <c r="AS846" s="129">
        <v>1</v>
      </c>
      <c r="AT846" s="129">
        <v>1</v>
      </c>
      <c r="AU846" s="129">
        <v>1</v>
      </c>
      <c r="AV846" s="129">
        <v>1</v>
      </c>
      <c r="AW846" s="129"/>
      <c r="AX846" s="197"/>
      <c r="AY846" s="197"/>
      <c r="AZ846" s="197"/>
      <c r="BA846" s="197">
        <v>1</v>
      </c>
      <c r="BB846" s="129">
        <v>1</v>
      </c>
      <c r="BC846" s="129">
        <v>1</v>
      </c>
      <c r="BD846" s="129">
        <v>1</v>
      </c>
      <c r="BE846" s="129">
        <v>1</v>
      </c>
      <c r="BF846" s="129">
        <v>1</v>
      </c>
      <c r="BG846" s="129">
        <v>1</v>
      </c>
      <c r="BH846" s="129">
        <v>1</v>
      </c>
      <c r="BI846" s="129">
        <v>1</v>
      </c>
      <c r="BJ846" s="129">
        <v>1</v>
      </c>
      <c r="BK846" s="129">
        <v>1</v>
      </c>
      <c r="BL846" s="129">
        <v>1</v>
      </c>
      <c r="BM846" s="197"/>
    </row>
    <row r="847" spans="1:65" x14ac:dyDescent="0.25">
      <c r="A847" s="121" t="s">
        <v>84</v>
      </c>
      <c r="B847" s="121" t="s">
        <v>27</v>
      </c>
      <c r="C847" s="172" t="s">
        <v>222</v>
      </c>
      <c r="D847" s="161">
        <v>1</v>
      </c>
      <c r="E847" s="29" t="str">
        <f t="shared" si="288"/>
        <v>Expected nominal return (incl forecast asset revaluations)</v>
      </c>
      <c r="F847" s="54"/>
      <c r="G847" s="54"/>
      <c r="H847" s="54"/>
      <c r="I847" s="54"/>
      <c r="J847" s="54"/>
      <c r="K847" s="54"/>
      <c r="L847" s="54"/>
      <c r="M847" s="54"/>
      <c r="N847" s="54"/>
      <c r="O847" s="54"/>
      <c r="P847" s="54"/>
      <c r="Q847" s="54"/>
      <c r="R847" s="54"/>
      <c r="S847" s="54"/>
      <c r="T847" s="54"/>
      <c r="U847" s="54"/>
      <c r="V847" s="54"/>
      <c r="W847" s="54"/>
      <c r="X847" s="54"/>
      <c r="Y847" s="54"/>
      <c r="Z847" s="54"/>
      <c r="AA847" s="54"/>
      <c r="AB847" s="54"/>
      <c r="AC847" s="54"/>
      <c r="AD847" s="54"/>
      <c r="AE847" s="54"/>
      <c r="AF847" s="54"/>
      <c r="AG847" s="54"/>
      <c r="AH847" s="54"/>
      <c r="AI847" s="117">
        <f t="shared" si="289"/>
        <v>0</v>
      </c>
      <c r="AJ847" s="117">
        <f t="shared" si="290"/>
        <v>0</v>
      </c>
      <c r="AK847" s="117">
        <f t="shared" si="291"/>
        <v>0</v>
      </c>
      <c r="AL847" s="23"/>
      <c r="AM847" s="127" t="b">
        <f t="shared" si="292"/>
        <v>0</v>
      </c>
      <c r="AN847" s="127" t="str">
        <f t="shared" si="293"/>
        <v/>
      </c>
      <c r="AO847" s="129">
        <v>1</v>
      </c>
      <c r="AP847" s="129">
        <v>1</v>
      </c>
      <c r="AQ847" s="129">
        <v>1</v>
      </c>
      <c r="AR847" s="129">
        <v>1</v>
      </c>
      <c r="AS847" s="129">
        <v>1</v>
      </c>
      <c r="AT847" s="129">
        <v>1</v>
      </c>
      <c r="AU847" s="129">
        <v>1</v>
      </c>
      <c r="AV847" s="129">
        <v>1</v>
      </c>
      <c r="AW847" s="129"/>
      <c r="AX847" s="197"/>
      <c r="AY847" s="197"/>
      <c r="AZ847" s="197"/>
      <c r="BA847" s="197">
        <v>1</v>
      </c>
      <c r="BB847" s="129">
        <v>1</v>
      </c>
      <c r="BC847" s="129">
        <v>1</v>
      </c>
      <c r="BD847" s="129">
        <v>1</v>
      </c>
      <c r="BE847" s="129">
        <v>1</v>
      </c>
      <c r="BF847" s="129">
        <v>1</v>
      </c>
      <c r="BG847" s="129">
        <v>1</v>
      </c>
      <c r="BH847" s="129">
        <v>1</v>
      </c>
      <c r="BI847" s="129">
        <v>1</v>
      </c>
      <c r="BJ847" s="129">
        <v>1</v>
      </c>
      <c r="BK847" s="129">
        <v>1</v>
      </c>
      <c r="BL847" s="129">
        <v>1</v>
      </c>
      <c r="BM847" s="197"/>
    </row>
    <row r="848" spans="1:65" x14ac:dyDescent="0.25">
      <c r="A848" s="121"/>
      <c r="B848" s="121"/>
      <c r="C848" s="172"/>
      <c r="D848" s="25"/>
      <c r="E848" s="25"/>
      <c r="F848" s="25"/>
      <c r="G848" s="25"/>
      <c r="H848" s="25"/>
      <c r="I848" s="25"/>
      <c r="J848" s="25"/>
      <c r="K848" s="25"/>
      <c r="L848" s="25"/>
      <c r="M848" s="26"/>
      <c r="N848" s="26"/>
      <c r="O848" s="26"/>
      <c r="P848" s="26"/>
      <c r="Q848" s="26"/>
      <c r="R848" s="26"/>
      <c r="S848" s="26"/>
      <c r="T848" s="26"/>
      <c r="U848" s="26"/>
      <c r="V848" s="25"/>
      <c r="W848" s="23"/>
      <c r="X848" s="23"/>
      <c r="Y848" s="23"/>
      <c r="Z848" s="23"/>
      <c r="AA848" s="23"/>
      <c r="AB848" s="23"/>
      <c r="AC848" s="23"/>
      <c r="AD848" s="23"/>
      <c r="AE848" s="23"/>
      <c r="AF848" s="23"/>
      <c r="AG848" s="23"/>
      <c r="AH848" s="23"/>
      <c r="AI848" s="54"/>
      <c r="AJ848" s="54"/>
      <c r="AK848" s="54"/>
      <c r="AL848" s="23"/>
      <c r="AM848" s="127"/>
      <c r="AN848" s="127"/>
      <c r="AO848" s="129"/>
      <c r="AP848" s="129"/>
      <c r="AQ848" s="129"/>
      <c r="AR848" s="129"/>
      <c r="AS848" s="129"/>
      <c r="AT848" s="129"/>
      <c r="AU848" s="129"/>
      <c r="AV848" s="129"/>
      <c r="AW848" s="129"/>
      <c r="AX848" s="197"/>
      <c r="AY848" s="197"/>
      <c r="AZ848" s="197"/>
      <c r="BA848" s="197"/>
      <c r="BB848" s="129"/>
      <c r="BC848" s="129"/>
      <c r="BD848" s="129"/>
      <c r="BE848" s="129"/>
      <c r="BF848" s="129"/>
      <c r="BG848" s="129"/>
      <c r="BH848" s="129"/>
      <c r="BI848" s="129"/>
      <c r="BJ848" s="129"/>
      <c r="BK848" s="129"/>
      <c r="BL848" s="129"/>
      <c r="BM848" s="197"/>
    </row>
    <row r="849" spans="1:65" x14ac:dyDescent="0.25">
      <c r="A849" s="121"/>
      <c r="B849" s="121"/>
      <c r="C849" s="172"/>
      <c r="D849" s="46"/>
      <c r="E849" s="46"/>
      <c r="F849" s="54"/>
      <c r="G849" s="54"/>
      <c r="H849" s="54"/>
      <c r="I849" s="54"/>
      <c r="J849" s="54"/>
      <c r="K849" s="54"/>
      <c r="L849" s="54"/>
      <c r="M849" s="54"/>
      <c r="N849" s="54"/>
      <c r="O849" s="54"/>
      <c r="P849" s="54"/>
      <c r="Q849" s="54"/>
      <c r="R849" s="54"/>
      <c r="S849" s="54"/>
      <c r="T849" s="54"/>
      <c r="U849" s="54"/>
      <c r="V849" s="54"/>
      <c r="W849" s="55"/>
      <c r="X849" s="55"/>
      <c r="Y849" s="55"/>
      <c r="Z849" s="55"/>
      <c r="AA849" s="55"/>
      <c r="AB849" s="55"/>
      <c r="AC849" s="55"/>
      <c r="AD849" s="55"/>
      <c r="AE849" s="55"/>
      <c r="AF849" s="55"/>
      <c r="AG849" s="55"/>
      <c r="AH849" s="55"/>
      <c r="AI849" s="54"/>
      <c r="AJ849" s="54"/>
      <c r="AK849" s="54"/>
      <c r="AL849" s="23"/>
      <c r="AM849" s="127"/>
      <c r="AN849" s="127"/>
      <c r="AO849" s="129"/>
      <c r="AP849" s="129"/>
      <c r="AQ849" s="129"/>
      <c r="AR849" s="129"/>
      <c r="AS849" s="129"/>
      <c r="AT849" s="129"/>
      <c r="AU849" s="129"/>
      <c r="AV849" s="129"/>
      <c r="AW849" s="129"/>
      <c r="AX849" s="197"/>
      <c r="AY849" s="197"/>
      <c r="AZ849" s="197"/>
      <c r="BA849" s="197"/>
      <c r="BB849" s="129"/>
      <c r="BC849" s="129"/>
      <c r="BD849" s="129"/>
      <c r="BE849" s="129"/>
      <c r="BF849" s="129"/>
      <c r="BG849" s="129"/>
      <c r="BH849" s="129"/>
      <c r="BI849" s="129"/>
      <c r="BJ849" s="129"/>
      <c r="BK849" s="129"/>
      <c r="BL849" s="129"/>
      <c r="BM849" s="197"/>
    </row>
    <row r="850" spans="1:65" x14ac:dyDescent="0.25">
      <c r="A850" s="121" t="s">
        <v>84</v>
      </c>
      <c r="B850" s="121" t="s">
        <v>22</v>
      </c>
      <c r="C850" s="172" t="s">
        <v>214</v>
      </c>
      <c r="D850" s="161">
        <v>10</v>
      </c>
      <c r="E850" s="29" t="str">
        <f t="shared" ref="E850:E855" si="294">INDEX(ra_ScName,MATCH(D850,ra_ScNumber,0))</f>
        <v>Disclosed nominal return (incl actual asset revaluations)</v>
      </c>
      <c r="F850" s="122">
        <v>0</v>
      </c>
      <c r="G850" s="122">
        <v>2412</v>
      </c>
      <c r="H850" s="122">
        <v>0</v>
      </c>
      <c r="I850" s="122">
        <v>0</v>
      </c>
      <c r="J850" s="122">
        <v>0</v>
      </c>
      <c r="K850" s="122">
        <v>0</v>
      </c>
      <c r="L850" s="122">
        <v>0</v>
      </c>
      <c r="M850" s="122">
        <v>0</v>
      </c>
      <c r="N850" s="122">
        <v>7</v>
      </c>
      <c r="O850" s="122">
        <v>0</v>
      </c>
      <c r="P850" s="122">
        <v>0</v>
      </c>
      <c r="Q850" s="122">
        <v>0</v>
      </c>
      <c r="R850" s="122">
        <v>0</v>
      </c>
      <c r="S850" s="122">
        <v>0</v>
      </c>
      <c r="T850" s="122">
        <v>1906</v>
      </c>
      <c r="U850" s="122">
        <v>0</v>
      </c>
      <c r="V850" s="122">
        <v>0</v>
      </c>
      <c r="W850" s="122">
        <v>0</v>
      </c>
      <c r="X850" s="122">
        <v>0</v>
      </c>
      <c r="Y850" s="122">
        <v>-296</v>
      </c>
      <c r="Z850" s="122">
        <v>-18</v>
      </c>
      <c r="AA850" s="122">
        <v>0</v>
      </c>
      <c r="AB850" s="122">
        <v>0</v>
      </c>
      <c r="AC850" s="122">
        <v>0</v>
      </c>
      <c r="AD850" s="122">
        <v>0</v>
      </c>
      <c r="AE850" s="122">
        <v>0</v>
      </c>
      <c r="AF850" s="122">
        <v>-172.33099574077599</v>
      </c>
      <c r="AG850" s="122">
        <v>-191.82010712020701</v>
      </c>
      <c r="AH850" s="122">
        <v>0</v>
      </c>
      <c r="AI850" s="117">
        <f t="shared" ref="AI850:AI855" si="295">SUM(F850:AH850)</f>
        <v>3646.848897139017</v>
      </c>
      <c r="AJ850" s="117">
        <f t="shared" ref="AJ850:AJ855" si="296">SUM(F850:U850)</f>
        <v>4325</v>
      </c>
      <c r="AK850" s="117">
        <f t="shared" ref="AK850:AK855" si="297">SUM(W850:AH850)</f>
        <v>-678.15110286098297</v>
      </c>
      <c r="AL850" s="23"/>
      <c r="AM850" s="127" t="b">
        <f t="shared" ref="AM850:AM855" si="298">IF(INDEX($AO850:$BM850,0,$F$14)=1,TRUE,FALSE)</f>
        <v>1</v>
      </c>
      <c r="AN850" s="127" t="str">
        <f t="shared" ref="AN850:AN855" si="299">IF(AM850,A850&amp;", "&amp;B850,"")</f>
        <v>Deferred tax balance relating to assets acquired in the disclosure year, 2009/10</v>
      </c>
      <c r="AO850" s="129"/>
      <c r="AP850" s="129"/>
      <c r="AQ850" s="129"/>
      <c r="AR850" s="129"/>
      <c r="AS850" s="129"/>
      <c r="AT850" s="129"/>
      <c r="AU850" s="129"/>
      <c r="AV850" s="129"/>
      <c r="AW850" s="129">
        <v>1</v>
      </c>
      <c r="AX850" s="197">
        <v>1</v>
      </c>
      <c r="AY850" s="197">
        <v>1</v>
      </c>
      <c r="AZ850" s="197">
        <v>1</v>
      </c>
      <c r="BA850" s="197"/>
      <c r="BB850" s="129"/>
      <c r="BC850" s="129"/>
      <c r="BD850" s="129"/>
      <c r="BE850" s="129"/>
      <c r="BF850" s="129"/>
      <c r="BG850" s="129"/>
      <c r="BH850" s="129"/>
      <c r="BI850" s="129"/>
      <c r="BJ850" s="129"/>
      <c r="BK850" s="129"/>
      <c r="BL850" s="129"/>
      <c r="BM850" s="197">
        <v>1</v>
      </c>
    </row>
    <row r="851" spans="1:65" x14ac:dyDescent="0.25">
      <c r="A851" s="121" t="s">
        <v>84</v>
      </c>
      <c r="B851" s="121" t="s">
        <v>23</v>
      </c>
      <c r="C851" s="172" t="s">
        <v>214</v>
      </c>
      <c r="D851" s="161">
        <v>10</v>
      </c>
      <c r="E851" s="29" t="str">
        <f t="shared" si="294"/>
        <v>Disclosed nominal return (incl actual asset revaluations)</v>
      </c>
      <c r="F851" s="122">
        <v>12.200248</v>
      </c>
      <c r="G851" s="122">
        <v>1505</v>
      </c>
      <c r="H851" s="122">
        <v>0</v>
      </c>
      <c r="I851" s="122">
        <v>0</v>
      </c>
      <c r="J851" s="122">
        <v>0</v>
      </c>
      <c r="K851" s="122">
        <v>0</v>
      </c>
      <c r="L851" s="122">
        <v>0</v>
      </c>
      <c r="M851" s="122">
        <v>0</v>
      </c>
      <c r="N851" s="122">
        <v>0</v>
      </c>
      <c r="O851" s="122">
        <v>0</v>
      </c>
      <c r="P851" s="122">
        <v>0</v>
      </c>
      <c r="Q851" s="122">
        <v>0</v>
      </c>
      <c r="R851" s="122">
        <v>0</v>
      </c>
      <c r="S851" s="122">
        <v>0</v>
      </c>
      <c r="T851" s="122">
        <v>1093</v>
      </c>
      <c r="U851" s="122">
        <v>0</v>
      </c>
      <c r="V851" s="122">
        <v>0</v>
      </c>
      <c r="W851" s="122">
        <v>0</v>
      </c>
      <c r="X851" s="122">
        <v>0</v>
      </c>
      <c r="Y851" s="122">
        <v>-288</v>
      </c>
      <c r="Z851" s="122">
        <v>0</v>
      </c>
      <c r="AA851" s="122">
        <v>0</v>
      </c>
      <c r="AB851" s="122">
        <v>0</v>
      </c>
      <c r="AC851" s="122">
        <v>0</v>
      </c>
      <c r="AD851" s="122">
        <v>0</v>
      </c>
      <c r="AE851" s="122">
        <v>0</v>
      </c>
      <c r="AF851" s="122">
        <v>-48.061520003765693</v>
      </c>
      <c r="AG851" s="122">
        <v>-151.35019353916269</v>
      </c>
      <c r="AH851" s="122">
        <v>0</v>
      </c>
      <c r="AI851" s="117">
        <f t="shared" si="295"/>
        <v>2122.7885344570718</v>
      </c>
      <c r="AJ851" s="117">
        <f t="shared" si="296"/>
        <v>2610.2002480000001</v>
      </c>
      <c r="AK851" s="117">
        <f t="shared" si="297"/>
        <v>-487.4117135429284</v>
      </c>
      <c r="AL851" s="23"/>
      <c r="AM851" s="127" t="b">
        <f t="shared" si="298"/>
        <v>1</v>
      </c>
      <c r="AN851" s="127" t="str">
        <f t="shared" si="299"/>
        <v>Deferred tax balance relating to assets acquired in the disclosure year, 2010/11</v>
      </c>
      <c r="AO851" s="129"/>
      <c r="AP851" s="129"/>
      <c r="AQ851" s="129"/>
      <c r="AR851" s="129"/>
      <c r="AS851" s="129"/>
      <c r="AT851" s="129"/>
      <c r="AU851" s="129"/>
      <c r="AV851" s="129"/>
      <c r="AW851" s="129">
        <v>1</v>
      </c>
      <c r="AX851" s="197">
        <v>1</v>
      </c>
      <c r="AY851" s="197">
        <v>1</v>
      </c>
      <c r="AZ851" s="197">
        <v>1</v>
      </c>
      <c r="BA851" s="197"/>
      <c r="BB851" s="129"/>
      <c r="BC851" s="129"/>
      <c r="BD851" s="129"/>
      <c r="BE851" s="129"/>
      <c r="BF851" s="129"/>
      <c r="BG851" s="129"/>
      <c r="BH851" s="129"/>
      <c r="BI851" s="129"/>
      <c r="BJ851" s="129"/>
      <c r="BK851" s="129"/>
      <c r="BL851" s="129"/>
      <c r="BM851" s="197">
        <v>1</v>
      </c>
    </row>
    <row r="852" spans="1:65" x14ac:dyDescent="0.25">
      <c r="A852" s="121" t="s">
        <v>84</v>
      </c>
      <c r="B852" s="121" t="s">
        <v>24</v>
      </c>
      <c r="C852" s="172" t="s">
        <v>214</v>
      </c>
      <c r="D852" s="161">
        <v>10</v>
      </c>
      <c r="E852" s="29" t="str">
        <f t="shared" si="294"/>
        <v>Disclosed nominal return (incl actual asset revaluations)</v>
      </c>
      <c r="F852" s="122">
        <v>16.399694615191411</v>
      </c>
      <c r="G852" s="122">
        <v>1756</v>
      </c>
      <c r="H852" s="122">
        <v>0</v>
      </c>
      <c r="I852" s="122">
        <v>0</v>
      </c>
      <c r="J852" s="122">
        <v>0</v>
      </c>
      <c r="K852" s="122">
        <v>0</v>
      </c>
      <c r="L852" s="122">
        <v>0</v>
      </c>
      <c r="M852" s="122">
        <v>0</v>
      </c>
      <c r="N852" s="122">
        <v>0</v>
      </c>
      <c r="O852" s="122">
        <v>0</v>
      </c>
      <c r="P852" s="122">
        <v>0</v>
      </c>
      <c r="Q852" s="122">
        <v>0</v>
      </c>
      <c r="R852" s="122">
        <v>0</v>
      </c>
      <c r="S852" s="122">
        <v>0</v>
      </c>
      <c r="T852" s="122">
        <v>570</v>
      </c>
      <c r="U852" s="122">
        <v>0</v>
      </c>
      <c r="V852" s="122">
        <v>0</v>
      </c>
      <c r="W852" s="122">
        <v>0</v>
      </c>
      <c r="X852" s="122">
        <v>0</v>
      </c>
      <c r="Y852" s="122">
        <v>-34</v>
      </c>
      <c r="Z852" s="122">
        <v>0</v>
      </c>
      <c r="AA852" s="122">
        <v>0</v>
      </c>
      <c r="AB852" s="122">
        <v>0</v>
      </c>
      <c r="AC852" s="122">
        <v>0</v>
      </c>
      <c r="AD852" s="122">
        <v>0</v>
      </c>
      <c r="AE852" s="122">
        <v>0</v>
      </c>
      <c r="AF852" s="122">
        <v>-54.277151782431552</v>
      </c>
      <c r="AG852" s="122">
        <v>-49.602340981821627</v>
      </c>
      <c r="AH852" s="122">
        <v>0</v>
      </c>
      <c r="AI852" s="117">
        <f t="shared" si="295"/>
        <v>2204.5202018509381</v>
      </c>
      <c r="AJ852" s="117">
        <f t="shared" si="296"/>
        <v>2342.3996946151915</v>
      </c>
      <c r="AK852" s="117">
        <f t="shared" si="297"/>
        <v>-137.8794927642532</v>
      </c>
      <c r="AL852" s="23"/>
      <c r="AM852" s="127" t="b">
        <f t="shared" si="298"/>
        <v>1</v>
      </c>
      <c r="AN852" s="127" t="str">
        <f t="shared" si="299"/>
        <v>Deferred tax balance relating to assets acquired in the disclosure year, 2011/12</v>
      </c>
      <c r="AO852" s="129"/>
      <c r="AP852" s="129"/>
      <c r="AQ852" s="129"/>
      <c r="AR852" s="129"/>
      <c r="AS852" s="129"/>
      <c r="AT852" s="129"/>
      <c r="AU852" s="129"/>
      <c r="AV852" s="129"/>
      <c r="AW852" s="129">
        <v>1</v>
      </c>
      <c r="AX852" s="197">
        <v>1</v>
      </c>
      <c r="AY852" s="197">
        <v>1</v>
      </c>
      <c r="AZ852" s="197">
        <v>1</v>
      </c>
      <c r="BA852" s="197"/>
      <c r="BB852" s="129"/>
      <c r="BC852" s="129"/>
      <c r="BD852" s="129"/>
      <c r="BE852" s="129"/>
      <c r="BF852" s="129"/>
      <c r="BG852" s="129"/>
      <c r="BH852" s="129"/>
      <c r="BI852" s="129"/>
      <c r="BJ852" s="129"/>
      <c r="BK852" s="129"/>
      <c r="BL852" s="129"/>
      <c r="BM852" s="197">
        <v>1</v>
      </c>
    </row>
    <row r="853" spans="1:65" x14ac:dyDescent="0.25">
      <c r="A853" s="121" t="s">
        <v>84</v>
      </c>
      <c r="B853" s="121" t="s">
        <v>25</v>
      </c>
      <c r="C853" s="172" t="s">
        <v>218</v>
      </c>
      <c r="D853" s="161">
        <v>10</v>
      </c>
      <c r="E853" s="29" t="str">
        <f t="shared" si="294"/>
        <v>Disclosed nominal return (incl actual asset revaluations)</v>
      </c>
      <c r="F853" s="122">
        <v>0</v>
      </c>
      <c r="G853" s="122">
        <v>1605</v>
      </c>
      <c r="H853" s="122">
        <v>0</v>
      </c>
      <c r="I853" s="122">
        <v>0</v>
      </c>
      <c r="J853" s="122">
        <v>0</v>
      </c>
      <c r="K853" s="122">
        <v>0</v>
      </c>
      <c r="L853" s="122">
        <v>0</v>
      </c>
      <c r="M853" s="122">
        <v>0</v>
      </c>
      <c r="N853" s="122">
        <v>0</v>
      </c>
      <c r="O853" s="122">
        <v>0</v>
      </c>
      <c r="P853" s="122">
        <v>0</v>
      </c>
      <c r="Q853" s="122">
        <v>0</v>
      </c>
      <c r="R853" s="122">
        <v>-173.20941925418731</v>
      </c>
      <c r="S853" s="122">
        <v>0</v>
      </c>
      <c r="T853" s="122">
        <v>0</v>
      </c>
      <c r="U853" s="122">
        <v>0</v>
      </c>
      <c r="V853" s="122">
        <v>39.4385748399988</v>
      </c>
      <c r="W853" s="122">
        <v>0</v>
      </c>
      <c r="X853" s="122">
        <v>0</v>
      </c>
      <c r="Y853" s="122">
        <v>0</v>
      </c>
      <c r="Z853" s="122">
        <v>-10</v>
      </c>
      <c r="AA853" s="122">
        <v>0</v>
      </c>
      <c r="AB853" s="122">
        <v>0</v>
      </c>
      <c r="AC853" s="122">
        <v>0</v>
      </c>
      <c r="AD853" s="122">
        <v>0</v>
      </c>
      <c r="AE853" s="122">
        <v>0</v>
      </c>
      <c r="AF853" s="122">
        <v>0</v>
      </c>
      <c r="AG853" s="122">
        <v>0</v>
      </c>
      <c r="AH853" s="122">
        <v>0</v>
      </c>
      <c r="AI853" s="117">
        <f t="shared" si="295"/>
        <v>1461.2291555858117</v>
      </c>
      <c r="AJ853" s="117">
        <f t="shared" si="296"/>
        <v>1431.7905807458128</v>
      </c>
      <c r="AK853" s="117">
        <f t="shared" si="297"/>
        <v>-10</v>
      </c>
      <c r="AL853" s="23"/>
      <c r="AM853" s="127" t="b">
        <f t="shared" si="298"/>
        <v>1</v>
      </c>
      <c r="AN853" s="127" t="str">
        <f t="shared" si="299"/>
        <v>Deferred tax balance relating to assets acquired in the disclosure year, 2012/13</v>
      </c>
      <c r="AO853" s="129"/>
      <c r="AP853" s="129"/>
      <c r="AQ853" s="129"/>
      <c r="AR853" s="129"/>
      <c r="AS853" s="129"/>
      <c r="AT853" s="129"/>
      <c r="AU853" s="129"/>
      <c r="AV853" s="129"/>
      <c r="AW853" s="129">
        <v>1</v>
      </c>
      <c r="AX853" s="197">
        <v>1</v>
      </c>
      <c r="AY853" s="197">
        <v>1</v>
      </c>
      <c r="AZ853" s="197">
        <v>1</v>
      </c>
      <c r="BA853" s="197"/>
      <c r="BB853" s="129"/>
      <c r="BC853" s="129"/>
      <c r="BD853" s="129"/>
      <c r="BE853" s="129"/>
      <c r="BF853" s="129"/>
      <c r="BG853" s="129"/>
      <c r="BH853" s="129"/>
      <c r="BI853" s="129"/>
      <c r="BJ853" s="129"/>
      <c r="BK853" s="129"/>
      <c r="BL853" s="129"/>
      <c r="BM853" s="197">
        <v>1</v>
      </c>
    </row>
    <row r="854" spans="1:65" x14ac:dyDescent="0.25">
      <c r="A854" s="121" t="s">
        <v>84</v>
      </c>
      <c r="B854" s="121" t="s">
        <v>26</v>
      </c>
      <c r="C854" s="172" t="s">
        <v>218</v>
      </c>
      <c r="D854" s="161">
        <v>10</v>
      </c>
      <c r="E854" s="29" t="str">
        <f t="shared" si="294"/>
        <v>Disclosed nominal return (incl actual asset revaluations)</v>
      </c>
      <c r="F854" s="122">
        <v>0</v>
      </c>
      <c r="G854" s="122">
        <v>2524</v>
      </c>
      <c r="H854" s="122">
        <v>0</v>
      </c>
      <c r="I854" s="122">
        <v>0</v>
      </c>
      <c r="J854" s="122">
        <v>0</v>
      </c>
      <c r="K854" s="122">
        <v>0</v>
      </c>
      <c r="L854" s="122">
        <v>0</v>
      </c>
      <c r="M854" s="122">
        <v>0</v>
      </c>
      <c r="N854" s="122">
        <v>0</v>
      </c>
      <c r="O854" s="122">
        <v>611.94308000000001</v>
      </c>
      <c r="P854" s="122">
        <v>0</v>
      </c>
      <c r="Q854" s="122">
        <v>0</v>
      </c>
      <c r="R854" s="122">
        <v>0</v>
      </c>
      <c r="S854" s="122">
        <v>0</v>
      </c>
      <c r="T854" s="122">
        <v>0</v>
      </c>
      <c r="U854" s="122">
        <v>0</v>
      </c>
      <c r="V854" s="122">
        <v>0</v>
      </c>
      <c r="W854" s="122">
        <v>0</v>
      </c>
      <c r="X854" s="122">
        <v>0</v>
      </c>
      <c r="Y854" s="122">
        <v>0</v>
      </c>
      <c r="Z854" s="122">
        <v>0</v>
      </c>
      <c r="AA854" s="122">
        <v>0</v>
      </c>
      <c r="AB854" s="122">
        <v>0</v>
      </c>
      <c r="AC854" s="122">
        <v>0</v>
      </c>
      <c r="AD854" s="122">
        <v>0</v>
      </c>
      <c r="AE854" s="122">
        <v>0</v>
      </c>
      <c r="AF854" s="122">
        <v>0</v>
      </c>
      <c r="AG854" s="122">
        <v>0</v>
      </c>
      <c r="AH854" s="122">
        <v>0</v>
      </c>
      <c r="AI854" s="117">
        <f t="shared" si="295"/>
        <v>3135.94308</v>
      </c>
      <c r="AJ854" s="117">
        <f t="shared" si="296"/>
        <v>3135.94308</v>
      </c>
      <c r="AK854" s="117">
        <f t="shared" si="297"/>
        <v>0</v>
      </c>
      <c r="AL854" s="23"/>
      <c r="AM854" s="127" t="b">
        <f t="shared" si="298"/>
        <v>1</v>
      </c>
      <c r="AN854" s="127" t="str">
        <f t="shared" si="299"/>
        <v>Deferred tax balance relating to assets acquired in the disclosure year, 2013/14</v>
      </c>
      <c r="AO854" s="129"/>
      <c r="AP854" s="129"/>
      <c r="AQ854" s="129"/>
      <c r="AR854" s="129"/>
      <c r="AS854" s="129"/>
      <c r="AT854" s="129"/>
      <c r="AU854" s="129"/>
      <c r="AV854" s="129"/>
      <c r="AW854" s="129">
        <v>1</v>
      </c>
      <c r="AX854" s="197">
        <v>1</v>
      </c>
      <c r="AY854" s="197">
        <v>1</v>
      </c>
      <c r="AZ854" s="197">
        <v>1</v>
      </c>
      <c r="BA854" s="197"/>
      <c r="BB854" s="129"/>
      <c r="BC854" s="129"/>
      <c r="BD854" s="129"/>
      <c r="BE854" s="129"/>
      <c r="BF854" s="129"/>
      <c r="BG854" s="129"/>
      <c r="BH854" s="129"/>
      <c r="BI854" s="129"/>
      <c r="BJ854" s="129"/>
      <c r="BK854" s="129"/>
      <c r="BL854" s="129"/>
      <c r="BM854" s="197">
        <v>1</v>
      </c>
    </row>
    <row r="855" spans="1:65" x14ac:dyDescent="0.25">
      <c r="A855" s="121" t="s">
        <v>84</v>
      </c>
      <c r="B855" s="121" t="s">
        <v>27</v>
      </c>
      <c r="C855" s="172" t="s">
        <v>218</v>
      </c>
      <c r="D855" s="161">
        <v>10</v>
      </c>
      <c r="E855" s="29" t="str">
        <f t="shared" si="294"/>
        <v>Disclosed nominal return (incl actual asset revaluations)</v>
      </c>
      <c r="F855" s="122">
        <v>0</v>
      </c>
      <c r="G855" s="122">
        <v>1905</v>
      </c>
      <c r="H855" s="122">
        <v>0</v>
      </c>
      <c r="I855" s="122">
        <v>0</v>
      </c>
      <c r="J855" s="122">
        <v>0</v>
      </c>
      <c r="K855" s="122">
        <v>0</v>
      </c>
      <c r="L855" s="122">
        <v>0</v>
      </c>
      <c r="M855" s="122">
        <v>0</v>
      </c>
      <c r="N855" s="122">
        <v>0</v>
      </c>
      <c r="O855" s="122">
        <v>0</v>
      </c>
      <c r="P855" s="122">
        <v>0</v>
      </c>
      <c r="Q855" s="122">
        <v>0</v>
      </c>
      <c r="R855" s="122">
        <v>0</v>
      </c>
      <c r="S855" s="122">
        <v>0</v>
      </c>
      <c r="T855" s="122">
        <v>0</v>
      </c>
      <c r="U855" s="122">
        <v>0</v>
      </c>
      <c r="V855" s="122">
        <v>-23.907</v>
      </c>
      <c r="W855" s="122">
        <v>0</v>
      </c>
      <c r="X855" s="122">
        <v>0</v>
      </c>
      <c r="Y855" s="122">
        <v>0</v>
      </c>
      <c r="Z855" s="122">
        <v>0</v>
      </c>
      <c r="AA855" s="122">
        <v>0</v>
      </c>
      <c r="AB855" s="122">
        <v>0</v>
      </c>
      <c r="AC855" s="122">
        <v>0</v>
      </c>
      <c r="AD855" s="122">
        <v>0</v>
      </c>
      <c r="AE855" s="122">
        <v>0</v>
      </c>
      <c r="AF855" s="122">
        <v>0</v>
      </c>
      <c r="AG855" s="122">
        <v>0</v>
      </c>
      <c r="AH855" s="122">
        <v>0</v>
      </c>
      <c r="AI855" s="117">
        <f t="shared" si="295"/>
        <v>1881.0930000000001</v>
      </c>
      <c r="AJ855" s="117">
        <f t="shared" si="296"/>
        <v>1905</v>
      </c>
      <c r="AK855" s="117">
        <f t="shared" si="297"/>
        <v>0</v>
      </c>
      <c r="AL855" s="23"/>
      <c r="AM855" s="127" t="b">
        <f t="shared" si="298"/>
        <v>1</v>
      </c>
      <c r="AN855" s="127" t="str">
        <f t="shared" si="299"/>
        <v>Deferred tax balance relating to assets acquired in the disclosure year, 2014/15</v>
      </c>
      <c r="AO855" s="129"/>
      <c r="AP855" s="129"/>
      <c r="AQ855" s="129"/>
      <c r="AR855" s="129"/>
      <c r="AS855" s="129"/>
      <c r="AT855" s="129"/>
      <c r="AU855" s="129"/>
      <c r="AV855" s="129"/>
      <c r="AW855" s="129">
        <v>1</v>
      </c>
      <c r="AX855" s="197">
        <v>1</v>
      </c>
      <c r="AY855" s="197">
        <v>1</v>
      </c>
      <c r="AZ855" s="197">
        <v>1</v>
      </c>
      <c r="BA855" s="197"/>
      <c r="BB855" s="129"/>
      <c r="BC855" s="129"/>
      <c r="BD855" s="129"/>
      <c r="BE855" s="129"/>
      <c r="BF855" s="129"/>
      <c r="BG855" s="129"/>
      <c r="BH855" s="129"/>
      <c r="BI855" s="129"/>
      <c r="BJ855" s="129"/>
      <c r="BK855" s="129"/>
      <c r="BL855" s="129"/>
      <c r="BM855" s="197">
        <v>1</v>
      </c>
    </row>
    <row r="856" spans="1:65" x14ac:dyDescent="0.25">
      <c r="A856" s="121"/>
      <c r="B856" s="121"/>
      <c r="C856" s="172"/>
      <c r="D856" s="25"/>
      <c r="E856" s="25"/>
      <c r="F856" s="25"/>
      <c r="G856" s="25"/>
      <c r="H856" s="25"/>
      <c r="I856" s="25"/>
      <c r="J856" s="25"/>
      <c r="K856" s="25"/>
      <c r="L856" s="25"/>
      <c r="M856" s="26"/>
      <c r="N856" s="26"/>
      <c r="O856" s="26"/>
      <c r="P856" s="26"/>
      <c r="Q856" s="26"/>
      <c r="R856" s="26"/>
      <c r="S856" s="26"/>
      <c r="T856" s="26"/>
      <c r="U856" s="26"/>
      <c r="V856" s="25"/>
      <c r="W856" s="23"/>
      <c r="X856" s="23"/>
      <c r="Y856" s="23"/>
      <c r="Z856" s="23"/>
      <c r="AA856" s="23"/>
      <c r="AB856" s="23"/>
      <c r="AC856" s="23"/>
      <c r="AD856" s="23"/>
      <c r="AE856" s="23"/>
      <c r="AF856" s="23"/>
      <c r="AG856" s="23"/>
      <c r="AH856" s="23"/>
      <c r="AI856" s="54"/>
      <c r="AJ856" s="54"/>
      <c r="AK856" s="54"/>
      <c r="AL856" s="23"/>
      <c r="AM856" s="127"/>
      <c r="AN856" s="127"/>
      <c r="AO856" s="129"/>
      <c r="AP856" s="129"/>
      <c r="AQ856" s="129"/>
      <c r="AR856" s="129"/>
      <c r="AS856" s="129"/>
      <c r="AT856" s="129"/>
      <c r="AU856" s="129"/>
      <c r="AV856" s="129"/>
      <c r="AW856" s="129"/>
      <c r="AX856" s="197"/>
      <c r="AY856" s="197"/>
      <c r="AZ856" s="197"/>
      <c r="BA856" s="197"/>
      <c r="BB856" s="129"/>
      <c r="BC856" s="129"/>
      <c r="BD856" s="129"/>
      <c r="BE856" s="129"/>
      <c r="BF856" s="129"/>
      <c r="BG856" s="129"/>
      <c r="BH856" s="129"/>
      <c r="BI856" s="129"/>
      <c r="BJ856" s="129"/>
      <c r="BK856" s="129"/>
      <c r="BL856" s="129"/>
      <c r="BM856" s="197"/>
    </row>
    <row r="857" spans="1:65" x14ac:dyDescent="0.25">
      <c r="A857" s="121"/>
      <c r="B857" s="121"/>
      <c r="C857" s="172"/>
      <c r="D857" s="46"/>
      <c r="E857" s="46"/>
      <c r="F857" s="54"/>
      <c r="G857" s="54"/>
      <c r="H857" s="54"/>
      <c r="I857" s="54"/>
      <c r="J857" s="54"/>
      <c r="K857" s="54"/>
      <c r="L857" s="54"/>
      <c r="M857" s="54"/>
      <c r="N857" s="54"/>
      <c r="O857" s="54"/>
      <c r="P857" s="54"/>
      <c r="Q857" s="54"/>
      <c r="R857" s="54"/>
      <c r="S857" s="54"/>
      <c r="T857" s="54"/>
      <c r="U857" s="54"/>
      <c r="V857" s="54"/>
      <c r="W857" s="55"/>
      <c r="X857" s="55"/>
      <c r="Y857" s="55"/>
      <c r="Z857" s="55"/>
      <c r="AA857" s="55"/>
      <c r="AB857" s="55"/>
      <c r="AC857" s="55"/>
      <c r="AD857" s="55"/>
      <c r="AE857" s="55"/>
      <c r="AF857" s="55"/>
      <c r="AG857" s="55"/>
      <c r="AH857" s="55"/>
      <c r="AI857" s="54"/>
      <c r="AJ857" s="54"/>
      <c r="AK857" s="54"/>
      <c r="AL857" s="23"/>
      <c r="AM857" s="127"/>
      <c r="AN857" s="127"/>
      <c r="AO857" s="129"/>
      <c r="AP857" s="129"/>
      <c r="AQ857" s="129"/>
      <c r="AR857" s="129"/>
      <c r="AS857" s="129"/>
      <c r="AT857" s="129"/>
      <c r="AU857" s="129"/>
      <c r="AV857" s="129"/>
      <c r="AW857" s="129"/>
      <c r="AX857" s="197"/>
      <c r="AY857" s="197"/>
      <c r="AZ857" s="197"/>
      <c r="BA857" s="197"/>
      <c r="BB857" s="129"/>
      <c r="BC857" s="129"/>
      <c r="BD857" s="129"/>
      <c r="BE857" s="129"/>
      <c r="BF857" s="129"/>
      <c r="BG857" s="129"/>
      <c r="BH857" s="129"/>
      <c r="BI857" s="129"/>
      <c r="BJ857" s="129"/>
      <c r="BK857" s="129"/>
      <c r="BL857" s="129"/>
      <c r="BM857" s="197"/>
    </row>
    <row r="858" spans="1:65" x14ac:dyDescent="0.25">
      <c r="A858" s="121" t="s">
        <v>128</v>
      </c>
      <c r="B858" s="121" t="s">
        <v>22</v>
      </c>
      <c r="C858" s="172" t="s">
        <v>397</v>
      </c>
      <c r="D858" s="161">
        <v>1</v>
      </c>
      <c r="E858" s="29" t="str">
        <f t="shared" ref="E858:E863" si="300">INDEX(ra_ScName,MATCH(D858,ra_ScNumber,0))</f>
        <v>Expected nominal return (incl forecast asset revaluations)</v>
      </c>
      <c r="F858" s="122">
        <v>53.023000000000003</v>
      </c>
      <c r="G858" s="122">
        <v>452</v>
      </c>
      <c r="H858" s="122">
        <v>0</v>
      </c>
      <c r="I858" s="122">
        <v>259</v>
      </c>
      <c r="J858" s="122">
        <v>0</v>
      </c>
      <c r="K858" s="122">
        <v>25</v>
      </c>
      <c r="L858" s="122">
        <v>71.185678717912296</v>
      </c>
      <c r="M858" s="122">
        <v>0</v>
      </c>
      <c r="N858" s="122">
        <v>0</v>
      </c>
      <c r="O858" s="122">
        <v>0</v>
      </c>
      <c r="P858" s="122">
        <v>11055</v>
      </c>
      <c r="Q858" s="122">
        <v>168.12794537129605</v>
      </c>
      <c r="R858" s="122">
        <v>29</v>
      </c>
      <c r="S858" s="122">
        <v>911.01528869499998</v>
      </c>
      <c r="T858" s="122">
        <v>8957</v>
      </c>
      <c r="U858" s="122">
        <v>17</v>
      </c>
      <c r="V858" s="122">
        <v>411</v>
      </c>
      <c r="W858" s="54"/>
      <c r="X858" s="54"/>
      <c r="Y858" s="54"/>
      <c r="Z858" s="54"/>
      <c r="AA858" s="54"/>
      <c r="AB858" s="54"/>
      <c r="AC858" s="54"/>
      <c r="AD858" s="54"/>
      <c r="AE858" s="54"/>
      <c r="AF858" s="54"/>
      <c r="AG858" s="54"/>
      <c r="AH858" s="54"/>
      <c r="AI858" s="117">
        <f>SUM(F858:AH858)</f>
        <v>22408.351912784208</v>
      </c>
      <c r="AJ858" s="117">
        <f t="shared" ref="AJ858:AJ863" si="301">SUM(F858:U858)</f>
        <v>21997.351912784208</v>
      </c>
      <c r="AK858" s="117">
        <f>SUM(W858:AH858)</f>
        <v>0</v>
      </c>
      <c r="AL858" s="23"/>
      <c r="AM858" s="127" t="b">
        <f t="shared" ref="AM858:AM863" si="302">IF(INDEX($AO858:$BM858,0,$F$14)=1,TRUE,FALSE)</f>
        <v>0</v>
      </c>
      <c r="AN858" s="127" t="str">
        <f t="shared" ref="AN858:AN863" si="303">IF(AM858,A858&amp;", "&amp;B858,"")</f>
        <v/>
      </c>
      <c r="AO858" s="129">
        <v>1</v>
      </c>
      <c r="AP858" s="129">
        <v>1</v>
      </c>
      <c r="AQ858" s="129">
        <v>1</v>
      </c>
      <c r="AR858" s="129">
        <v>1</v>
      </c>
      <c r="AS858" s="129">
        <v>1</v>
      </c>
      <c r="AT858" s="129">
        <v>1</v>
      </c>
      <c r="AU858" s="129">
        <v>1</v>
      </c>
      <c r="AV858" s="129">
        <v>1</v>
      </c>
      <c r="AW858" s="129"/>
      <c r="AX858" s="197"/>
      <c r="AY858" s="197"/>
      <c r="AZ858" s="197"/>
      <c r="BA858" s="197">
        <v>1</v>
      </c>
      <c r="BB858" s="129">
        <v>1</v>
      </c>
      <c r="BC858" s="129">
        <v>1</v>
      </c>
      <c r="BD858" s="129">
        <v>1</v>
      </c>
      <c r="BE858" s="129">
        <v>1</v>
      </c>
      <c r="BF858" s="129">
        <v>1</v>
      </c>
      <c r="BG858" s="129">
        <v>1</v>
      </c>
      <c r="BH858" s="129">
        <v>1</v>
      </c>
      <c r="BI858" s="129">
        <v>1</v>
      </c>
      <c r="BJ858" s="129">
        <v>1</v>
      </c>
      <c r="BK858" s="129">
        <v>1</v>
      </c>
      <c r="BL858" s="129">
        <v>1</v>
      </c>
      <c r="BM858" s="197"/>
    </row>
    <row r="859" spans="1:65" x14ac:dyDescent="0.25">
      <c r="A859" s="121" t="s">
        <v>128</v>
      </c>
      <c r="B859" s="121" t="s">
        <v>23</v>
      </c>
      <c r="C859" s="172" t="s">
        <v>397</v>
      </c>
      <c r="D859" s="161">
        <v>1</v>
      </c>
      <c r="E859" s="29" t="str">
        <f t="shared" si="300"/>
        <v>Expected nominal return (incl forecast asset revaluations)</v>
      </c>
      <c r="F859" s="122">
        <v>55.391392889699176</v>
      </c>
      <c r="G859" s="122">
        <v>472.1896080218778</v>
      </c>
      <c r="H859" s="122">
        <v>0</v>
      </c>
      <c r="I859" s="122">
        <v>270.56882406563352</v>
      </c>
      <c r="J859" s="122">
        <v>0</v>
      </c>
      <c r="K859" s="122">
        <v>26.116681859617135</v>
      </c>
      <c r="L859" s="122">
        <v>74.365348961465344</v>
      </c>
      <c r="M859" s="122">
        <v>0</v>
      </c>
      <c r="N859" s="122">
        <v>0</v>
      </c>
      <c r="O859" s="122">
        <v>0</v>
      </c>
      <c r="P859" s="122">
        <v>11548.796718322697</v>
      </c>
      <c r="Q859" s="122">
        <v>175.63776243892914</v>
      </c>
      <c r="R859" s="122">
        <v>30.295350957155879</v>
      </c>
      <c r="S859" s="122">
        <v>951.70785856378291</v>
      </c>
      <c r="T859" s="122">
        <v>9357.0847766636271</v>
      </c>
      <c r="U859" s="122">
        <v>17.759343664539653</v>
      </c>
      <c r="V859" s="122">
        <v>429.35824977210569</v>
      </c>
      <c r="W859" s="54"/>
      <c r="X859" s="54"/>
      <c r="Y859" s="54"/>
      <c r="Z859" s="54"/>
      <c r="AA859" s="54"/>
      <c r="AB859" s="54"/>
      <c r="AC859" s="54"/>
      <c r="AD859" s="54"/>
      <c r="AE859" s="54"/>
      <c r="AF859" s="54"/>
      <c r="AG859" s="54"/>
      <c r="AH859" s="54"/>
      <c r="AI859" s="117">
        <f>SUM(F859:AH859)</f>
        <v>23409.271916181133</v>
      </c>
      <c r="AJ859" s="117">
        <f t="shared" si="301"/>
        <v>22979.913666409026</v>
      </c>
      <c r="AK859" s="117">
        <f>SUM(W859:AH859)</f>
        <v>0</v>
      </c>
      <c r="AL859" s="23"/>
      <c r="AM859" s="127" t="b">
        <f t="shared" si="302"/>
        <v>0</v>
      </c>
      <c r="AN859" s="127" t="str">
        <f t="shared" si="303"/>
        <v/>
      </c>
      <c r="AO859" s="129">
        <v>1</v>
      </c>
      <c r="AP859" s="129">
        <v>1</v>
      </c>
      <c r="AQ859" s="129">
        <v>1</v>
      </c>
      <c r="AR859" s="129">
        <v>1</v>
      </c>
      <c r="AS859" s="129">
        <v>1</v>
      </c>
      <c r="AT859" s="129">
        <v>1</v>
      </c>
      <c r="AU859" s="129">
        <v>1</v>
      </c>
      <c r="AV859" s="129">
        <v>1</v>
      </c>
      <c r="AW859" s="129"/>
      <c r="AX859" s="197"/>
      <c r="AY859" s="197"/>
      <c r="AZ859" s="197"/>
      <c r="BA859" s="197">
        <v>1</v>
      </c>
      <c r="BB859" s="129">
        <v>1</v>
      </c>
      <c r="BC859" s="129">
        <v>1</v>
      </c>
      <c r="BD859" s="129">
        <v>1</v>
      </c>
      <c r="BE859" s="129">
        <v>1</v>
      </c>
      <c r="BF859" s="129">
        <v>1</v>
      </c>
      <c r="BG859" s="129">
        <v>1</v>
      </c>
      <c r="BH859" s="129">
        <v>1</v>
      </c>
      <c r="BI859" s="129">
        <v>1</v>
      </c>
      <c r="BJ859" s="129">
        <v>1</v>
      </c>
      <c r="BK859" s="129">
        <v>1</v>
      </c>
      <c r="BL859" s="129">
        <v>1</v>
      </c>
      <c r="BM859" s="197"/>
    </row>
    <row r="860" spans="1:65" x14ac:dyDescent="0.25">
      <c r="A860" s="121" t="s">
        <v>128</v>
      </c>
      <c r="B860" s="121" t="s">
        <v>24</v>
      </c>
      <c r="C860" s="172" t="s">
        <v>397</v>
      </c>
      <c r="D860" s="161">
        <v>1</v>
      </c>
      <c r="E860" s="29" t="str">
        <f t="shared" si="300"/>
        <v>Expected nominal return (incl forecast asset revaluations)</v>
      </c>
      <c r="F860" s="122">
        <v>56.261414767547862</v>
      </c>
      <c r="G860" s="122">
        <v>479.60619872379215</v>
      </c>
      <c r="H860" s="122">
        <v>0</v>
      </c>
      <c r="I860" s="122">
        <v>274.8185961713765</v>
      </c>
      <c r="J860" s="122">
        <v>0</v>
      </c>
      <c r="K860" s="122">
        <v>26.526891522333635</v>
      </c>
      <c r="L860" s="122">
        <v>75.533391091750147</v>
      </c>
      <c r="M860" s="122">
        <v>0</v>
      </c>
      <c r="N860" s="122">
        <v>0</v>
      </c>
      <c r="O860" s="122">
        <v>0</v>
      </c>
      <c r="P860" s="122">
        <v>11730.191431175934</v>
      </c>
      <c r="Q860" s="122">
        <v>178.39647074948826</v>
      </c>
      <c r="R860" s="122">
        <v>30.771194165907019</v>
      </c>
      <c r="S860" s="122">
        <v>966.65614953598902</v>
      </c>
      <c r="T860" s="122">
        <v>9504.0546946216946</v>
      </c>
      <c r="U860" s="122">
        <v>18.038286235186874</v>
      </c>
      <c r="V860" s="122">
        <v>436.102096627165</v>
      </c>
      <c r="W860" s="54"/>
      <c r="X860" s="54"/>
      <c r="Y860" s="54"/>
      <c r="Z860" s="54"/>
      <c r="AA860" s="54"/>
      <c r="AB860" s="54"/>
      <c r="AC860" s="54"/>
      <c r="AD860" s="54"/>
      <c r="AE860" s="54"/>
      <c r="AF860" s="54"/>
      <c r="AG860" s="54"/>
      <c r="AH860" s="54"/>
      <c r="AI860" s="117">
        <f>SUM(F860:AH860)</f>
        <v>23776.956815388163</v>
      </c>
      <c r="AJ860" s="117">
        <f t="shared" si="301"/>
        <v>23340.854718760998</v>
      </c>
      <c r="AK860" s="117">
        <f>SUM(W860:AH860)</f>
        <v>0</v>
      </c>
      <c r="AL860" s="23"/>
      <c r="AM860" s="127" t="b">
        <f t="shared" si="302"/>
        <v>0</v>
      </c>
      <c r="AN860" s="127" t="str">
        <f t="shared" si="303"/>
        <v/>
      </c>
      <c r="AO860" s="129">
        <v>1</v>
      </c>
      <c r="AP860" s="129">
        <v>1</v>
      </c>
      <c r="AQ860" s="129">
        <v>1</v>
      </c>
      <c r="AR860" s="129">
        <v>1</v>
      </c>
      <c r="AS860" s="129">
        <v>1</v>
      </c>
      <c r="AT860" s="129">
        <v>1</v>
      </c>
      <c r="AU860" s="129">
        <v>1</v>
      </c>
      <c r="AV860" s="129">
        <v>1</v>
      </c>
      <c r="AW860" s="129"/>
      <c r="AX860" s="197"/>
      <c r="AY860" s="197"/>
      <c r="AZ860" s="197"/>
      <c r="BA860" s="197">
        <v>1</v>
      </c>
      <c r="BB860" s="129">
        <v>1</v>
      </c>
      <c r="BC860" s="129">
        <v>1</v>
      </c>
      <c r="BD860" s="129">
        <v>1</v>
      </c>
      <c r="BE860" s="129">
        <v>1</v>
      </c>
      <c r="BF860" s="129">
        <v>1</v>
      </c>
      <c r="BG860" s="129">
        <v>1</v>
      </c>
      <c r="BH860" s="129">
        <v>1</v>
      </c>
      <c r="BI860" s="129">
        <v>1</v>
      </c>
      <c r="BJ860" s="129">
        <v>1</v>
      </c>
      <c r="BK860" s="129">
        <v>1</v>
      </c>
      <c r="BL860" s="129">
        <v>1</v>
      </c>
      <c r="BM860" s="197"/>
    </row>
    <row r="861" spans="1:65" x14ac:dyDescent="0.25">
      <c r="A861" s="121" t="s">
        <v>128</v>
      </c>
      <c r="B861" s="121" t="s">
        <v>25</v>
      </c>
      <c r="C861" s="172" t="s">
        <v>397</v>
      </c>
      <c r="D861" s="161">
        <v>1</v>
      </c>
      <c r="E861" s="29" t="str">
        <f t="shared" si="300"/>
        <v>Expected nominal return (incl forecast asset revaluations)</v>
      </c>
      <c r="F861" s="122">
        <v>57.276440291704652</v>
      </c>
      <c r="G861" s="122">
        <v>488.25888787602548</v>
      </c>
      <c r="H861" s="122">
        <v>0</v>
      </c>
      <c r="I861" s="122">
        <v>279.77666362807656</v>
      </c>
      <c r="J861" s="122">
        <v>0</v>
      </c>
      <c r="K861" s="122">
        <v>27.00546946216955</v>
      </c>
      <c r="L861" s="122">
        <v>76.896106910415739</v>
      </c>
      <c r="M861" s="122">
        <v>0</v>
      </c>
      <c r="N861" s="122">
        <v>0</v>
      </c>
      <c r="O861" s="122">
        <v>0</v>
      </c>
      <c r="P861" s="122">
        <v>11941.818596171375</v>
      </c>
      <c r="Q861" s="122">
        <v>181.61496377847385</v>
      </c>
      <c r="R861" s="122">
        <v>31.326344576116679</v>
      </c>
      <c r="S861" s="122">
        <v>984.09582233689594</v>
      </c>
      <c r="T861" s="122">
        <v>9675.5195989061067</v>
      </c>
      <c r="U861" s="122">
        <v>18.363719234275294</v>
      </c>
      <c r="V861" s="122">
        <v>443.96991795806741</v>
      </c>
      <c r="W861" s="54"/>
      <c r="X861" s="54"/>
      <c r="Y861" s="54"/>
      <c r="Z861" s="54"/>
      <c r="AA861" s="54"/>
      <c r="AB861" s="54"/>
      <c r="AC861" s="54"/>
      <c r="AD861" s="54"/>
      <c r="AE861" s="54"/>
      <c r="AF861" s="54"/>
      <c r="AG861" s="54"/>
      <c r="AH861" s="54"/>
      <c r="AI861" s="117">
        <f t="shared" ref="AI861:AI923" si="304">SUM(F861:AH861)</f>
        <v>24205.922531129705</v>
      </c>
      <c r="AJ861" s="117">
        <f t="shared" si="301"/>
        <v>23761.952613171637</v>
      </c>
      <c r="AK861" s="117">
        <f t="shared" ref="AK861:AK923" si="305">SUM(W861:AH861)</f>
        <v>0</v>
      </c>
      <c r="AL861" s="23"/>
      <c r="AM861" s="127" t="b">
        <f t="shared" si="302"/>
        <v>0</v>
      </c>
      <c r="AN861" s="127" t="str">
        <f t="shared" si="303"/>
        <v/>
      </c>
      <c r="AO861" s="129">
        <v>1</v>
      </c>
      <c r="AP861" s="129">
        <v>1</v>
      </c>
      <c r="AQ861" s="129">
        <v>1</v>
      </c>
      <c r="AR861" s="129">
        <v>1</v>
      </c>
      <c r="AS861" s="129">
        <v>1</v>
      </c>
      <c r="AT861" s="129">
        <v>1</v>
      </c>
      <c r="AU861" s="129">
        <v>1</v>
      </c>
      <c r="AV861" s="129">
        <v>1</v>
      </c>
      <c r="AW861" s="129"/>
      <c r="AX861" s="197"/>
      <c r="AY861" s="197"/>
      <c r="AZ861" s="197"/>
      <c r="BA861" s="197">
        <v>1</v>
      </c>
      <c r="BB861" s="129">
        <v>1</v>
      </c>
      <c r="BC861" s="129">
        <v>1</v>
      </c>
      <c r="BD861" s="129">
        <v>1</v>
      </c>
      <c r="BE861" s="129">
        <v>1</v>
      </c>
      <c r="BF861" s="129">
        <v>1</v>
      </c>
      <c r="BG861" s="129">
        <v>1</v>
      </c>
      <c r="BH861" s="129">
        <v>1</v>
      </c>
      <c r="BI861" s="129">
        <v>1</v>
      </c>
      <c r="BJ861" s="129">
        <v>1</v>
      </c>
      <c r="BK861" s="129">
        <v>1</v>
      </c>
      <c r="BL861" s="129">
        <v>1</v>
      </c>
      <c r="BM861" s="197"/>
    </row>
    <row r="862" spans="1:65" x14ac:dyDescent="0.25">
      <c r="A862" s="121" t="s">
        <v>128</v>
      </c>
      <c r="B862" s="121" t="s">
        <v>26</v>
      </c>
      <c r="C862" s="172" t="s">
        <v>397</v>
      </c>
      <c r="D862" s="161">
        <v>1</v>
      </c>
      <c r="E862" s="29" t="str">
        <f t="shared" si="300"/>
        <v>Expected nominal return (incl forecast asset revaluations)</v>
      </c>
      <c r="F862" s="122">
        <v>58.29146581586145</v>
      </c>
      <c r="G862" s="122">
        <v>496.91157702825888</v>
      </c>
      <c r="H862" s="122">
        <v>0</v>
      </c>
      <c r="I862" s="122">
        <v>284.73473108477668</v>
      </c>
      <c r="J862" s="122">
        <v>0</v>
      </c>
      <c r="K862" s="122">
        <v>27.484047402005469</v>
      </c>
      <c r="L862" s="122">
        <v>78.258822729081345</v>
      </c>
      <c r="M862" s="122">
        <v>0</v>
      </c>
      <c r="N862" s="122">
        <v>0</v>
      </c>
      <c r="O862" s="122">
        <v>0</v>
      </c>
      <c r="P862" s="122">
        <v>12153.445761166819</v>
      </c>
      <c r="Q862" s="122">
        <v>184.83345680745947</v>
      </c>
      <c r="R862" s="122">
        <v>31.881494986326345</v>
      </c>
      <c r="S862" s="122">
        <v>1001.5354951378031</v>
      </c>
      <c r="T862" s="122">
        <v>9846.9845031905188</v>
      </c>
      <c r="U862" s="122">
        <v>18.689152233363718</v>
      </c>
      <c r="V862" s="122">
        <v>451.83773928896994</v>
      </c>
      <c r="W862" s="54"/>
      <c r="X862" s="54"/>
      <c r="Y862" s="54"/>
      <c r="Z862" s="54"/>
      <c r="AA862" s="54"/>
      <c r="AB862" s="54"/>
      <c r="AC862" s="54"/>
      <c r="AD862" s="54"/>
      <c r="AE862" s="54"/>
      <c r="AF862" s="54"/>
      <c r="AG862" s="54"/>
      <c r="AH862" s="54"/>
      <c r="AI862" s="117">
        <f t="shared" si="304"/>
        <v>24634.888246871244</v>
      </c>
      <c r="AJ862" s="117">
        <f t="shared" si="301"/>
        <v>24183.050507582273</v>
      </c>
      <c r="AK862" s="117">
        <f t="shared" si="305"/>
        <v>0</v>
      </c>
      <c r="AL862" s="23"/>
      <c r="AM862" s="127" t="b">
        <f t="shared" si="302"/>
        <v>0</v>
      </c>
      <c r="AN862" s="127" t="str">
        <f t="shared" si="303"/>
        <v/>
      </c>
      <c r="AO862" s="129">
        <v>1</v>
      </c>
      <c r="AP862" s="129">
        <v>1</v>
      </c>
      <c r="AQ862" s="129">
        <v>1</v>
      </c>
      <c r="AR862" s="129">
        <v>1</v>
      </c>
      <c r="AS862" s="129">
        <v>1</v>
      </c>
      <c r="AT862" s="129">
        <v>1</v>
      </c>
      <c r="AU862" s="129">
        <v>1</v>
      </c>
      <c r="AV862" s="129">
        <v>1</v>
      </c>
      <c r="AW862" s="129"/>
      <c r="AX862" s="197"/>
      <c r="AY862" s="197"/>
      <c r="AZ862" s="197"/>
      <c r="BA862" s="197">
        <v>1</v>
      </c>
      <c r="BB862" s="129">
        <v>1</v>
      </c>
      <c r="BC862" s="129">
        <v>1</v>
      </c>
      <c r="BD862" s="129">
        <v>1</v>
      </c>
      <c r="BE862" s="129">
        <v>1</v>
      </c>
      <c r="BF862" s="129">
        <v>1</v>
      </c>
      <c r="BG862" s="129">
        <v>1</v>
      </c>
      <c r="BH862" s="129">
        <v>1</v>
      </c>
      <c r="BI862" s="129">
        <v>1</v>
      </c>
      <c r="BJ862" s="129">
        <v>1</v>
      </c>
      <c r="BK862" s="129">
        <v>1</v>
      </c>
      <c r="BL862" s="129">
        <v>1</v>
      </c>
      <c r="BM862" s="197"/>
    </row>
    <row r="863" spans="1:65" x14ac:dyDescent="0.25">
      <c r="A863" s="121" t="s">
        <v>128</v>
      </c>
      <c r="B863" s="121" t="s">
        <v>27</v>
      </c>
      <c r="C863" s="172" t="s">
        <v>397</v>
      </c>
      <c r="D863" s="161">
        <v>1</v>
      </c>
      <c r="E863" s="29" t="str">
        <f t="shared" si="300"/>
        <v>Expected nominal return (incl forecast asset revaluations)</v>
      </c>
      <c r="F863" s="122">
        <v>59.644833181403833</v>
      </c>
      <c r="G863" s="122">
        <v>508.44849589790329</v>
      </c>
      <c r="H863" s="122">
        <v>0</v>
      </c>
      <c r="I863" s="122">
        <v>291.34548769371008</v>
      </c>
      <c r="J863" s="122">
        <v>0</v>
      </c>
      <c r="K863" s="122">
        <v>28.122151321786689</v>
      </c>
      <c r="L863" s="122">
        <v>80.075777153968801</v>
      </c>
      <c r="M863" s="122">
        <v>0</v>
      </c>
      <c r="N863" s="122">
        <v>0</v>
      </c>
      <c r="O863" s="122">
        <v>0</v>
      </c>
      <c r="P863" s="122">
        <v>12435.615314494073</v>
      </c>
      <c r="Q863" s="122">
        <v>189.12478084610694</v>
      </c>
      <c r="R863" s="122">
        <v>32.621695533272558</v>
      </c>
      <c r="S863" s="122">
        <v>1024.788392205679</v>
      </c>
      <c r="T863" s="122">
        <v>10075.604375569734</v>
      </c>
      <c r="U863" s="122">
        <v>19.123062898814947</v>
      </c>
      <c r="V863" s="122">
        <v>462.32816773017316</v>
      </c>
      <c r="W863" s="54"/>
      <c r="X863" s="54"/>
      <c r="Y863" s="54"/>
      <c r="Z863" s="54"/>
      <c r="AA863" s="54"/>
      <c r="AB863" s="54"/>
      <c r="AC863" s="54"/>
      <c r="AD863" s="54"/>
      <c r="AE863" s="54"/>
      <c r="AF863" s="54"/>
      <c r="AG863" s="54"/>
      <c r="AH863" s="54"/>
      <c r="AI863" s="117">
        <f t="shared" si="304"/>
        <v>25206.84253452663</v>
      </c>
      <c r="AJ863" s="117">
        <f t="shared" si="301"/>
        <v>24744.514366796455</v>
      </c>
      <c r="AK863" s="117">
        <f t="shared" si="305"/>
        <v>0</v>
      </c>
      <c r="AL863" s="23"/>
      <c r="AM863" s="127" t="b">
        <f t="shared" si="302"/>
        <v>0</v>
      </c>
      <c r="AN863" s="127" t="str">
        <f t="shared" si="303"/>
        <v/>
      </c>
      <c r="AO863" s="129">
        <v>1</v>
      </c>
      <c r="AP863" s="129">
        <v>1</v>
      </c>
      <c r="AQ863" s="129">
        <v>1</v>
      </c>
      <c r="AR863" s="129">
        <v>1</v>
      </c>
      <c r="AS863" s="129">
        <v>1</v>
      </c>
      <c r="AT863" s="129">
        <v>1</v>
      </c>
      <c r="AU863" s="129">
        <v>1</v>
      </c>
      <c r="AV863" s="129">
        <v>1</v>
      </c>
      <c r="AW863" s="129"/>
      <c r="AX863" s="197"/>
      <c r="AY863" s="197"/>
      <c r="AZ863" s="197"/>
      <c r="BA863" s="197">
        <v>1</v>
      </c>
      <c r="BB863" s="129">
        <v>1</v>
      </c>
      <c r="BC863" s="129">
        <v>1</v>
      </c>
      <c r="BD863" s="129">
        <v>1</v>
      </c>
      <c r="BE863" s="129">
        <v>1</v>
      </c>
      <c r="BF863" s="129">
        <v>1</v>
      </c>
      <c r="BG863" s="129">
        <v>1</v>
      </c>
      <c r="BH863" s="129">
        <v>1</v>
      </c>
      <c r="BI863" s="129">
        <v>1</v>
      </c>
      <c r="BJ863" s="129">
        <v>1</v>
      </c>
      <c r="BK863" s="129">
        <v>1</v>
      </c>
      <c r="BL863" s="129">
        <v>1</v>
      </c>
      <c r="BM863" s="197"/>
    </row>
    <row r="864" spans="1:65" x14ac:dyDescent="0.25">
      <c r="A864" s="121"/>
      <c r="B864" s="121"/>
      <c r="C864" s="172"/>
      <c r="D864" s="25"/>
      <c r="E864" s="25"/>
      <c r="F864" s="25"/>
      <c r="G864" s="25"/>
      <c r="H864" s="25"/>
      <c r="I864" s="25"/>
      <c r="J864" s="25"/>
      <c r="K864" s="25"/>
      <c r="L864" s="25"/>
      <c r="M864" s="26"/>
      <c r="N864" s="26"/>
      <c r="O864" s="26"/>
      <c r="P864" s="26"/>
      <c r="Q864" s="26"/>
      <c r="R864" s="26"/>
      <c r="S864" s="26"/>
      <c r="T864" s="26"/>
      <c r="U864" s="26"/>
      <c r="V864" s="25"/>
      <c r="W864" s="23"/>
      <c r="X864" s="23"/>
      <c r="Y864" s="23"/>
      <c r="Z864" s="23"/>
      <c r="AA864" s="23"/>
      <c r="AB864" s="23"/>
      <c r="AC864" s="23"/>
      <c r="AD864" s="23"/>
      <c r="AE864" s="23"/>
      <c r="AF864" s="23"/>
      <c r="AG864" s="23"/>
      <c r="AH864" s="23"/>
      <c r="AI864" s="54"/>
      <c r="AJ864" s="54"/>
      <c r="AK864" s="54"/>
      <c r="AL864" s="23"/>
      <c r="AM864" s="127"/>
      <c r="AN864" s="127"/>
      <c r="AO864" s="129"/>
      <c r="AP864" s="129"/>
      <c r="AQ864" s="129"/>
      <c r="AR864" s="129"/>
      <c r="AS864" s="129"/>
      <c r="AT864" s="129"/>
      <c r="AU864" s="129"/>
      <c r="AV864" s="129"/>
      <c r="AW864" s="129"/>
      <c r="AX864" s="197"/>
      <c r="AY864" s="197"/>
      <c r="AZ864" s="197"/>
      <c r="BA864" s="197"/>
      <c r="BB864" s="129"/>
      <c r="BC864" s="129"/>
      <c r="BD864" s="129"/>
      <c r="BE864" s="129"/>
      <c r="BF864" s="129"/>
      <c r="BG864" s="129"/>
      <c r="BH864" s="129"/>
      <c r="BI864" s="129"/>
      <c r="BJ864" s="129"/>
      <c r="BK864" s="129"/>
      <c r="BL864" s="129"/>
      <c r="BM864" s="197"/>
    </row>
    <row r="865" spans="1:65" x14ac:dyDescent="0.25">
      <c r="A865" s="121"/>
      <c r="B865" s="121"/>
      <c r="C865" s="172"/>
      <c r="D865" s="46"/>
      <c r="E865" s="46"/>
      <c r="F865" s="54"/>
      <c r="G865" s="54"/>
      <c r="H865" s="54"/>
      <c r="I865" s="54"/>
      <c r="J865" s="54"/>
      <c r="K865" s="54"/>
      <c r="L865" s="54"/>
      <c r="M865" s="54"/>
      <c r="N865" s="54"/>
      <c r="O865" s="54"/>
      <c r="P865" s="54"/>
      <c r="Q865" s="54"/>
      <c r="R865" s="54"/>
      <c r="S865" s="54"/>
      <c r="T865" s="54"/>
      <c r="U865" s="54"/>
      <c r="V865" s="54"/>
      <c r="W865" s="55"/>
      <c r="X865" s="55"/>
      <c r="Y865" s="55"/>
      <c r="Z865" s="55"/>
      <c r="AA865" s="55"/>
      <c r="AB865" s="55"/>
      <c r="AC865" s="55"/>
      <c r="AD865" s="55"/>
      <c r="AE865" s="55"/>
      <c r="AF865" s="55"/>
      <c r="AG865" s="55"/>
      <c r="AH865" s="55"/>
      <c r="AI865" s="54"/>
      <c r="AJ865" s="54"/>
      <c r="AK865" s="54"/>
      <c r="AL865" s="23"/>
      <c r="AM865" s="127"/>
      <c r="AN865" s="127"/>
      <c r="AO865" s="129"/>
      <c r="AP865" s="129"/>
      <c r="AQ865" s="129"/>
      <c r="AR865" s="129"/>
      <c r="AS865" s="129"/>
      <c r="AT865" s="129"/>
      <c r="AU865" s="129"/>
      <c r="AV865" s="129"/>
      <c r="AW865" s="129"/>
      <c r="AX865" s="197"/>
      <c r="AY865" s="197"/>
      <c r="AZ865" s="197"/>
      <c r="BA865" s="197"/>
      <c r="BB865" s="129"/>
      <c r="BC865" s="129"/>
      <c r="BD865" s="129"/>
      <c r="BE865" s="129"/>
      <c r="BF865" s="129"/>
      <c r="BG865" s="129"/>
      <c r="BH865" s="129"/>
      <c r="BI865" s="129"/>
      <c r="BJ865" s="129"/>
      <c r="BK865" s="129"/>
      <c r="BL865" s="129"/>
      <c r="BM865" s="197"/>
    </row>
    <row r="866" spans="1:65" x14ac:dyDescent="0.25">
      <c r="A866" s="121" t="s">
        <v>128</v>
      </c>
      <c r="B866" s="121" t="s">
        <v>22</v>
      </c>
      <c r="C866" s="172" t="s">
        <v>209</v>
      </c>
      <c r="D866" s="161">
        <v>10</v>
      </c>
      <c r="E866" s="29" t="str">
        <f t="shared" ref="E866:E871" si="306">INDEX(ra_ScName,MATCH(D866,ra_ScNumber,0))</f>
        <v>Disclosed nominal return (incl actual asset revaluations)</v>
      </c>
      <c r="F866" s="122">
        <v>411.1521474045332</v>
      </c>
      <c r="G866" s="122">
        <v>0</v>
      </c>
      <c r="H866" s="122">
        <v>43.225169999999999</v>
      </c>
      <c r="I866" s="122">
        <v>270.83940720981781</v>
      </c>
      <c r="J866" s="122">
        <v>1108.3333333333333</v>
      </c>
      <c r="K866" s="122">
        <v>42</v>
      </c>
      <c r="L866" s="122">
        <v>62.119743764765502</v>
      </c>
      <c r="M866" s="122">
        <v>0</v>
      </c>
      <c r="N866" s="122">
        <v>0</v>
      </c>
      <c r="O866" s="122">
        <v>0</v>
      </c>
      <c r="P866" s="122">
        <v>11033</v>
      </c>
      <c r="Q866" s="122">
        <v>12</v>
      </c>
      <c r="R866" s="122">
        <v>29</v>
      </c>
      <c r="S866" s="122">
        <v>178.82468</v>
      </c>
      <c r="T866" s="122">
        <v>6879</v>
      </c>
      <c r="U866" s="122">
        <v>17</v>
      </c>
      <c r="V866" s="122">
        <v>0</v>
      </c>
      <c r="W866" s="122">
        <v>494</v>
      </c>
      <c r="X866" s="122">
        <v>741.14998641119985</v>
      </c>
      <c r="Y866" s="122">
        <v>1115</v>
      </c>
      <c r="Z866" s="122">
        <v>10</v>
      </c>
      <c r="AA866" s="122">
        <v>0</v>
      </c>
      <c r="AB866" s="122">
        <v>0</v>
      </c>
      <c r="AC866" s="122">
        <v>0</v>
      </c>
      <c r="AD866" s="122">
        <v>184</v>
      </c>
      <c r="AE866" s="122">
        <v>709</v>
      </c>
      <c r="AF866" s="122">
        <v>1118.593715755967</v>
      </c>
      <c r="AG866" s="122">
        <v>1593.3255658666119</v>
      </c>
      <c r="AH866" s="122">
        <v>209</v>
      </c>
      <c r="AI866" s="117">
        <f t="shared" si="304"/>
        <v>26260.56374974623</v>
      </c>
      <c r="AJ866" s="117">
        <f t="shared" ref="AJ866:AJ871" si="307">SUM(F866:U866)</f>
        <v>20086.494481712449</v>
      </c>
      <c r="AK866" s="117">
        <f t="shared" si="305"/>
        <v>6174.0692680337788</v>
      </c>
      <c r="AL866" s="23"/>
      <c r="AM866" s="127" t="b">
        <f t="shared" ref="AM866:AM871" si="308">IF(INDEX($AO866:$BM866,0,$F$14)=1,TRUE,FALSE)</f>
        <v>1</v>
      </c>
      <c r="AN866" s="127" t="str">
        <f t="shared" ref="AN866:AN871" si="309">IF(AM866,A866&amp;", "&amp;B866,"")</f>
        <v>Regulatory tax asset value of asset disposals, 2009/10</v>
      </c>
      <c r="AO866" s="129"/>
      <c r="AP866" s="129"/>
      <c r="AQ866" s="129"/>
      <c r="AR866" s="129"/>
      <c r="AS866" s="129"/>
      <c r="AT866" s="129"/>
      <c r="AU866" s="129"/>
      <c r="AV866" s="129"/>
      <c r="AW866" s="129">
        <v>1</v>
      </c>
      <c r="AX866" s="197">
        <v>1</v>
      </c>
      <c r="AY866" s="197">
        <v>1</v>
      </c>
      <c r="AZ866" s="197">
        <v>1</v>
      </c>
      <c r="BA866" s="197"/>
      <c r="BB866" s="129"/>
      <c r="BC866" s="129"/>
      <c r="BD866" s="129"/>
      <c r="BE866" s="129"/>
      <c r="BF866" s="129"/>
      <c r="BG866" s="129"/>
      <c r="BH866" s="129"/>
      <c r="BI866" s="129"/>
      <c r="BJ866" s="129"/>
      <c r="BK866" s="129"/>
      <c r="BL866" s="129"/>
      <c r="BM866" s="197">
        <v>1</v>
      </c>
    </row>
    <row r="867" spans="1:65" x14ac:dyDescent="0.25">
      <c r="A867" s="121" t="s">
        <v>128</v>
      </c>
      <c r="B867" s="121" t="s">
        <v>23</v>
      </c>
      <c r="C867" s="172" t="s">
        <v>209</v>
      </c>
      <c r="D867" s="161">
        <v>10</v>
      </c>
      <c r="E867" s="29" t="str">
        <f t="shared" si="306"/>
        <v>Disclosed nominal return (incl actual asset revaluations)</v>
      </c>
      <c r="F867" s="122">
        <v>266.68798736824618</v>
      </c>
      <c r="G867" s="122">
        <v>322.66666666666669</v>
      </c>
      <c r="H867" s="122">
        <v>0</v>
      </c>
      <c r="I867" s="122">
        <v>669.60927628519812</v>
      </c>
      <c r="J867" s="122">
        <v>691</v>
      </c>
      <c r="K867" s="122">
        <v>121</v>
      </c>
      <c r="L867" s="122">
        <v>371.25002428476091</v>
      </c>
      <c r="M867" s="122">
        <v>0</v>
      </c>
      <c r="N867" s="122">
        <v>831</v>
      </c>
      <c r="O867" s="122">
        <v>41</v>
      </c>
      <c r="P867" s="122">
        <v>5890</v>
      </c>
      <c r="Q867" s="122">
        <v>23</v>
      </c>
      <c r="R867" s="122">
        <v>4</v>
      </c>
      <c r="S867" s="122">
        <v>349.92243000000002</v>
      </c>
      <c r="T867" s="122">
        <v>7255</v>
      </c>
      <c r="U867" s="122">
        <v>0</v>
      </c>
      <c r="V867" s="122">
        <v>0</v>
      </c>
      <c r="W867" s="122">
        <v>343</v>
      </c>
      <c r="X867" s="122">
        <v>274.12997137989601</v>
      </c>
      <c r="Y867" s="122">
        <v>1311</v>
      </c>
      <c r="Z867" s="122">
        <v>134</v>
      </c>
      <c r="AA867" s="122">
        <v>0</v>
      </c>
      <c r="AB867" s="122">
        <v>0</v>
      </c>
      <c r="AC867" s="122">
        <v>0</v>
      </c>
      <c r="AD867" s="122">
        <v>0</v>
      </c>
      <c r="AE867" s="122">
        <v>624</v>
      </c>
      <c r="AF867" s="122">
        <v>185.79490890240089</v>
      </c>
      <c r="AG867" s="122">
        <v>621.63924537282992</v>
      </c>
      <c r="AH867" s="122">
        <v>457</v>
      </c>
      <c r="AI867" s="117">
        <f t="shared" si="304"/>
        <v>20786.700510259994</v>
      </c>
      <c r="AJ867" s="117">
        <f t="shared" si="307"/>
        <v>16836.13638460487</v>
      </c>
      <c r="AK867" s="117">
        <f t="shared" si="305"/>
        <v>3950.5641256551271</v>
      </c>
      <c r="AL867" s="23"/>
      <c r="AM867" s="127" t="b">
        <f t="shared" si="308"/>
        <v>1</v>
      </c>
      <c r="AN867" s="127" t="str">
        <f t="shared" si="309"/>
        <v>Regulatory tax asset value of asset disposals, 2010/11</v>
      </c>
      <c r="AO867" s="129"/>
      <c r="AP867" s="129"/>
      <c r="AQ867" s="129"/>
      <c r="AR867" s="129"/>
      <c r="AS867" s="129"/>
      <c r="AT867" s="129"/>
      <c r="AU867" s="129"/>
      <c r="AV867" s="129"/>
      <c r="AW867" s="129">
        <v>1</v>
      </c>
      <c r="AX867" s="197">
        <v>1</v>
      </c>
      <c r="AY867" s="197">
        <v>1</v>
      </c>
      <c r="AZ867" s="197">
        <v>1</v>
      </c>
      <c r="BA867" s="197"/>
      <c r="BB867" s="129"/>
      <c r="BC867" s="129"/>
      <c r="BD867" s="129"/>
      <c r="BE867" s="129"/>
      <c r="BF867" s="129"/>
      <c r="BG867" s="129"/>
      <c r="BH867" s="129"/>
      <c r="BI867" s="129"/>
      <c r="BJ867" s="129"/>
      <c r="BK867" s="129"/>
      <c r="BL867" s="129"/>
      <c r="BM867" s="197">
        <v>1</v>
      </c>
    </row>
    <row r="868" spans="1:65" x14ac:dyDescent="0.25">
      <c r="A868" s="121" t="s">
        <v>128</v>
      </c>
      <c r="B868" s="121" t="s">
        <v>24</v>
      </c>
      <c r="C868" s="172" t="s">
        <v>209</v>
      </c>
      <c r="D868" s="161">
        <v>10</v>
      </c>
      <c r="E868" s="29" t="str">
        <f t="shared" si="306"/>
        <v>Disclosed nominal return (incl actual asset revaluations)</v>
      </c>
      <c r="F868" s="122">
        <v>212.6964444416937</v>
      </c>
      <c r="G868" s="122">
        <v>676.14285714285711</v>
      </c>
      <c r="H868" s="122">
        <v>0</v>
      </c>
      <c r="I868" s="122">
        <v>301.03580837457957</v>
      </c>
      <c r="J868" s="122">
        <v>989.28571428571433</v>
      </c>
      <c r="K868" s="122">
        <v>481</v>
      </c>
      <c r="L868" s="122">
        <v>420.03301773215298</v>
      </c>
      <c r="M868" s="122">
        <v>0</v>
      </c>
      <c r="N868" s="122">
        <v>542</v>
      </c>
      <c r="O868" s="122">
        <v>184</v>
      </c>
      <c r="P868" s="122">
        <v>9497</v>
      </c>
      <c r="Q868" s="122">
        <v>4</v>
      </c>
      <c r="R868" s="122">
        <v>5</v>
      </c>
      <c r="S868" s="122">
        <v>204.97735</v>
      </c>
      <c r="T868" s="122">
        <v>17091</v>
      </c>
      <c r="U868" s="122">
        <v>0</v>
      </c>
      <c r="V868" s="122">
        <v>0</v>
      </c>
      <c r="W868" s="122">
        <v>186</v>
      </c>
      <c r="X868" s="122">
        <v>197.44238214552379</v>
      </c>
      <c r="Y868" s="122">
        <v>151</v>
      </c>
      <c r="Z868" s="122">
        <v>0</v>
      </c>
      <c r="AA868" s="122">
        <v>0</v>
      </c>
      <c r="AB868" s="122">
        <v>0</v>
      </c>
      <c r="AC868" s="122">
        <v>0</v>
      </c>
      <c r="AD868" s="122">
        <v>9</v>
      </c>
      <c r="AE868" s="122">
        <v>798</v>
      </c>
      <c r="AF868" s="122">
        <v>210.58584667101081</v>
      </c>
      <c r="AG868" s="122">
        <v>195.38435961292589</v>
      </c>
      <c r="AH868" s="122">
        <v>353</v>
      </c>
      <c r="AI868" s="117">
        <f t="shared" si="304"/>
        <v>32708.583780406458</v>
      </c>
      <c r="AJ868" s="117">
        <f t="shared" si="307"/>
        <v>30608.171191976995</v>
      </c>
      <c r="AK868" s="117">
        <f t="shared" si="305"/>
        <v>2100.4125884294608</v>
      </c>
      <c r="AL868" s="23"/>
      <c r="AM868" s="127" t="b">
        <f t="shared" si="308"/>
        <v>1</v>
      </c>
      <c r="AN868" s="127" t="str">
        <f t="shared" si="309"/>
        <v>Regulatory tax asset value of asset disposals, 2011/12</v>
      </c>
      <c r="AO868" s="129"/>
      <c r="AP868" s="129"/>
      <c r="AQ868" s="129"/>
      <c r="AR868" s="129"/>
      <c r="AS868" s="129"/>
      <c r="AT868" s="129"/>
      <c r="AU868" s="129"/>
      <c r="AV868" s="129"/>
      <c r="AW868" s="129">
        <v>1</v>
      </c>
      <c r="AX868" s="197">
        <v>1</v>
      </c>
      <c r="AY868" s="197">
        <v>1</v>
      </c>
      <c r="AZ868" s="197">
        <v>1</v>
      </c>
      <c r="BA868" s="197"/>
      <c r="BB868" s="129"/>
      <c r="BC868" s="129"/>
      <c r="BD868" s="129"/>
      <c r="BE868" s="129"/>
      <c r="BF868" s="129"/>
      <c r="BG868" s="129"/>
      <c r="BH868" s="129"/>
      <c r="BI868" s="129"/>
      <c r="BJ868" s="129"/>
      <c r="BK868" s="129"/>
      <c r="BL868" s="129"/>
      <c r="BM868" s="197">
        <v>1</v>
      </c>
    </row>
    <row r="869" spans="1:65" x14ac:dyDescent="0.25">
      <c r="A869" s="121" t="s">
        <v>128</v>
      </c>
      <c r="B869" s="121" t="s">
        <v>25</v>
      </c>
      <c r="C869" s="172" t="s">
        <v>215</v>
      </c>
      <c r="D869" s="161">
        <v>10</v>
      </c>
      <c r="E869" s="29" t="str">
        <f t="shared" si="306"/>
        <v>Disclosed nominal return (incl actual asset revaluations)</v>
      </c>
      <c r="F869" s="122">
        <v>304.55291289610619</v>
      </c>
      <c r="G869" s="122">
        <v>0</v>
      </c>
      <c r="H869" s="122">
        <v>0</v>
      </c>
      <c r="I869" s="122">
        <v>262.78303652844357</v>
      </c>
      <c r="J869" s="122">
        <v>867.14285714285722</v>
      </c>
      <c r="K869" s="122">
        <v>235.42857142857142</v>
      </c>
      <c r="L869" s="122">
        <v>403.8176162088663</v>
      </c>
      <c r="M869" s="122">
        <v>0</v>
      </c>
      <c r="N869" s="122">
        <v>210</v>
      </c>
      <c r="O869" s="122">
        <v>10</v>
      </c>
      <c r="P869" s="122">
        <v>11557.428571428571</v>
      </c>
      <c r="Q869" s="122">
        <v>22</v>
      </c>
      <c r="R869" s="122">
        <v>54.4</v>
      </c>
      <c r="S869" s="122">
        <v>504</v>
      </c>
      <c r="T869" s="122">
        <v>3510</v>
      </c>
      <c r="U869" s="122">
        <v>0</v>
      </c>
      <c r="V869" s="122">
        <v>117</v>
      </c>
      <c r="W869" s="122">
        <v>329</v>
      </c>
      <c r="X869" s="122">
        <v>451.63917916940829</v>
      </c>
      <c r="Y869" s="122">
        <v>1815.069714</v>
      </c>
      <c r="Z869" s="122">
        <v>0</v>
      </c>
      <c r="AA869" s="122">
        <v>0</v>
      </c>
      <c r="AB869" s="122">
        <v>0</v>
      </c>
      <c r="AC869" s="122">
        <v>0</v>
      </c>
      <c r="AD869" s="122">
        <v>0</v>
      </c>
      <c r="AE869" s="122">
        <v>615</v>
      </c>
      <c r="AF869" s="122">
        <v>445.39931967969517</v>
      </c>
      <c r="AG869" s="122">
        <v>1972.3331070294132</v>
      </c>
      <c r="AH869" s="122">
        <v>216</v>
      </c>
      <c r="AI869" s="117">
        <f t="shared" si="304"/>
        <v>23902.994885511933</v>
      </c>
      <c r="AJ869" s="117">
        <f t="shared" si="307"/>
        <v>17941.553565633418</v>
      </c>
      <c r="AK869" s="117">
        <f t="shared" si="305"/>
        <v>5844.4413198785169</v>
      </c>
      <c r="AL869" s="23"/>
      <c r="AM869" s="127" t="b">
        <f t="shared" si="308"/>
        <v>1</v>
      </c>
      <c r="AN869" s="127" t="str">
        <f t="shared" si="309"/>
        <v>Regulatory tax asset value of asset disposals, 2012/13</v>
      </c>
      <c r="AO869" s="129"/>
      <c r="AP869" s="129"/>
      <c r="AQ869" s="129"/>
      <c r="AR869" s="129"/>
      <c r="AS869" s="129"/>
      <c r="AT869" s="129"/>
      <c r="AU869" s="129"/>
      <c r="AV869" s="129"/>
      <c r="AW869" s="129">
        <v>1</v>
      </c>
      <c r="AX869" s="197">
        <v>1</v>
      </c>
      <c r="AY869" s="197">
        <v>1</v>
      </c>
      <c r="AZ869" s="197">
        <v>1</v>
      </c>
      <c r="BA869" s="197"/>
      <c r="BB869" s="129"/>
      <c r="BC869" s="129"/>
      <c r="BD869" s="129"/>
      <c r="BE869" s="129"/>
      <c r="BF869" s="129"/>
      <c r="BG869" s="129"/>
      <c r="BH869" s="129"/>
      <c r="BI869" s="129"/>
      <c r="BJ869" s="129"/>
      <c r="BK869" s="129"/>
      <c r="BL869" s="129"/>
      <c r="BM869" s="197">
        <v>1</v>
      </c>
    </row>
    <row r="870" spans="1:65" x14ac:dyDescent="0.25">
      <c r="A870" s="121" t="s">
        <v>128</v>
      </c>
      <c r="B870" s="121" t="s">
        <v>26</v>
      </c>
      <c r="C870" s="172" t="s">
        <v>215</v>
      </c>
      <c r="D870" s="161">
        <v>10</v>
      </c>
      <c r="E870" s="29" t="str">
        <f t="shared" si="306"/>
        <v>Disclosed nominal return (incl actual asset revaluations)</v>
      </c>
      <c r="F870" s="122">
        <v>168.47564</v>
      </c>
      <c r="G870" s="122">
        <v>129</v>
      </c>
      <c r="H870" s="122">
        <v>1.6590100000000001</v>
      </c>
      <c r="I870" s="122">
        <v>146.0962554985295</v>
      </c>
      <c r="J870" s="122">
        <v>1276</v>
      </c>
      <c r="K870" s="122">
        <v>367.70342857142856</v>
      </c>
      <c r="L870" s="122">
        <v>99.89365296500003</v>
      </c>
      <c r="M870" s="122">
        <v>0</v>
      </c>
      <c r="N870" s="122">
        <v>94</v>
      </c>
      <c r="O870" s="122">
        <v>41.453000000000003</v>
      </c>
      <c r="P870" s="122">
        <v>8274.7208954329999</v>
      </c>
      <c r="Q870" s="122">
        <v>14</v>
      </c>
      <c r="R870" s="122">
        <v>30.563358644142859</v>
      </c>
      <c r="S870" s="122">
        <v>4821</v>
      </c>
      <c r="T870" s="122">
        <v>3136</v>
      </c>
      <c r="U870" s="122">
        <v>371.14950678397548</v>
      </c>
      <c r="V870" s="122">
        <v>23663.728571428572</v>
      </c>
      <c r="W870" s="122">
        <v>240</v>
      </c>
      <c r="X870" s="122">
        <v>372.30848564734566</v>
      </c>
      <c r="Y870" s="122">
        <v>401</v>
      </c>
      <c r="Z870" s="122">
        <v>79.823000000000008</v>
      </c>
      <c r="AA870" s="122">
        <v>125</v>
      </c>
      <c r="AB870" s="122">
        <v>226</v>
      </c>
      <c r="AC870" s="122">
        <v>0</v>
      </c>
      <c r="AD870" s="122">
        <v>0</v>
      </c>
      <c r="AE870" s="122">
        <v>1288</v>
      </c>
      <c r="AF870" s="122">
        <v>338.18510145076272</v>
      </c>
      <c r="AG870" s="122">
        <v>3420.2765128571427</v>
      </c>
      <c r="AH870" s="122">
        <v>200</v>
      </c>
      <c r="AI870" s="117">
        <f t="shared" si="304"/>
        <v>49326.036419279895</v>
      </c>
      <c r="AJ870" s="117">
        <f t="shared" si="307"/>
        <v>18971.714747896076</v>
      </c>
      <c r="AK870" s="117">
        <f t="shared" si="305"/>
        <v>6690.5930999552511</v>
      </c>
      <c r="AL870" s="23"/>
      <c r="AM870" s="127" t="b">
        <f t="shared" si="308"/>
        <v>1</v>
      </c>
      <c r="AN870" s="127" t="str">
        <f t="shared" si="309"/>
        <v>Regulatory tax asset value of asset disposals, 2013/14</v>
      </c>
      <c r="AO870" s="129"/>
      <c r="AP870" s="129"/>
      <c r="AQ870" s="129"/>
      <c r="AR870" s="129"/>
      <c r="AS870" s="129"/>
      <c r="AT870" s="129"/>
      <c r="AU870" s="129"/>
      <c r="AV870" s="129"/>
      <c r="AW870" s="129">
        <v>1</v>
      </c>
      <c r="AX870" s="197">
        <v>1</v>
      </c>
      <c r="AY870" s="197">
        <v>1</v>
      </c>
      <c r="AZ870" s="197">
        <v>1</v>
      </c>
      <c r="BA870" s="197"/>
      <c r="BB870" s="129"/>
      <c r="BC870" s="129"/>
      <c r="BD870" s="129"/>
      <c r="BE870" s="129"/>
      <c r="BF870" s="129"/>
      <c r="BG870" s="129"/>
      <c r="BH870" s="129"/>
      <c r="BI870" s="129"/>
      <c r="BJ870" s="129"/>
      <c r="BK870" s="129"/>
      <c r="BL870" s="129"/>
      <c r="BM870" s="197">
        <v>1</v>
      </c>
    </row>
    <row r="871" spans="1:65" x14ac:dyDescent="0.25">
      <c r="A871" s="121" t="s">
        <v>128</v>
      </c>
      <c r="B871" s="121" t="s">
        <v>27</v>
      </c>
      <c r="C871" s="172" t="s">
        <v>215</v>
      </c>
      <c r="D871" s="161">
        <v>10</v>
      </c>
      <c r="E871" s="29" t="str">
        <f t="shared" si="306"/>
        <v>Disclosed nominal return (incl actual asset revaluations)</v>
      </c>
      <c r="F871" s="122">
        <v>317</v>
      </c>
      <c r="G871" s="122">
        <v>0</v>
      </c>
      <c r="H871" s="122">
        <v>0</v>
      </c>
      <c r="I871" s="122">
        <v>7.6306751465664098</v>
      </c>
      <c r="J871" s="122">
        <v>3968.6236230099939</v>
      </c>
      <c r="K871" s="122">
        <v>34.938000000000002</v>
      </c>
      <c r="L871" s="122">
        <v>176.08917779214286</v>
      </c>
      <c r="M871" s="122">
        <v>0.183</v>
      </c>
      <c r="N871" s="122">
        <v>316</v>
      </c>
      <c r="O871" s="122">
        <v>939.66</v>
      </c>
      <c r="P871" s="122">
        <v>7824.0551953049999</v>
      </c>
      <c r="Q871" s="122">
        <v>0</v>
      </c>
      <c r="R871" s="122">
        <v>50.149439999999998</v>
      </c>
      <c r="S871" s="122">
        <v>3661.4285714285716</v>
      </c>
      <c r="T871" s="122">
        <v>4629</v>
      </c>
      <c r="U871" s="122">
        <v>0</v>
      </c>
      <c r="V871" s="122">
        <v>802.32099999999991</v>
      </c>
      <c r="W871" s="122">
        <v>48.045829999999995</v>
      </c>
      <c r="X871" s="122">
        <v>288.57142857142856</v>
      </c>
      <c r="Y871" s="122">
        <v>194</v>
      </c>
      <c r="Z871" s="122">
        <v>1358.125</v>
      </c>
      <c r="AA871" s="122">
        <v>70</v>
      </c>
      <c r="AB871" s="122">
        <v>199</v>
      </c>
      <c r="AC871" s="122">
        <v>0</v>
      </c>
      <c r="AD871" s="122">
        <v>7</v>
      </c>
      <c r="AE871" s="122">
        <v>1097.9069999999999</v>
      </c>
      <c r="AF871" s="122">
        <v>17.350907572058141</v>
      </c>
      <c r="AG871" s="122">
        <v>406.89404843864475</v>
      </c>
      <c r="AH871" s="122">
        <v>0</v>
      </c>
      <c r="AI871" s="117">
        <f t="shared" si="304"/>
        <v>26413.972897264401</v>
      </c>
      <c r="AJ871" s="117">
        <f t="shared" si="307"/>
        <v>21924.757682682273</v>
      </c>
      <c r="AK871" s="117">
        <f t="shared" si="305"/>
        <v>3686.8942145821316</v>
      </c>
      <c r="AL871" s="23"/>
      <c r="AM871" s="127" t="b">
        <f t="shared" si="308"/>
        <v>1</v>
      </c>
      <c r="AN871" s="127" t="str">
        <f t="shared" si="309"/>
        <v>Regulatory tax asset value of asset disposals, 2014/15</v>
      </c>
      <c r="AO871" s="129"/>
      <c r="AP871" s="129"/>
      <c r="AQ871" s="129"/>
      <c r="AR871" s="129"/>
      <c r="AS871" s="129"/>
      <c r="AT871" s="129"/>
      <c r="AU871" s="129"/>
      <c r="AV871" s="129"/>
      <c r="AW871" s="129">
        <v>1</v>
      </c>
      <c r="AX871" s="197">
        <v>1</v>
      </c>
      <c r="AY871" s="197">
        <v>1</v>
      </c>
      <c r="AZ871" s="197">
        <v>1</v>
      </c>
      <c r="BA871" s="197"/>
      <c r="BB871" s="129"/>
      <c r="BC871" s="129"/>
      <c r="BD871" s="129"/>
      <c r="BE871" s="129"/>
      <c r="BF871" s="129"/>
      <c r="BG871" s="129"/>
      <c r="BH871" s="129"/>
      <c r="BI871" s="129"/>
      <c r="BJ871" s="129"/>
      <c r="BK871" s="129"/>
      <c r="BL871" s="129"/>
      <c r="BM871" s="197">
        <v>1</v>
      </c>
    </row>
    <row r="872" spans="1:65" x14ac:dyDescent="0.25">
      <c r="A872" s="121"/>
      <c r="B872" s="121"/>
      <c r="C872" s="172"/>
      <c r="D872" s="25"/>
      <c r="E872" s="25"/>
      <c r="F872" s="25"/>
      <c r="G872" s="25"/>
      <c r="H872" s="25"/>
      <c r="I872" s="25"/>
      <c r="J872" s="25"/>
      <c r="K872" s="25"/>
      <c r="L872" s="25"/>
      <c r="M872" s="26"/>
      <c r="N872" s="26"/>
      <c r="O872" s="26"/>
      <c r="P872" s="26"/>
      <c r="Q872" s="26"/>
      <c r="R872" s="26"/>
      <c r="S872" s="26"/>
      <c r="T872" s="26"/>
      <c r="U872" s="26"/>
      <c r="V872" s="25"/>
      <c r="W872" s="23"/>
      <c r="X872" s="23"/>
      <c r="Y872" s="23"/>
      <c r="Z872" s="23"/>
      <c r="AA872" s="23"/>
      <c r="AB872" s="23"/>
      <c r="AC872" s="23"/>
      <c r="AD872" s="23"/>
      <c r="AE872" s="23"/>
      <c r="AF872" s="23"/>
      <c r="AG872" s="23"/>
      <c r="AH872" s="23"/>
      <c r="AI872" s="54"/>
      <c r="AJ872" s="54"/>
      <c r="AK872" s="54"/>
      <c r="AL872" s="23"/>
      <c r="AM872" s="127"/>
      <c r="AN872" s="127"/>
      <c r="AO872" s="129"/>
      <c r="AP872" s="129"/>
      <c r="AQ872" s="129"/>
      <c r="AR872" s="129"/>
      <c r="AS872" s="129"/>
      <c r="AT872" s="129"/>
      <c r="AU872" s="129"/>
      <c r="AV872" s="129"/>
      <c r="AW872" s="129"/>
      <c r="AX872" s="197"/>
      <c r="AY872" s="197"/>
      <c r="AZ872" s="197"/>
      <c r="BA872" s="197"/>
      <c r="BB872" s="129"/>
      <c r="BC872" s="129"/>
      <c r="BD872" s="129"/>
      <c r="BE872" s="129"/>
      <c r="BF872" s="129"/>
      <c r="BG872" s="129"/>
      <c r="BH872" s="129"/>
      <c r="BI872" s="129"/>
      <c r="BJ872" s="129"/>
      <c r="BK872" s="129"/>
      <c r="BL872" s="129"/>
      <c r="BM872" s="197"/>
    </row>
    <row r="873" spans="1:65" x14ac:dyDescent="0.25">
      <c r="A873" s="121"/>
      <c r="B873" s="121"/>
      <c r="C873" s="172"/>
      <c r="D873" s="46"/>
      <c r="E873" s="46"/>
      <c r="F873" s="54"/>
      <c r="G873" s="54"/>
      <c r="H873" s="54"/>
      <c r="I873" s="54"/>
      <c r="J873" s="54"/>
      <c r="K873" s="54"/>
      <c r="L873" s="54"/>
      <c r="M873" s="54"/>
      <c r="N873" s="54"/>
      <c r="O873" s="54"/>
      <c r="P873" s="54"/>
      <c r="Q873" s="54"/>
      <c r="R873" s="54"/>
      <c r="S873" s="54"/>
      <c r="T873" s="54"/>
      <c r="U873" s="54"/>
      <c r="V873" s="54"/>
      <c r="W873" s="55"/>
      <c r="X873" s="55"/>
      <c r="Y873" s="55"/>
      <c r="Z873" s="55"/>
      <c r="AA873" s="55"/>
      <c r="AB873" s="55"/>
      <c r="AC873" s="55"/>
      <c r="AD873" s="55"/>
      <c r="AE873" s="55"/>
      <c r="AF873" s="55"/>
      <c r="AG873" s="55"/>
      <c r="AH873" s="55"/>
      <c r="AI873" s="54"/>
      <c r="AJ873" s="54"/>
      <c r="AK873" s="54"/>
      <c r="AL873" s="23"/>
      <c r="AM873" s="127"/>
      <c r="AN873" s="127"/>
      <c r="AO873" s="129"/>
      <c r="AP873" s="129"/>
      <c r="AQ873" s="129"/>
      <c r="AR873" s="129"/>
      <c r="AS873" s="129"/>
      <c r="AT873" s="129"/>
      <c r="AU873" s="129"/>
      <c r="AV873" s="129"/>
      <c r="AW873" s="129"/>
      <c r="AX873" s="197"/>
      <c r="AY873" s="197"/>
      <c r="AZ873" s="197"/>
      <c r="BA873" s="197"/>
      <c r="BB873" s="129"/>
      <c r="BC873" s="129"/>
      <c r="BD873" s="129"/>
      <c r="BE873" s="129"/>
      <c r="BF873" s="129"/>
      <c r="BG873" s="129"/>
      <c r="BH873" s="129"/>
      <c r="BI873" s="129"/>
      <c r="BJ873" s="129"/>
      <c r="BK873" s="129"/>
      <c r="BL873" s="129"/>
      <c r="BM873" s="197"/>
    </row>
    <row r="874" spans="1:65" x14ac:dyDescent="0.25">
      <c r="A874" s="121" t="s">
        <v>86</v>
      </c>
      <c r="B874" s="121" t="s">
        <v>22</v>
      </c>
      <c r="C874" s="172" t="s">
        <v>222</v>
      </c>
      <c r="D874" s="161">
        <v>1</v>
      </c>
      <c r="E874" s="29" t="str">
        <f t="shared" ref="E874:E879" si="310">INDEX(ra_ScName,MATCH(D874,ra_ScNumber,0))</f>
        <v>Expected nominal return (incl forecast asset revaluations)</v>
      </c>
      <c r="F874" s="54"/>
      <c r="G874" s="54"/>
      <c r="H874" s="54"/>
      <c r="I874" s="54"/>
      <c r="J874" s="54"/>
      <c r="K874" s="54"/>
      <c r="L874" s="54"/>
      <c r="M874" s="54"/>
      <c r="N874" s="54"/>
      <c r="O874" s="54"/>
      <c r="P874" s="54"/>
      <c r="Q874" s="54"/>
      <c r="R874" s="54"/>
      <c r="S874" s="54"/>
      <c r="T874" s="54"/>
      <c r="U874" s="54"/>
      <c r="V874" s="54"/>
      <c r="W874" s="54"/>
      <c r="X874" s="54"/>
      <c r="Y874" s="54"/>
      <c r="Z874" s="54"/>
      <c r="AA874" s="54"/>
      <c r="AB874" s="54"/>
      <c r="AC874" s="54"/>
      <c r="AD874" s="54"/>
      <c r="AE874" s="54"/>
      <c r="AF874" s="54"/>
      <c r="AG874" s="54"/>
      <c r="AH874" s="54"/>
      <c r="AI874" s="117">
        <f t="shared" si="304"/>
        <v>0</v>
      </c>
      <c r="AJ874" s="117">
        <f t="shared" ref="AJ874:AJ879" si="311">SUM(F874:U874)</f>
        <v>0</v>
      </c>
      <c r="AK874" s="117">
        <f t="shared" si="305"/>
        <v>0</v>
      </c>
      <c r="AL874" s="23"/>
      <c r="AM874" s="127" t="b">
        <f t="shared" ref="AM874:AM879" si="312">IF(INDEX($AO874:$BM874,0,$F$14)=1,TRUE,FALSE)</f>
        <v>0</v>
      </c>
      <c r="AN874" s="127" t="str">
        <f t="shared" ref="AN874:AN879" si="313">IF(AM874,A874&amp;", "&amp;B874,"")</f>
        <v/>
      </c>
      <c r="AO874" s="129">
        <v>1</v>
      </c>
      <c r="AP874" s="129">
        <v>1</v>
      </c>
      <c r="AQ874" s="129">
        <v>1</v>
      </c>
      <c r="AR874" s="129">
        <v>1</v>
      </c>
      <c r="AS874" s="129">
        <v>1</v>
      </c>
      <c r="AT874" s="129">
        <v>1</v>
      </c>
      <c r="AU874" s="129">
        <v>1</v>
      </c>
      <c r="AV874" s="129">
        <v>1</v>
      </c>
      <c r="AW874" s="129"/>
      <c r="AX874" s="197"/>
      <c r="AY874" s="197"/>
      <c r="AZ874" s="197"/>
      <c r="BA874" s="197">
        <v>1</v>
      </c>
      <c r="BB874" s="129">
        <v>1</v>
      </c>
      <c r="BC874" s="129">
        <v>1</v>
      </c>
      <c r="BD874" s="129">
        <v>1</v>
      </c>
      <c r="BE874" s="129">
        <v>1</v>
      </c>
      <c r="BF874" s="129">
        <v>1</v>
      </c>
      <c r="BG874" s="129">
        <v>1</v>
      </c>
      <c r="BH874" s="129">
        <v>1</v>
      </c>
      <c r="BI874" s="129">
        <v>1</v>
      </c>
      <c r="BJ874" s="129">
        <v>1</v>
      </c>
      <c r="BK874" s="129">
        <v>1</v>
      </c>
      <c r="BL874" s="129">
        <v>1</v>
      </c>
      <c r="BM874" s="197"/>
    </row>
    <row r="875" spans="1:65" x14ac:dyDescent="0.25">
      <c r="A875" s="121" t="s">
        <v>86</v>
      </c>
      <c r="B875" s="121" t="s">
        <v>23</v>
      </c>
      <c r="C875" s="172" t="s">
        <v>222</v>
      </c>
      <c r="D875" s="161">
        <v>1</v>
      </c>
      <c r="E875" s="29" t="str">
        <f t="shared" si="310"/>
        <v>Expected nominal return (incl forecast asset revaluations)</v>
      </c>
      <c r="F875" s="54"/>
      <c r="G875" s="54"/>
      <c r="H875" s="54"/>
      <c r="I875" s="54"/>
      <c r="J875" s="54"/>
      <c r="K875" s="54"/>
      <c r="L875" s="54"/>
      <c r="M875" s="54"/>
      <c r="N875" s="54"/>
      <c r="O875" s="54"/>
      <c r="P875" s="54"/>
      <c r="Q875" s="54"/>
      <c r="R875" s="54"/>
      <c r="S875" s="54"/>
      <c r="T875" s="54"/>
      <c r="U875" s="54"/>
      <c r="V875" s="54"/>
      <c r="W875" s="54"/>
      <c r="X875" s="54"/>
      <c r="Y875" s="54"/>
      <c r="Z875" s="54"/>
      <c r="AA875" s="54"/>
      <c r="AB875" s="54"/>
      <c r="AC875" s="54"/>
      <c r="AD875" s="54"/>
      <c r="AE875" s="54"/>
      <c r="AF875" s="54"/>
      <c r="AG875" s="54"/>
      <c r="AH875" s="54"/>
      <c r="AI875" s="117">
        <f t="shared" si="304"/>
        <v>0</v>
      </c>
      <c r="AJ875" s="117">
        <f t="shared" si="311"/>
        <v>0</v>
      </c>
      <c r="AK875" s="117">
        <f t="shared" si="305"/>
        <v>0</v>
      </c>
      <c r="AL875" s="23"/>
      <c r="AM875" s="127" t="b">
        <f t="shared" si="312"/>
        <v>0</v>
      </c>
      <c r="AN875" s="127" t="str">
        <f t="shared" si="313"/>
        <v/>
      </c>
      <c r="AO875" s="129">
        <v>1</v>
      </c>
      <c r="AP875" s="129">
        <v>1</v>
      </c>
      <c r="AQ875" s="129">
        <v>1</v>
      </c>
      <c r="AR875" s="129">
        <v>1</v>
      </c>
      <c r="AS875" s="129">
        <v>1</v>
      </c>
      <c r="AT875" s="129">
        <v>1</v>
      </c>
      <c r="AU875" s="129">
        <v>1</v>
      </c>
      <c r="AV875" s="129">
        <v>1</v>
      </c>
      <c r="AW875" s="129"/>
      <c r="AX875" s="197"/>
      <c r="AY875" s="197"/>
      <c r="AZ875" s="197"/>
      <c r="BA875" s="197">
        <v>1</v>
      </c>
      <c r="BB875" s="129">
        <v>1</v>
      </c>
      <c r="BC875" s="129">
        <v>1</v>
      </c>
      <c r="BD875" s="129">
        <v>1</v>
      </c>
      <c r="BE875" s="129">
        <v>1</v>
      </c>
      <c r="BF875" s="129">
        <v>1</v>
      </c>
      <c r="BG875" s="129">
        <v>1</v>
      </c>
      <c r="BH875" s="129">
        <v>1</v>
      </c>
      <c r="BI875" s="129">
        <v>1</v>
      </c>
      <c r="BJ875" s="129">
        <v>1</v>
      </c>
      <c r="BK875" s="129">
        <v>1</v>
      </c>
      <c r="BL875" s="129">
        <v>1</v>
      </c>
      <c r="BM875" s="197"/>
    </row>
    <row r="876" spans="1:65" x14ac:dyDescent="0.25">
      <c r="A876" s="121" t="s">
        <v>86</v>
      </c>
      <c r="B876" s="121" t="s">
        <v>24</v>
      </c>
      <c r="C876" s="172" t="s">
        <v>222</v>
      </c>
      <c r="D876" s="161">
        <v>1</v>
      </c>
      <c r="E876" s="29" t="str">
        <f t="shared" si="310"/>
        <v>Expected nominal return (incl forecast asset revaluations)</v>
      </c>
      <c r="F876" s="54"/>
      <c r="G876" s="54"/>
      <c r="H876" s="54"/>
      <c r="I876" s="54"/>
      <c r="J876" s="54"/>
      <c r="K876" s="54"/>
      <c r="L876" s="54"/>
      <c r="M876" s="54"/>
      <c r="N876" s="54"/>
      <c r="O876" s="54"/>
      <c r="P876" s="54"/>
      <c r="Q876" s="54"/>
      <c r="R876" s="54"/>
      <c r="S876" s="54"/>
      <c r="T876" s="54"/>
      <c r="U876" s="54"/>
      <c r="V876" s="54"/>
      <c r="W876" s="54"/>
      <c r="X876" s="54"/>
      <c r="Y876" s="54"/>
      <c r="Z876" s="54"/>
      <c r="AA876" s="54"/>
      <c r="AB876" s="54"/>
      <c r="AC876" s="54"/>
      <c r="AD876" s="54"/>
      <c r="AE876" s="54"/>
      <c r="AF876" s="54"/>
      <c r="AG876" s="54"/>
      <c r="AH876" s="54"/>
      <c r="AI876" s="117">
        <f t="shared" si="304"/>
        <v>0</v>
      </c>
      <c r="AJ876" s="117">
        <f t="shared" si="311"/>
        <v>0</v>
      </c>
      <c r="AK876" s="117">
        <f t="shared" si="305"/>
        <v>0</v>
      </c>
      <c r="AL876" s="23"/>
      <c r="AM876" s="127" t="b">
        <f t="shared" si="312"/>
        <v>0</v>
      </c>
      <c r="AN876" s="127" t="str">
        <f t="shared" si="313"/>
        <v/>
      </c>
      <c r="AO876" s="129">
        <v>1</v>
      </c>
      <c r="AP876" s="129">
        <v>1</v>
      </c>
      <c r="AQ876" s="129">
        <v>1</v>
      </c>
      <c r="AR876" s="129">
        <v>1</v>
      </c>
      <c r="AS876" s="129">
        <v>1</v>
      </c>
      <c r="AT876" s="129">
        <v>1</v>
      </c>
      <c r="AU876" s="129">
        <v>1</v>
      </c>
      <c r="AV876" s="129">
        <v>1</v>
      </c>
      <c r="AW876" s="129"/>
      <c r="AX876" s="197"/>
      <c r="AY876" s="197"/>
      <c r="AZ876" s="197"/>
      <c r="BA876" s="197">
        <v>1</v>
      </c>
      <c r="BB876" s="129">
        <v>1</v>
      </c>
      <c r="BC876" s="129">
        <v>1</v>
      </c>
      <c r="BD876" s="129">
        <v>1</v>
      </c>
      <c r="BE876" s="129">
        <v>1</v>
      </c>
      <c r="BF876" s="129">
        <v>1</v>
      </c>
      <c r="BG876" s="129">
        <v>1</v>
      </c>
      <c r="BH876" s="129">
        <v>1</v>
      </c>
      <c r="BI876" s="129">
        <v>1</v>
      </c>
      <c r="BJ876" s="129">
        <v>1</v>
      </c>
      <c r="BK876" s="129">
        <v>1</v>
      </c>
      <c r="BL876" s="129">
        <v>1</v>
      </c>
      <c r="BM876" s="197"/>
    </row>
    <row r="877" spans="1:65" x14ac:dyDescent="0.25">
      <c r="A877" s="121" t="s">
        <v>86</v>
      </c>
      <c r="B877" s="121" t="s">
        <v>25</v>
      </c>
      <c r="C877" s="172" t="s">
        <v>222</v>
      </c>
      <c r="D877" s="161">
        <v>1</v>
      </c>
      <c r="E877" s="29" t="str">
        <f t="shared" si="310"/>
        <v>Expected nominal return (incl forecast asset revaluations)</v>
      </c>
      <c r="F877" s="54"/>
      <c r="G877" s="54"/>
      <c r="H877" s="54"/>
      <c r="I877" s="54"/>
      <c r="J877" s="54"/>
      <c r="K877" s="54"/>
      <c r="L877" s="54"/>
      <c r="M877" s="54"/>
      <c r="N877" s="54"/>
      <c r="O877" s="54"/>
      <c r="P877" s="54"/>
      <c r="Q877" s="54"/>
      <c r="R877" s="54"/>
      <c r="S877" s="54"/>
      <c r="T877" s="54"/>
      <c r="U877" s="54"/>
      <c r="V877" s="54"/>
      <c r="W877" s="54"/>
      <c r="X877" s="54"/>
      <c r="Y877" s="54"/>
      <c r="Z877" s="54"/>
      <c r="AA877" s="54"/>
      <c r="AB877" s="54"/>
      <c r="AC877" s="54"/>
      <c r="AD877" s="54"/>
      <c r="AE877" s="54"/>
      <c r="AF877" s="54"/>
      <c r="AG877" s="54"/>
      <c r="AH877" s="54"/>
      <c r="AI877" s="117">
        <f t="shared" si="304"/>
        <v>0</v>
      </c>
      <c r="AJ877" s="117">
        <f t="shared" si="311"/>
        <v>0</v>
      </c>
      <c r="AK877" s="117">
        <f t="shared" si="305"/>
        <v>0</v>
      </c>
      <c r="AL877" s="23"/>
      <c r="AM877" s="127" t="b">
        <f t="shared" si="312"/>
        <v>0</v>
      </c>
      <c r="AN877" s="127" t="str">
        <f t="shared" si="313"/>
        <v/>
      </c>
      <c r="AO877" s="129">
        <v>1</v>
      </c>
      <c r="AP877" s="129">
        <v>1</v>
      </c>
      <c r="AQ877" s="129">
        <v>1</v>
      </c>
      <c r="AR877" s="129">
        <v>1</v>
      </c>
      <c r="AS877" s="129">
        <v>1</v>
      </c>
      <c r="AT877" s="129">
        <v>1</v>
      </c>
      <c r="AU877" s="129">
        <v>1</v>
      </c>
      <c r="AV877" s="129">
        <v>1</v>
      </c>
      <c r="AW877" s="129"/>
      <c r="AX877" s="197"/>
      <c r="AY877" s="197"/>
      <c r="AZ877" s="197"/>
      <c r="BA877" s="197">
        <v>1</v>
      </c>
      <c r="BB877" s="129">
        <v>1</v>
      </c>
      <c r="BC877" s="129">
        <v>1</v>
      </c>
      <c r="BD877" s="129">
        <v>1</v>
      </c>
      <c r="BE877" s="129">
        <v>1</v>
      </c>
      <c r="BF877" s="129">
        <v>1</v>
      </c>
      <c r="BG877" s="129">
        <v>1</v>
      </c>
      <c r="BH877" s="129">
        <v>1</v>
      </c>
      <c r="BI877" s="129">
        <v>1</v>
      </c>
      <c r="BJ877" s="129">
        <v>1</v>
      </c>
      <c r="BK877" s="129">
        <v>1</v>
      </c>
      <c r="BL877" s="129">
        <v>1</v>
      </c>
      <c r="BM877" s="197"/>
    </row>
    <row r="878" spans="1:65" x14ac:dyDescent="0.25">
      <c r="A878" s="121" t="s">
        <v>86</v>
      </c>
      <c r="B878" s="121" t="s">
        <v>26</v>
      </c>
      <c r="C878" s="172" t="s">
        <v>222</v>
      </c>
      <c r="D878" s="161">
        <v>1</v>
      </c>
      <c r="E878" s="29" t="str">
        <f t="shared" si="310"/>
        <v>Expected nominal return (incl forecast asset revaluations)</v>
      </c>
      <c r="F878" s="54"/>
      <c r="G878" s="54"/>
      <c r="H878" s="54"/>
      <c r="I878" s="54"/>
      <c r="J878" s="54"/>
      <c r="K878" s="54"/>
      <c r="L878" s="54"/>
      <c r="M878" s="54"/>
      <c r="N878" s="54"/>
      <c r="O878" s="54"/>
      <c r="P878" s="54"/>
      <c r="Q878" s="54"/>
      <c r="R878" s="54"/>
      <c r="S878" s="54"/>
      <c r="T878" s="54"/>
      <c r="U878" s="54"/>
      <c r="V878" s="54"/>
      <c r="W878" s="54"/>
      <c r="X878" s="54"/>
      <c r="Y878" s="54"/>
      <c r="Z878" s="54"/>
      <c r="AA878" s="54"/>
      <c r="AB878" s="54"/>
      <c r="AC878" s="54"/>
      <c r="AD878" s="54"/>
      <c r="AE878" s="54"/>
      <c r="AF878" s="54"/>
      <c r="AG878" s="54"/>
      <c r="AH878" s="54"/>
      <c r="AI878" s="117">
        <f t="shared" si="304"/>
        <v>0</v>
      </c>
      <c r="AJ878" s="117">
        <f t="shared" si="311"/>
        <v>0</v>
      </c>
      <c r="AK878" s="117">
        <f t="shared" si="305"/>
        <v>0</v>
      </c>
      <c r="AL878" s="23"/>
      <c r="AM878" s="127" t="b">
        <f t="shared" si="312"/>
        <v>0</v>
      </c>
      <c r="AN878" s="127" t="str">
        <f t="shared" si="313"/>
        <v/>
      </c>
      <c r="AO878" s="129">
        <v>1</v>
      </c>
      <c r="AP878" s="129">
        <v>1</v>
      </c>
      <c r="AQ878" s="129">
        <v>1</v>
      </c>
      <c r="AR878" s="129">
        <v>1</v>
      </c>
      <c r="AS878" s="129">
        <v>1</v>
      </c>
      <c r="AT878" s="129">
        <v>1</v>
      </c>
      <c r="AU878" s="129">
        <v>1</v>
      </c>
      <c r="AV878" s="129">
        <v>1</v>
      </c>
      <c r="AW878" s="129"/>
      <c r="AX878" s="197"/>
      <c r="AY878" s="197"/>
      <c r="AZ878" s="197"/>
      <c r="BA878" s="197">
        <v>1</v>
      </c>
      <c r="BB878" s="129">
        <v>1</v>
      </c>
      <c r="BC878" s="129">
        <v>1</v>
      </c>
      <c r="BD878" s="129">
        <v>1</v>
      </c>
      <c r="BE878" s="129">
        <v>1</v>
      </c>
      <c r="BF878" s="129">
        <v>1</v>
      </c>
      <c r="BG878" s="129">
        <v>1</v>
      </c>
      <c r="BH878" s="129">
        <v>1</v>
      </c>
      <c r="BI878" s="129">
        <v>1</v>
      </c>
      <c r="BJ878" s="129">
        <v>1</v>
      </c>
      <c r="BK878" s="129">
        <v>1</v>
      </c>
      <c r="BL878" s="129">
        <v>1</v>
      </c>
      <c r="BM878" s="197"/>
    </row>
    <row r="879" spans="1:65" x14ac:dyDescent="0.25">
      <c r="A879" s="121" t="s">
        <v>86</v>
      </c>
      <c r="B879" s="121" t="s">
        <v>27</v>
      </c>
      <c r="C879" s="172" t="s">
        <v>222</v>
      </c>
      <c r="D879" s="161">
        <v>1</v>
      </c>
      <c r="E879" s="29" t="str">
        <f t="shared" si="310"/>
        <v>Expected nominal return (incl forecast asset revaluations)</v>
      </c>
      <c r="F879" s="54"/>
      <c r="G879" s="54"/>
      <c r="H879" s="54"/>
      <c r="I879" s="54"/>
      <c r="J879" s="54"/>
      <c r="K879" s="54"/>
      <c r="L879" s="54"/>
      <c r="M879" s="54"/>
      <c r="N879" s="54"/>
      <c r="O879" s="54"/>
      <c r="P879" s="54"/>
      <c r="Q879" s="54"/>
      <c r="R879" s="54"/>
      <c r="S879" s="54"/>
      <c r="T879" s="54"/>
      <c r="U879" s="54"/>
      <c r="V879" s="54"/>
      <c r="W879" s="54"/>
      <c r="X879" s="54"/>
      <c r="Y879" s="54"/>
      <c r="Z879" s="54"/>
      <c r="AA879" s="54"/>
      <c r="AB879" s="54"/>
      <c r="AC879" s="54"/>
      <c r="AD879" s="54"/>
      <c r="AE879" s="54"/>
      <c r="AF879" s="54"/>
      <c r="AG879" s="54"/>
      <c r="AH879" s="54"/>
      <c r="AI879" s="117">
        <f t="shared" si="304"/>
        <v>0</v>
      </c>
      <c r="AJ879" s="117">
        <f t="shared" si="311"/>
        <v>0</v>
      </c>
      <c r="AK879" s="117">
        <f t="shared" si="305"/>
        <v>0</v>
      </c>
      <c r="AL879" s="23"/>
      <c r="AM879" s="127" t="b">
        <f t="shared" si="312"/>
        <v>0</v>
      </c>
      <c r="AN879" s="127" t="str">
        <f t="shared" si="313"/>
        <v/>
      </c>
      <c r="AO879" s="129">
        <v>1</v>
      </c>
      <c r="AP879" s="129">
        <v>1</v>
      </c>
      <c r="AQ879" s="129">
        <v>1</v>
      </c>
      <c r="AR879" s="129">
        <v>1</v>
      </c>
      <c r="AS879" s="129">
        <v>1</v>
      </c>
      <c r="AT879" s="129">
        <v>1</v>
      </c>
      <c r="AU879" s="129">
        <v>1</v>
      </c>
      <c r="AV879" s="129">
        <v>1</v>
      </c>
      <c r="AW879" s="129"/>
      <c r="AX879" s="197"/>
      <c r="AY879" s="197"/>
      <c r="AZ879" s="197"/>
      <c r="BA879" s="197">
        <v>1</v>
      </c>
      <c r="BB879" s="129">
        <v>1</v>
      </c>
      <c r="BC879" s="129">
        <v>1</v>
      </c>
      <c r="BD879" s="129">
        <v>1</v>
      </c>
      <c r="BE879" s="129">
        <v>1</v>
      </c>
      <c r="BF879" s="129">
        <v>1</v>
      </c>
      <c r="BG879" s="129">
        <v>1</v>
      </c>
      <c r="BH879" s="129">
        <v>1</v>
      </c>
      <c r="BI879" s="129">
        <v>1</v>
      </c>
      <c r="BJ879" s="129">
        <v>1</v>
      </c>
      <c r="BK879" s="129">
        <v>1</v>
      </c>
      <c r="BL879" s="129">
        <v>1</v>
      </c>
      <c r="BM879" s="197"/>
    </row>
    <row r="880" spans="1:65" x14ac:dyDescent="0.25">
      <c r="A880" s="121"/>
      <c r="B880" s="121"/>
      <c r="C880" s="172"/>
      <c r="D880" s="25"/>
      <c r="E880" s="25"/>
      <c r="F880" s="25"/>
      <c r="G880" s="25"/>
      <c r="H880" s="25"/>
      <c r="I880" s="25"/>
      <c r="J880" s="25"/>
      <c r="K880" s="25"/>
      <c r="L880" s="25"/>
      <c r="M880" s="26"/>
      <c r="N880" s="26"/>
      <c r="O880" s="26"/>
      <c r="P880" s="26"/>
      <c r="Q880" s="26"/>
      <c r="R880" s="26"/>
      <c r="S880" s="26"/>
      <c r="T880" s="26"/>
      <c r="U880" s="26"/>
      <c r="V880" s="25"/>
      <c r="W880" s="23"/>
      <c r="X880" s="23"/>
      <c r="Y880" s="23"/>
      <c r="Z880" s="23"/>
      <c r="AA880" s="23"/>
      <c r="AB880" s="23"/>
      <c r="AC880" s="23"/>
      <c r="AD880" s="23"/>
      <c r="AE880" s="23"/>
      <c r="AF880" s="23"/>
      <c r="AG880" s="23"/>
      <c r="AH880" s="23"/>
      <c r="AI880" s="54"/>
      <c r="AJ880" s="54"/>
      <c r="AK880" s="54"/>
      <c r="AL880" s="23"/>
      <c r="AM880" s="127"/>
      <c r="AN880" s="127"/>
      <c r="AO880" s="129"/>
      <c r="AP880" s="129"/>
      <c r="AQ880" s="129"/>
      <c r="AR880" s="129"/>
      <c r="AS880" s="129"/>
      <c r="AT880" s="129"/>
      <c r="AU880" s="129"/>
      <c r="AV880" s="129"/>
      <c r="AW880" s="129"/>
      <c r="AX880" s="197"/>
      <c r="AY880" s="197"/>
      <c r="AZ880" s="197"/>
      <c r="BA880" s="197"/>
      <c r="BB880" s="129"/>
      <c r="BC880" s="129"/>
      <c r="BD880" s="129"/>
      <c r="BE880" s="129"/>
      <c r="BF880" s="129"/>
      <c r="BG880" s="129"/>
      <c r="BH880" s="129"/>
      <c r="BI880" s="129"/>
      <c r="BJ880" s="129"/>
      <c r="BK880" s="129"/>
      <c r="BL880" s="129"/>
      <c r="BM880" s="197"/>
    </row>
    <row r="881" spans="1:65" x14ac:dyDescent="0.25">
      <c r="A881" s="121"/>
      <c r="B881" s="121"/>
      <c r="C881" s="172"/>
      <c r="D881" s="46"/>
      <c r="E881" s="46"/>
      <c r="F881" s="54"/>
      <c r="G881" s="54"/>
      <c r="H881" s="54"/>
      <c r="I881" s="54"/>
      <c r="J881" s="54"/>
      <c r="K881" s="54"/>
      <c r="L881" s="54"/>
      <c r="M881" s="54"/>
      <c r="N881" s="54"/>
      <c r="O881" s="54"/>
      <c r="P881" s="54"/>
      <c r="Q881" s="54"/>
      <c r="R881" s="54"/>
      <c r="S881" s="54"/>
      <c r="T881" s="54"/>
      <c r="U881" s="54"/>
      <c r="V881" s="54"/>
      <c r="W881" s="55"/>
      <c r="X881" s="55"/>
      <c r="Y881" s="55"/>
      <c r="Z881" s="55"/>
      <c r="AA881" s="55"/>
      <c r="AB881" s="55"/>
      <c r="AC881" s="55"/>
      <c r="AD881" s="55"/>
      <c r="AE881" s="55"/>
      <c r="AF881" s="55"/>
      <c r="AG881" s="55"/>
      <c r="AH881" s="55"/>
      <c r="AI881" s="54"/>
      <c r="AJ881" s="54"/>
      <c r="AK881" s="54"/>
      <c r="AL881" s="23"/>
      <c r="AM881" s="127"/>
      <c r="AN881" s="127"/>
      <c r="AO881" s="129"/>
      <c r="AP881" s="129"/>
      <c r="AQ881" s="129"/>
      <c r="AR881" s="129"/>
      <c r="AS881" s="129"/>
      <c r="AT881" s="129"/>
      <c r="AU881" s="129"/>
      <c r="AV881" s="129"/>
      <c r="AW881" s="129"/>
      <c r="AX881" s="197"/>
      <c r="AY881" s="197"/>
      <c r="AZ881" s="197"/>
      <c r="BA881" s="197"/>
      <c r="BB881" s="129"/>
      <c r="BC881" s="129"/>
      <c r="BD881" s="129"/>
      <c r="BE881" s="129"/>
      <c r="BF881" s="129"/>
      <c r="BG881" s="129"/>
      <c r="BH881" s="129"/>
      <c r="BI881" s="129"/>
      <c r="BJ881" s="129"/>
      <c r="BK881" s="129"/>
      <c r="BL881" s="129"/>
      <c r="BM881" s="197"/>
    </row>
    <row r="882" spans="1:65" x14ac:dyDescent="0.25">
      <c r="A882" s="121" t="s">
        <v>86</v>
      </c>
      <c r="B882" s="121" t="s">
        <v>22</v>
      </c>
      <c r="C882" s="172" t="s">
        <v>214</v>
      </c>
      <c r="D882" s="161">
        <v>10</v>
      </c>
      <c r="E882" s="29" t="str">
        <f t="shared" ref="E882:E887" si="314">INDEX(ra_ScName,MATCH(D882,ra_ScNumber,0))</f>
        <v>Disclosed nominal return (incl actual asset revaluations)</v>
      </c>
      <c r="F882" s="122">
        <v>0</v>
      </c>
      <c r="G882" s="122">
        <v>0</v>
      </c>
      <c r="H882" s="122">
        <v>0</v>
      </c>
      <c r="I882" s="122">
        <v>0</v>
      </c>
      <c r="J882" s="122">
        <v>0</v>
      </c>
      <c r="K882" s="122">
        <v>5</v>
      </c>
      <c r="L882" s="122">
        <v>0</v>
      </c>
      <c r="M882" s="122">
        <v>0</v>
      </c>
      <c r="N882" s="122">
        <v>48</v>
      </c>
      <c r="O882" s="122">
        <v>0</v>
      </c>
      <c r="P882" s="122">
        <v>3101</v>
      </c>
      <c r="Q882" s="122">
        <v>0</v>
      </c>
      <c r="R882" s="122">
        <v>149.27957021540499</v>
      </c>
      <c r="S882" s="122">
        <v>0</v>
      </c>
      <c r="T882" s="122">
        <v>93</v>
      </c>
      <c r="U882" s="122">
        <v>0</v>
      </c>
      <c r="V882" s="122">
        <v>0</v>
      </c>
      <c r="W882" s="122">
        <v>0</v>
      </c>
      <c r="X882" s="122">
        <v>0</v>
      </c>
      <c r="Y882" s="122">
        <v>0</v>
      </c>
      <c r="Z882" s="122">
        <v>0</v>
      </c>
      <c r="AA882" s="122">
        <v>0</v>
      </c>
      <c r="AB882" s="122">
        <v>0</v>
      </c>
      <c r="AC882" s="122">
        <v>0</v>
      </c>
      <c r="AD882" s="122">
        <v>0</v>
      </c>
      <c r="AE882" s="122">
        <v>0</v>
      </c>
      <c r="AF882" s="122">
        <v>0</v>
      </c>
      <c r="AG882" s="122">
        <v>0</v>
      </c>
      <c r="AH882" s="122">
        <v>0</v>
      </c>
      <c r="AI882" s="117">
        <f t="shared" si="304"/>
        <v>3396.2795702154049</v>
      </c>
      <c r="AJ882" s="117">
        <f t="shared" ref="AJ882:AJ887" si="315">SUM(F882:U882)</f>
        <v>3396.2795702154049</v>
      </c>
      <c r="AK882" s="117">
        <f t="shared" si="305"/>
        <v>0</v>
      </c>
      <c r="AL882" s="23"/>
      <c r="AM882" s="127" t="b">
        <f t="shared" ref="AM882:AM887" si="316">IF(INDEX($AO882:$BM882,0,$F$14)=1,TRUE,FALSE)</f>
        <v>1</v>
      </c>
      <c r="AN882" s="127" t="str">
        <f t="shared" ref="AN882:AN887" si="317">IF(AM882,A882&amp;", "&amp;B882,"")</f>
        <v>Deferred tax cost allocation adjustment, 2009/10</v>
      </c>
      <c r="AO882" s="129"/>
      <c r="AP882" s="129"/>
      <c r="AQ882" s="129"/>
      <c r="AR882" s="129"/>
      <c r="AS882" s="129"/>
      <c r="AT882" s="129"/>
      <c r="AU882" s="129"/>
      <c r="AV882" s="129"/>
      <c r="AW882" s="129">
        <v>1</v>
      </c>
      <c r="AX882" s="197">
        <v>1</v>
      </c>
      <c r="AY882" s="197">
        <v>1</v>
      </c>
      <c r="AZ882" s="197">
        <v>1</v>
      </c>
      <c r="BA882" s="197"/>
      <c r="BB882" s="129"/>
      <c r="BC882" s="129"/>
      <c r="BD882" s="129"/>
      <c r="BE882" s="129"/>
      <c r="BF882" s="129"/>
      <c r="BG882" s="129"/>
      <c r="BH882" s="129"/>
      <c r="BI882" s="129"/>
      <c r="BJ882" s="129"/>
      <c r="BK882" s="129"/>
      <c r="BL882" s="129"/>
      <c r="BM882" s="197">
        <v>1</v>
      </c>
    </row>
    <row r="883" spans="1:65" x14ac:dyDescent="0.25">
      <c r="A883" s="121" t="s">
        <v>86</v>
      </c>
      <c r="B883" s="121" t="s">
        <v>23</v>
      </c>
      <c r="C883" s="172" t="s">
        <v>214</v>
      </c>
      <c r="D883" s="161">
        <v>10</v>
      </c>
      <c r="E883" s="29" t="str">
        <f t="shared" si="314"/>
        <v>Disclosed nominal return (incl actual asset revaluations)</v>
      </c>
      <c r="F883" s="122">
        <v>0</v>
      </c>
      <c r="G883" s="122">
        <v>0</v>
      </c>
      <c r="H883" s="122">
        <v>0</v>
      </c>
      <c r="I883" s="122">
        <v>0</v>
      </c>
      <c r="J883" s="122">
        <v>151</v>
      </c>
      <c r="K883" s="122">
        <v>0</v>
      </c>
      <c r="L883" s="122">
        <v>0</v>
      </c>
      <c r="M883" s="122">
        <v>0</v>
      </c>
      <c r="N883" s="122">
        <v>40</v>
      </c>
      <c r="O883" s="122">
        <v>0</v>
      </c>
      <c r="P883" s="122">
        <v>-1</v>
      </c>
      <c r="Q883" s="122">
        <v>0</v>
      </c>
      <c r="R883" s="122">
        <v>0</v>
      </c>
      <c r="S883" s="122">
        <v>0</v>
      </c>
      <c r="T883" s="122">
        <v>-222</v>
      </c>
      <c r="U883" s="122">
        <v>0</v>
      </c>
      <c r="V883" s="122">
        <v>0</v>
      </c>
      <c r="W883" s="122">
        <v>0</v>
      </c>
      <c r="X883" s="122">
        <v>0</v>
      </c>
      <c r="Y883" s="122">
        <v>0</v>
      </c>
      <c r="Z883" s="122">
        <v>0</v>
      </c>
      <c r="AA883" s="122">
        <v>0</v>
      </c>
      <c r="AB883" s="122">
        <v>0</v>
      </c>
      <c r="AC883" s="122">
        <v>0</v>
      </c>
      <c r="AD883" s="122">
        <v>0</v>
      </c>
      <c r="AE883" s="122">
        <v>0</v>
      </c>
      <c r="AF883" s="122">
        <v>0</v>
      </c>
      <c r="AG883" s="122">
        <v>0</v>
      </c>
      <c r="AH883" s="122">
        <v>0</v>
      </c>
      <c r="AI883" s="117">
        <f t="shared" si="304"/>
        <v>-32</v>
      </c>
      <c r="AJ883" s="117">
        <f t="shared" si="315"/>
        <v>-32</v>
      </c>
      <c r="AK883" s="117">
        <f t="shared" si="305"/>
        <v>0</v>
      </c>
      <c r="AL883" s="23"/>
      <c r="AM883" s="127" t="b">
        <f t="shared" si="316"/>
        <v>1</v>
      </c>
      <c r="AN883" s="127" t="str">
        <f t="shared" si="317"/>
        <v>Deferred tax cost allocation adjustment, 2010/11</v>
      </c>
      <c r="AO883" s="129"/>
      <c r="AP883" s="129"/>
      <c r="AQ883" s="129"/>
      <c r="AR883" s="129"/>
      <c r="AS883" s="129"/>
      <c r="AT883" s="129"/>
      <c r="AU883" s="129"/>
      <c r="AV883" s="129"/>
      <c r="AW883" s="129">
        <v>1</v>
      </c>
      <c r="AX883" s="197">
        <v>1</v>
      </c>
      <c r="AY883" s="197">
        <v>1</v>
      </c>
      <c r="AZ883" s="197">
        <v>1</v>
      </c>
      <c r="BA883" s="197"/>
      <c r="BB883" s="129"/>
      <c r="BC883" s="129"/>
      <c r="BD883" s="129"/>
      <c r="BE883" s="129"/>
      <c r="BF883" s="129"/>
      <c r="BG883" s="129"/>
      <c r="BH883" s="129"/>
      <c r="BI883" s="129"/>
      <c r="BJ883" s="129"/>
      <c r="BK883" s="129"/>
      <c r="BL883" s="129"/>
      <c r="BM883" s="197">
        <v>1</v>
      </c>
    </row>
    <row r="884" spans="1:65" x14ac:dyDescent="0.25">
      <c r="A884" s="121" t="s">
        <v>86</v>
      </c>
      <c r="B884" s="121" t="s">
        <v>24</v>
      </c>
      <c r="C884" s="172" t="s">
        <v>214</v>
      </c>
      <c r="D884" s="161">
        <v>10</v>
      </c>
      <c r="E884" s="29" t="str">
        <f t="shared" si="314"/>
        <v>Disclosed nominal return (incl actual asset revaluations)</v>
      </c>
      <c r="F884" s="122">
        <v>0</v>
      </c>
      <c r="G884" s="122">
        <v>0</v>
      </c>
      <c r="H884" s="122">
        <v>0</v>
      </c>
      <c r="I884" s="122">
        <v>-1824.1850434397916</v>
      </c>
      <c r="J884" s="122">
        <v>0</v>
      </c>
      <c r="K884" s="122">
        <v>0</v>
      </c>
      <c r="L884" s="122">
        <v>0</v>
      </c>
      <c r="M884" s="122">
        <v>0</v>
      </c>
      <c r="N884" s="122">
        <v>33</v>
      </c>
      <c r="O884" s="122">
        <v>0</v>
      </c>
      <c r="P884" s="122">
        <v>-5</v>
      </c>
      <c r="Q884" s="122">
        <v>0</v>
      </c>
      <c r="R884" s="122">
        <v>0</v>
      </c>
      <c r="S884" s="122">
        <v>0</v>
      </c>
      <c r="T884" s="122">
        <v>106</v>
      </c>
      <c r="U884" s="122">
        <v>0</v>
      </c>
      <c r="V884" s="122">
        <v>0</v>
      </c>
      <c r="W884" s="122">
        <v>0</v>
      </c>
      <c r="X884" s="122">
        <v>0</v>
      </c>
      <c r="Y884" s="122">
        <v>0</v>
      </c>
      <c r="Z884" s="122">
        <v>0</v>
      </c>
      <c r="AA884" s="122">
        <v>0</v>
      </c>
      <c r="AB884" s="122">
        <v>896.19403040362704</v>
      </c>
      <c r="AC884" s="122">
        <v>0</v>
      </c>
      <c r="AD884" s="122">
        <v>0</v>
      </c>
      <c r="AE884" s="122">
        <v>0</v>
      </c>
      <c r="AF884" s="122">
        <v>0</v>
      </c>
      <c r="AG884" s="122">
        <v>0</v>
      </c>
      <c r="AH884" s="122">
        <v>0</v>
      </c>
      <c r="AI884" s="117">
        <f t="shared" si="304"/>
        <v>-793.99101303616453</v>
      </c>
      <c r="AJ884" s="117">
        <f t="shared" si="315"/>
        <v>-1690.1850434397916</v>
      </c>
      <c r="AK884" s="117">
        <f t="shared" si="305"/>
        <v>896.19403040362704</v>
      </c>
      <c r="AL884" s="23"/>
      <c r="AM884" s="127" t="b">
        <f t="shared" si="316"/>
        <v>1</v>
      </c>
      <c r="AN884" s="127" t="str">
        <f t="shared" si="317"/>
        <v>Deferred tax cost allocation adjustment, 2011/12</v>
      </c>
      <c r="AO884" s="129"/>
      <c r="AP884" s="129"/>
      <c r="AQ884" s="129"/>
      <c r="AR884" s="129"/>
      <c r="AS884" s="129"/>
      <c r="AT884" s="129"/>
      <c r="AU884" s="129"/>
      <c r="AV884" s="129"/>
      <c r="AW884" s="129">
        <v>1</v>
      </c>
      <c r="AX884" s="197">
        <v>1</v>
      </c>
      <c r="AY884" s="197">
        <v>1</v>
      </c>
      <c r="AZ884" s="197">
        <v>1</v>
      </c>
      <c r="BA884" s="197"/>
      <c r="BB884" s="129"/>
      <c r="BC884" s="129"/>
      <c r="BD884" s="129"/>
      <c r="BE884" s="129"/>
      <c r="BF884" s="129"/>
      <c r="BG884" s="129"/>
      <c r="BH884" s="129"/>
      <c r="BI884" s="129"/>
      <c r="BJ884" s="129"/>
      <c r="BK884" s="129"/>
      <c r="BL884" s="129"/>
      <c r="BM884" s="197">
        <v>1</v>
      </c>
    </row>
    <row r="885" spans="1:65" x14ac:dyDescent="0.25">
      <c r="A885" s="121" t="s">
        <v>86</v>
      </c>
      <c r="B885" s="121" t="s">
        <v>25</v>
      </c>
      <c r="C885" s="172" t="s">
        <v>218</v>
      </c>
      <c r="D885" s="161">
        <v>10</v>
      </c>
      <c r="E885" s="29" t="str">
        <f t="shared" si="314"/>
        <v>Disclosed nominal return (incl actual asset revaluations)</v>
      </c>
      <c r="F885" s="122">
        <v>0</v>
      </c>
      <c r="G885" s="122">
        <v>0</v>
      </c>
      <c r="H885" s="122">
        <v>0</v>
      </c>
      <c r="I885" s="122">
        <v>0</v>
      </c>
      <c r="J885" s="122">
        <v>0</v>
      </c>
      <c r="K885" s="122">
        <v>0</v>
      </c>
      <c r="L885" s="122">
        <v>0</v>
      </c>
      <c r="M885" s="122">
        <v>0</v>
      </c>
      <c r="N885" s="122">
        <v>29</v>
      </c>
      <c r="O885" s="122">
        <v>0</v>
      </c>
      <c r="P885" s="122">
        <v>1</v>
      </c>
      <c r="Q885" s="122">
        <v>0</v>
      </c>
      <c r="R885" s="122">
        <v>0</v>
      </c>
      <c r="S885" s="122">
        <v>0</v>
      </c>
      <c r="T885" s="122">
        <v>226</v>
      </c>
      <c r="U885" s="122">
        <v>0</v>
      </c>
      <c r="V885" s="122">
        <v>0</v>
      </c>
      <c r="W885" s="122">
        <v>0</v>
      </c>
      <c r="X885" s="122">
        <v>0</v>
      </c>
      <c r="Y885" s="122">
        <v>0</v>
      </c>
      <c r="Z885" s="122">
        <v>0</v>
      </c>
      <c r="AA885" s="122">
        <v>0</v>
      </c>
      <c r="AB885" s="122">
        <v>0</v>
      </c>
      <c r="AC885" s="122">
        <v>0</v>
      </c>
      <c r="AD885" s="122">
        <v>0</v>
      </c>
      <c r="AE885" s="122">
        <v>0</v>
      </c>
      <c r="AF885" s="122">
        <v>0</v>
      </c>
      <c r="AG885" s="122">
        <v>0</v>
      </c>
      <c r="AH885" s="122">
        <v>0</v>
      </c>
      <c r="AI885" s="117">
        <f t="shared" si="304"/>
        <v>256</v>
      </c>
      <c r="AJ885" s="117">
        <f t="shared" si="315"/>
        <v>256</v>
      </c>
      <c r="AK885" s="117">
        <f t="shared" si="305"/>
        <v>0</v>
      </c>
      <c r="AL885" s="23"/>
      <c r="AM885" s="127" t="b">
        <f t="shared" si="316"/>
        <v>1</v>
      </c>
      <c r="AN885" s="127" t="str">
        <f t="shared" si="317"/>
        <v>Deferred tax cost allocation adjustment, 2012/13</v>
      </c>
      <c r="AO885" s="129"/>
      <c r="AP885" s="129"/>
      <c r="AQ885" s="129"/>
      <c r="AR885" s="129"/>
      <c r="AS885" s="129"/>
      <c r="AT885" s="129"/>
      <c r="AU885" s="129"/>
      <c r="AV885" s="129"/>
      <c r="AW885" s="129">
        <v>1</v>
      </c>
      <c r="AX885" s="197">
        <v>1</v>
      </c>
      <c r="AY885" s="197">
        <v>1</v>
      </c>
      <c r="AZ885" s="197">
        <v>1</v>
      </c>
      <c r="BA885" s="197"/>
      <c r="BB885" s="129"/>
      <c r="BC885" s="129"/>
      <c r="BD885" s="129"/>
      <c r="BE885" s="129"/>
      <c r="BF885" s="129"/>
      <c r="BG885" s="129"/>
      <c r="BH885" s="129"/>
      <c r="BI885" s="129"/>
      <c r="BJ885" s="129"/>
      <c r="BK885" s="129"/>
      <c r="BL885" s="129"/>
      <c r="BM885" s="197">
        <v>1</v>
      </c>
    </row>
    <row r="886" spans="1:65" x14ac:dyDescent="0.25">
      <c r="A886" s="121" t="s">
        <v>86</v>
      </c>
      <c r="B886" s="121" t="s">
        <v>26</v>
      </c>
      <c r="C886" s="172" t="s">
        <v>218</v>
      </c>
      <c r="D886" s="161">
        <v>10</v>
      </c>
      <c r="E886" s="29" t="str">
        <f t="shared" si="314"/>
        <v>Disclosed nominal return (incl actual asset revaluations)</v>
      </c>
      <c r="F886" s="122">
        <v>0</v>
      </c>
      <c r="G886" s="122">
        <v>0</v>
      </c>
      <c r="H886" s="122">
        <v>0</v>
      </c>
      <c r="I886" s="122">
        <v>0</v>
      </c>
      <c r="J886" s="122">
        <v>4</v>
      </c>
      <c r="K886" s="122">
        <v>-10.080000000000002</v>
      </c>
      <c r="L886" s="122">
        <v>0</v>
      </c>
      <c r="M886" s="122">
        <v>0</v>
      </c>
      <c r="N886" s="122">
        <v>59</v>
      </c>
      <c r="O886" s="122">
        <v>0</v>
      </c>
      <c r="P886" s="122">
        <v>-27</v>
      </c>
      <c r="Q886" s="122">
        <v>6.8826700000000001</v>
      </c>
      <c r="R886" s="122">
        <v>0</v>
      </c>
      <c r="S886" s="122">
        <v>0</v>
      </c>
      <c r="T886" s="122">
        <v>140</v>
      </c>
      <c r="U886" s="122">
        <v>0</v>
      </c>
      <c r="V886" s="122">
        <v>0</v>
      </c>
      <c r="W886" s="122">
        <v>0</v>
      </c>
      <c r="X886" s="122">
        <v>0</v>
      </c>
      <c r="Y886" s="122">
        <v>0</v>
      </c>
      <c r="Z886" s="122">
        <v>0</v>
      </c>
      <c r="AA886" s="122">
        <v>0</v>
      </c>
      <c r="AB886" s="122">
        <v>0</v>
      </c>
      <c r="AC886" s="122">
        <v>0</v>
      </c>
      <c r="AD886" s="122">
        <v>0</v>
      </c>
      <c r="AE886" s="122">
        <v>-63.683200000000021</v>
      </c>
      <c r="AF886" s="122">
        <v>0</v>
      </c>
      <c r="AG886" s="122">
        <v>0</v>
      </c>
      <c r="AH886" s="122">
        <v>0</v>
      </c>
      <c r="AI886" s="117">
        <f t="shared" si="304"/>
        <v>109.11946999999998</v>
      </c>
      <c r="AJ886" s="117">
        <f t="shared" si="315"/>
        <v>172.80267000000001</v>
      </c>
      <c r="AK886" s="117">
        <f t="shared" si="305"/>
        <v>-63.683200000000021</v>
      </c>
      <c r="AL886" s="23"/>
      <c r="AM886" s="127" t="b">
        <f t="shared" si="316"/>
        <v>1</v>
      </c>
      <c r="AN886" s="127" t="str">
        <f t="shared" si="317"/>
        <v>Deferred tax cost allocation adjustment, 2013/14</v>
      </c>
      <c r="AO886" s="129"/>
      <c r="AP886" s="129"/>
      <c r="AQ886" s="129"/>
      <c r="AR886" s="129"/>
      <c r="AS886" s="129"/>
      <c r="AT886" s="129"/>
      <c r="AU886" s="129"/>
      <c r="AV886" s="129"/>
      <c r="AW886" s="129">
        <v>1</v>
      </c>
      <c r="AX886" s="197">
        <v>1</v>
      </c>
      <c r="AY886" s="197">
        <v>1</v>
      </c>
      <c r="AZ886" s="197">
        <v>1</v>
      </c>
      <c r="BA886" s="197"/>
      <c r="BB886" s="129"/>
      <c r="BC886" s="129"/>
      <c r="BD886" s="129"/>
      <c r="BE886" s="129"/>
      <c r="BF886" s="129"/>
      <c r="BG886" s="129"/>
      <c r="BH886" s="129"/>
      <c r="BI886" s="129"/>
      <c r="BJ886" s="129"/>
      <c r="BK886" s="129"/>
      <c r="BL886" s="129"/>
      <c r="BM886" s="197">
        <v>1</v>
      </c>
    </row>
    <row r="887" spans="1:65" x14ac:dyDescent="0.25">
      <c r="A887" s="121" t="s">
        <v>86</v>
      </c>
      <c r="B887" s="121" t="s">
        <v>27</v>
      </c>
      <c r="C887" s="172" t="s">
        <v>218</v>
      </c>
      <c r="D887" s="161">
        <v>10</v>
      </c>
      <c r="E887" s="29" t="str">
        <f t="shared" si="314"/>
        <v>Disclosed nominal return (incl actual asset revaluations)</v>
      </c>
      <c r="F887" s="122">
        <v>0</v>
      </c>
      <c r="G887" s="122">
        <v>0</v>
      </c>
      <c r="H887" s="122">
        <v>0</v>
      </c>
      <c r="I887" s="122">
        <v>0</v>
      </c>
      <c r="J887" s="122">
        <v>0</v>
      </c>
      <c r="K887" s="122">
        <v>0</v>
      </c>
      <c r="L887" s="122">
        <v>0</v>
      </c>
      <c r="M887" s="122">
        <v>0</v>
      </c>
      <c r="N887" s="122">
        <v>0</v>
      </c>
      <c r="O887" s="122">
        <v>0</v>
      </c>
      <c r="P887" s="122">
        <v>-11.779214324606874</v>
      </c>
      <c r="Q887" s="122">
        <v>0</v>
      </c>
      <c r="R887" s="122">
        <v>0</v>
      </c>
      <c r="S887" s="122">
        <v>0</v>
      </c>
      <c r="T887" s="122">
        <v>0</v>
      </c>
      <c r="U887" s="122">
        <v>0</v>
      </c>
      <c r="V887" s="122">
        <v>0</v>
      </c>
      <c r="W887" s="122">
        <v>0</v>
      </c>
      <c r="X887" s="122">
        <v>0</v>
      </c>
      <c r="Y887" s="122">
        <v>0</v>
      </c>
      <c r="Z887" s="122">
        <v>0</v>
      </c>
      <c r="AA887" s="122">
        <v>0</v>
      </c>
      <c r="AB887" s="122">
        <v>0</v>
      </c>
      <c r="AC887" s="122">
        <v>0</v>
      </c>
      <c r="AD887" s="122">
        <v>0</v>
      </c>
      <c r="AE887" s="122">
        <v>0</v>
      </c>
      <c r="AF887" s="122">
        <v>0</v>
      </c>
      <c r="AG887" s="122">
        <v>0</v>
      </c>
      <c r="AH887" s="122">
        <v>0</v>
      </c>
      <c r="AI887" s="117">
        <f t="shared" si="304"/>
        <v>-11.779214324606874</v>
      </c>
      <c r="AJ887" s="117">
        <f t="shared" si="315"/>
        <v>-11.779214324606874</v>
      </c>
      <c r="AK887" s="117">
        <f t="shared" si="305"/>
        <v>0</v>
      </c>
      <c r="AL887" s="23"/>
      <c r="AM887" s="127" t="b">
        <f t="shared" si="316"/>
        <v>1</v>
      </c>
      <c r="AN887" s="127" t="str">
        <f t="shared" si="317"/>
        <v>Deferred tax cost allocation adjustment, 2014/15</v>
      </c>
      <c r="AO887" s="129"/>
      <c r="AP887" s="129"/>
      <c r="AQ887" s="129"/>
      <c r="AR887" s="129"/>
      <c r="AS887" s="129"/>
      <c r="AT887" s="129"/>
      <c r="AU887" s="129"/>
      <c r="AV887" s="129"/>
      <c r="AW887" s="129">
        <v>1</v>
      </c>
      <c r="AX887" s="197">
        <v>1</v>
      </c>
      <c r="AY887" s="197">
        <v>1</v>
      </c>
      <c r="AZ887" s="197">
        <v>1</v>
      </c>
      <c r="BA887" s="197"/>
      <c r="BB887" s="129"/>
      <c r="BC887" s="129"/>
      <c r="BD887" s="129"/>
      <c r="BE887" s="129"/>
      <c r="BF887" s="129"/>
      <c r="BG887" s="129"/>
      <c r="BH887" s="129"/>
      <c r="BI887" s="129"/>
      <c r="BJ887" s="129"/>
      <c r="BK887" s="129"/>
      <c r="BL887" s="129"/>
      <c r="BM887" s="197">
        <v>1</v>
      </c>
    </row>
    <row r="888" spans="1:65" x14ac:dyDescent="0.25">
      <c r="A888" s="121"/>
      <c r="B888" s="121"/>
      <c r="C888" s="172"/>
      <c r="D888" s="49"/>
      <c r="E888" s="49"/>
      <c r="F888" s="54"/>
      <c r="G888" s="54"/>
      <c r="H888" s="54"/>
      <c r="I888" s="54"/>
      <c r="J888" s="54"/>
      <c r="K888" s="54"/>
      <c r="L888" s="54"/>
      <c r="M888" s="54"/>
      <c r="N888" s="54"/>
      <c r="O888" s="54"/>
      <c r="P888" s="54"/>
      <c r="Q888" s="54"/>
      <c r="R888" s="54"/>
      <c r="S888" s="54"/>
      <c r="T888" s="54"/>
      <c r="U888" s="54"/>
      <c r="V888" s="54"/>
      <c r="W888" s="54"/>
      <c r="X888" s="54"/>
      <c r="Y888" s="54"/>
      <c r="Z888" s="54"/>
      <c r="AA888" s="54"/>
      <c r="AB888" s="54"/>
      <c r="AC888" s="54"/>
      <c r="AD888" s="54"/>
      <c r="AE888" s="54"/>
      <c r="AF888" s="54"/>
      <c r="AG888" s="54"/>
      <c r="AH888" s="54"/>
      <c r="AI888" s="54"/>
      <c r="AJ888" s="54"/>
      <c r="AK888" s="54"/>
      <c r="AL888" s="23"/>
      <c r="AM888" s="127"/>
      <c r="AN888" s="127"/>
      <c r="AO888" s="129"/>
      <c r="AP888" s="129"/>
      <c r="AQ888" s="129"/>
      <c r="AR888" s="129"/>
      <c r="AS888" s="129"/>
      <c r="AT888" s="129"/>
      <c r="AU888" s="129"/>
      <c r="AV888" s="129"/>
      <c r="AW888" s="129"/>
      <c r="AX888" s="197"/>
      <c r="AY888" s="197"/>
      <c r="AZ888" s="197"/>
      <c r="BA888" s="197"/>
      <c r="BB888" s="129"/>
      <c r="BC888" s="129"/>
      <c r="BD888" s="129"/>
      <c r="BE888" s="129"/>
      <c r="BF888" s="129"/>
      <c r="BG888" s="129"/>
      <c r="BH888" s="129"/>
      <c r="BI888" s="129"/>
      <c r="BJ888" s="129"/>
      <c r="BK888" s="129"/>
      <c r="BL888" s="129"/>
      <c r="BM888" s="197"/>
    </row>
    <row r="889" spans="1:65" x14ac:dyDescent="0.25">
      <c r="A889" s="121"/>
      <c r="B889" s="121"/>
      <c r="C889" s="172"/>
      <c r="D889" s="46"/>
      <c r="E889" s="46"/>
      <c r="F889" s="54"/>
      <c r="G889" s="54"/>
      <c r="H889" s="54"/>
      <c r="I889" s="54"/>
      <c r="J889" s="54"/>
      <c r="K889" s="54"/>
      <c r="L889" s="54"/>
      <c r="M889" s="54"/>
      <c r="N889" s="54"/>
      <c r="O889" s="54"/>
      <c r="P889" s="54"/>
      <c r="Q889" s="54"/>
      <c r="R889" s="54"/>
      <c r="S889" s="54"/>
      <c r="T889" s="54"/>
      <c r="U889" s="54"/>
      <c r="V889" s="54"/>
      <c r="W889" s="55"/>
      <c r="X889" s="55"/>
      <c r="Y889" s="55"/>
      <c r="Z889" s="55"/>
      <c r="AA889" s="55"/>
      <c r="AB889" s="55"/>
      <c r="AC889" s="55"/>
      <c r="AD889" s="55"/>
      <c r="AE889" s="55"/>
      <c r="AF889" s="55"/>
      <c r="AG889" s="55"/>
      <c r="AH889" s="55"/>
      <c r="AI889" s="54"/>
      <c r="AJ889" s="54"/>
      <c r="AK889" s="54"/>
      <c r="AL889" s="23"/>
      <c r="AM889" s="127"/>
      <c r="AN889" s="127"/>
      <c r="AO889" s="129"/>
      <c r="AP889" s="129"/>
      <c r="AQ889" s="129"/>
      <c r="AR889" s="129"/>
      <c r="AS889" s="129"/>
      <c r="AT889" s="129"/>
      <c r="AU889" s="129"/>
      <c r="AV889" s="129"/>
      <c r="AW889" s="129"/>
      <c r="AX889" s="197"/>
      <c r="AY889" s="197"/>
      <c r="AZ889" s="197"/>
      <c r="BA889" s="197"/>
      <c r="BB889" s="129"/>
      <c r="BC889" s="129"/>
      <c r="BD889" s="129"/>
      <c r="BE889" s="129"/>
      <c r="BF889" s="129"/>
      <c r="BG889" s="129"/>
      <c r="BH889" s="129"/>
      <c r="BI889" s="129"/>
      <c r="BJ889" s="129"/>
      <c r="BK889" s="129"/>
      <c r="BL889" s="129"/>
      <c r="BM889" s="197"/>
    </row>
    <row r="890" spans="1:65" x14ac:dyDescent="0.25">
      <c r="A890" s="121" t="s">
        <v>91</v>
      </c>
      <c r="B890" s="121" t="s">
        <v>23</v>
      </c>
      <c r="C890" s="172" t="s">
        <v>222</v>
      </c>
      <c r="D890" s="161">
        <v>1</v>
      </c>
      <c r="E890" s="29" t="str">
        <f>INDEX(ra_ScName,MATCH(D890,ra_ScNumber,0))</f>
        <v>Expected nominal return (incl forecast asset revaluations)</v>
      </c>
      <c r="F890" s="54"/>
      <c r="G890" s="54"/>
      <c r="H890" s="54"/>
      <c r="I890" s="54"/>
      <c r="J890" s="54"/>
      <c r="K890" s="54"/>
      <c r="L890" s="54"/>
      <c r="M890" s="54"/>
      <c r="N890" s="54"/>
      <c r="O890" s="54"/>
      <c r="P890" s="54"/>
      <c r="Q890" s="54"/>
      <c r="R890" s="54"/>
      <c r="S890" s="54"/>
      <c r="T890" s="54"/>
      <c r="U890" s="54"/>
      <c r="V890" s="54"/>
      <c r="W890" s="54"/>
      <c r="X890" s="54"/>
      <c r="Y890" s="54"/>
      <c r="Z890" s="54"/>
      <c r="AA890" s="54"/>
      <c r="AB890" s="54"/>
      <c r="AC890" s="54"/>
      <c r="AD890" s="54"/>
      <c r="AE890" s="54"/>
      <c r="AF890" s="54"/>
      <c r="AG890" s="54"/>
      <c r="AH890" s="54"/>
      <c r="AI890" s="117">
        <f t="shared" si="304"/>
        <v>0</v>
      </c>
      <c r="AJ890" s="117">
        <f>SUM(F890:U890)</f>
        <v>0</v>
      </c>
      <c r="AK890" s="117">
        <f t="shared" si="305"/>
        <v>0</v>
      </c>
      <c r="AL890" s="23"/>
      <c r="AM890" s="127" t="b">
        <f>IF(INDEX($AO890:$BM890,0,$F$14)=1,TRUE,FALSE)</f>
        <v>0</v>
      </c>
      <c r="AN890" s="127" t="str">
        <f>IF(AM890,A890&amp;", "&amp;B890,"")</f>
        <v/>
      </c>
      <c r="AO890" s="129">
        <v>1</v>
      </c>
      <c r="AP890" s="129">
        <v>1</v>
      </c>
      <c r="AQ890" s="129">
        <v>1</v>
      </c>
      <c r="AR890" s="129">
        <v>1</v>
      </c>
      <c r="AS890" s="129">
        <v>1</v>
      </c>
      <c r="AT890" s="129">
        <v>1</v>
      </c>
      <c r="AU890" s="129">
        <v>1</v>
      </c>
      <c r="AV890" s="129">
        <v>1</v>
      </c>
      <c r="AW890" s="129"/>
      <c r="AX890" s="197"/>
      <c r="AY890" s="197"/>
      <c r="AZ890" s="197"/>
      <c r="BA890" s="197">
        <v>1</v>
      </c>
      <c r="BB890" s="129">
        <v>1</v>
      </c>
      <c r="BC890" s="129">
        <v>1</v>
      </c>
      <c r="BD890" s="129">
        <v>1</v>
      </c>
      <c r="BE890" s="129">
        <v>1</v>
      </c>
      <c r="BF890" s="129">
        <v>1</v>
      </c>
      <c r="BG890" s="129">
        <v>1</v>
      </c>
      <c r="BH890" s="129">
        <v>1</v>
      </c>
      <c r="BI890" s="129">
        <v>1</v>
      </c>
      <c r="BJ890" s="129">
        <v>1</v>
      </c>
      <c r="BK890" s="129">
        <v>1</v>
      </c>
      <c r="BL890" s="129">
        <v>1</v>
      </c>
      <c r="BM890" s="197"/>
    </row>
    <row r="891" spans="1:65" x14ac:dyDescent="0.25">
      <c r="A891" s="121" t="s">
        <v>91</v>
      </c>
      <c r="B891" s="121" t="s">
        <v>24</v>
      </c>
      <c r="C891" s="172" t="s">
        <v>222</v>
      </c>
      <c r="D891" s="161">
        <v>1</v>
      </c>
      <c r="E891" s="29" t="str">
        <f>INDEX(ra_ScName,MATCH(D891,ra_ScNumber,0))</f>
        <v>Expected nominal return (incl forecast asset revaluations)</v>
      </c>
      <c r="F891" s="54"/>
      <c r="G891" s="54"/>
      <c r="H891" s="54"/>
      <c r="I891" s="54"/>
      <c r="J891" s="54"/>
      <c r="K891" s="54"/>
      <c r="L891" s="54"/>
      <c r="M891" s="54"/>
      <c r="N891" s="54"/>
      <c r="O891" s="54"/>
      <c r="P891" s="54"/>
      <c r="Q891" s="54"/>
      <c r="R891" s="54"/>
      <c r="S891" s="54"/>
      <c r="T891" s="54"/>
      <c r="U891" s="54"/>
      <c r="V891" s="54"/>
      <c r="W891" s="54"/>
      <c r="X891" s="54"/>
      <c r="Y891" s="54"/>
      <c r="Z891" s="54"/>
      <c r="AA891" s="54"/>
      <c r="AB891" s="54"/>
      <c r="AC891" s="54"/>
      <c r="AD891" s="54"/>
      <c r="AE891" s="54"/>
      <c r="AF891" s="54"/>
      <c r="AG891" s="54"/>
      <c r="AH891" s="54"/>
      <c r="AI891" s="117">
        <f t="shared" si="304"/>
        <v>0</v>
      </c>
      <c r="AJ891" s="117">
        <f>SUM(F891:U891)</f>
        <v>0</v>
      </c>
      <c r="AK891" s="117">
        <f t="shared" si="305"/>
        <v>0</v>
      </c>
      <c r="AL891" s="23"/>
      <c r="AM891" s="127" t="b">
        <f>IF(INDEX($AO891:$BM891,0,$F$14)=1,TRUE,FALSE)</f>
        <v>0</v>
      </c>
      <c r="AN891" s="127" t="str">
        <f>IF(AM891,A891&amp;", "&amp;B891,"")</f>
        <v/>
      </c>
      <c r="AO891" s="129">
        <v>1</v>
      </c>
      <c r="AP891" s="129">
        <v>1</v>
      </c>
      <c r="AQ891" s="129">
        <v>1</v>
      </c>
      <c r="AR891" s="129">
        <v>1</v>
      </c>
      <c r="AS891" s="129">
        <v>1</v>
      </c>
      <c r="AT891" s="129">
        <v>1</v>
      </c>
      <c r="AU891" s="129">
        <v>1</v>
      </c>
      <c r="AV891" s="129">
        <v>1</v>
      </c>
      <c r="AW891" s="129"/>
      <c r="AX891" s="197"/>
      <c r="AY891" s="197"/>
      <c r="AZ891" s="197"/>
      <c r="BA891" s="197">
        <v>1</v>
      </c>
      <c r="BB891" s="129">
        <v>1</v>
      </c>
      <c r="BC891" s="129">
        <v>1</v>
      </c>
      <c r="BD891" s="129">
        <v>1</v>
      </c>
      <c r="BE891" s="129">
        <v>1</v>
      </c>
      <c r="BF891" s="129">
        <v>1</v>
      </c>
      <c r="BG891" s="129">
        <v>1</v>
      </c>
      <c r="BH891" s="129">
        <v>1</v>
      </c>
      <c r="BI891" s="129">
        <v>1</v>
      </c>
      <c r="BJ891" s="129">
        <v>1</v>
      </c>
      <c r="BK891" s="129">
        <v>1</v>
      </c>
      <c r="BL891" s="129">
        <v>1</v>
      </c>
      <c r="BM891" s="197"/>
    </row>
    <row r="892" spans="1:65" x14ac:dyDescent="0.25">
      <c r="A892" s="121" t="s">
        <v>91</v>
      </c>
      <c r="B892" s="121" t="s">
        <v>25</v>
      </c>
      <c r="C892" s="172" t="s">
        <v>222</v>
      </c>
      <c r="D892" s="161">
        <v>1</v>
      </c>
      <c r="E892" s="29" t="str">
        <f>INDEX(ra_ScName,MATCH(D892,ra_ScNumber,0))</f>
        <v>Expected nominal return (incl forecast asset revaluations)</v>
      </c>
      <c r="F892" s="54"/>
      <c r="G892" s="54"/>
      <c r="H892" s="54"/>
      <c r="I892" s="54"/>
      <c r="J892" s="54"/>
      <c r="K892" s="54"/>
      <c r="L892" s="54"/>
      <c r="M892" s="54"/>
      <c r="N892" s="54"/>
      <c r="O892" s="54"/>
      <c r="P892" s="54"/>
      <c r="Q892" s="54"/>
      <c r="R892" s="54"/>
      <c r="S892" s="54"/>
      <c r="T892" s="54"/>
      <c r="U892" s="54"/>
      <c r="V892" s="54"/>
      <c r="W892" s="54"/>
      <c r="X892" s="54"/>
      <c r="Y892" s="54"/>
      <c r="Z892" s="54"/>
      <c r="AA892" s="54"/>
      <c r="AB892" s="54"/>
      <c r="AC892" s="54"/>
      <c r="AD892" s="54"/>
      <c r="AE892" s="54"/>
      <c r="AF892" s="54"/>
      <c r="AG892" s="54"/>
      <c r="AH892" s="54"/>
      <c r="AI892" s="117">
        <f t="shared" si="304"/>
        <v>0</v>
      </c>
      <c r="AJ892" s="117">
        <f>SUM(F892:U892)</f>
        <v>0</v>
      </c>
      <c r="AK892" s="117">
        <f t="shared" si="305"/>
        <v>0</v>
      </c>
      <c r="AL892" s="23"/>
      <c r="AM892" s="127" t="b">
        <f>IF(INDEX($AO892:$BM892,0,$F$14)=1,TRUE,FALSE)</f>
        <v>0</v>
      </c>
      <c r="AN892" s="127" t="str">
        <f>IF(AM892,A892&amp;", "&amp;B892,"")</f>
        <v/>
      </c>
      <c r="AO892" s="129">
        <v>1</v>
      </c>
      <c r="AP892" s="129">
        <v>1</v>
      </c>
      <c r="AQ892" s="129">
        <v>1</v>
      </c>
      <c r="AR892" s="129">
        <v>1</v>
      </c>
      <c r="AS892" s="129">
        <v>1</v>
      </c>
      <c r="AT892" s="129">
        <v>1</v>
      </c>
      <c r="AU892" s="129">
        <v>1</v>
      </c>
      <c r="AV892" s="129">
        <v>1</v>
      </c>
      <c r="AW892" s="129"/>
      <c r="AX892" s="197"/>
      <c r="AY892" s="197"/>
      <c r="AZ892" s="197"/>
      <c r="BA892" s="197">
        <v>1</v>
      </c>
      <c r="BB892" s="129">
        <v>1</v>
      </c>
      <c r="BC892" s="129">
        <v>1</v>
      </c>
      <c r="BD892" s="129">
        <v>1</v>
      </c>
      <c r="BE892" s="129">
        <v>1</v>
      </c>
      <c r="BF892" s="129">
        <v>1</v>
      </c>
      <c r="BG892" s="129">
        <v>1</v>
      </c>
      <c r="BH892" s="129">
        <v>1</v>
      </c>
      <c r="BI892" s="129">
        <v>1</v>
      </c>
      <c r="BJ892" s="129">
        <v>1</v>
      </c>
      <c r="BK892" s="129">
        <v>1</v>
      </c>
      <c r="BL892" s="129">
        <v>1</v>
      </c>
      <c r="BM892" s="197"/>
    </row>
    <row r="893" spans="1:65" x14ac:dyDescent="0.25">
      <c r="A893" s="121" t="s">
        <v>91</v>
      </c>
      <c r="B893" s="121" t="s">
        <v>26</v>
      </c>
      <c r="C893" s="172" t="s">
        <v>222</v>
      </c>
      <c r="D893" s="161">
        <v>1</v>
      </c>
      <c r="E893" s="29" t="str">
        <f>INDEX(ra_ScName,MATCH(D893,ra_ScNumber,0))</f>
        <v>Expected nominal return (incl forecast asset revaluations)</v>
      </c>
      <c r="F893" s="54"/>
      <c r="G893" s="54"/>
      <c r="H893" s="54"/>
      <c r="I893" s="54"/>
      <c r="J893" s="54"/>
      <c r="K893" s="54"/>
      <c r="L893" s="54"/>
      <c r="M893" s="54"/>
      <c r="N893" s="54"/>
      <c r="O893" s="54"/>
      <c r="P893" s="54"/>
      <c r="Q893" s="54"/>
      <c r="R893" s="54"/>
      <c r="S893" s="54"/>
      <c r="T893" s="54"/>
      <c r="U893" s="54"/>
      <c r="V893" s="54"/>
      <c r="W893" s="54"/>
      <c r="X893" s="54"/>
      <c r="Y893" s="54"/>
      <c r="Z893" s="54"/>
      <c r="AA893" s="54"/>
      <c r="AB893" s="54"/>
      <c r="AC893" s="54"/>
      <c r="AD893" s="54"/>
      <c r="AE893" s="54"/>
      <c r="AF893" s="54"/>
      <c r="AG893" s="54"/>
      <c r="AH893" s="54"/>
      <c r="AI893" s="117">
        <f t="shared" si="304"/>
        <v>0</v>
      </c>
      <c r="AJ893" s="117">
        <f>SUM(F893:U893)</f>
        <v>0</v>
      </c>
      <c r="AK893" s="117">
        <f t="shared" si="305"/>
        <v>0</v>
      </c>
      <c r="AL893" s="23"/>
      <c r="AM893" s="127" t="b">
        <f>IF(INDEX($AO893:$BM893,0,$F$14)=1,TRUE,FALSE)</f>
        <v>0</v>
      </c>
      <c r="AN893" s="127" t="str">
        <f>IF(AM893,A893&amp;", "&amp;B893,"")</f>
        <v/>
      </c>
      <c r="AO893" s="129">
        <v>1</v>
      </c>
      <c r="AP893" s="129">
        <v>1</v>
      </c>
      <c r="AQ893" s="129">
        <v>1</v>
      </c>
      <c r="AR893" s="129">
        <v>1</v>
      </c>
      <c r="AS893" s="129">
        <v>1</v>
      </c>
      <c r="AT893" s="129">
        <v>1</v>
      </c>
      <c r="AU893" s="129">
        <v>1</v>
      </c>
      <c r="AV893" s="129">
        <v>1</v>
      </c>
      <c r="AW893" s="129"/>
      <c r="AX893" s="197"/>
      <c r="AY893" s="197"/>
      <c r="AZ893" s="197"/>
      <c r="BA893" s="197">
        <v>1</v>
      </c>
      <c r="BB893" s="129">
        <v>1</v>
      </c>
      <c r="BC893" s="129">
        <v>1</v>
      </c>
      <c r="BD893" s="129">
        <v>1</v>
      </c>
      <c r="BE893" s="129">
        <v>1</v>
      </c>
      <c r="BF893" s="129">
        <v>1</v>
      </c>
      <c r="BG893" s="129">
        <v>1</v>
      </c>
      <c r="BH893" s="129">
        <v>1</v>
      </c>
      <c r="BI893" s="129">
        <v>1</v>
      </c>
      <c r="BJ893" s="129">
        <v>1</v>
      </c>
      <c r="BK893" s="129">
        <v>1</v>
      </c>
      <c r="BL893" s="129">
        <v>1</v>
      </c>
      <c r="BM893" s="197"/>
    </row>
    <row r="894" spans="1:65" x14ac:dyDescent="0.25">
      <c r="A894" s="121" t="s">
        <v>91</v>
      </c>
      <c r="B894" s="121" t="s">
        <v>27</v>
      </c>
      <c r="C894" s="172" t="s">
        <v>222</v>
      </c>
      <c r="D894" s="161">
        <v>1</v>
      </c>
      <c r="E894" s="29" t="str">
        <f>INDEX(ra_ScName,MATCH(D894,ra_ScNumber,0))</f>
        <v>Expected nominal return (incl forecast asset revaluations)</v>
      </c>
      <c r="F894" s="54"/>
      <c r="G894" s="54"/>
      <c r="H894" s="54"/>
      <c r="I894" s="54"/>
      <c r="J894" s="54"/>
      <c r="K894" s="54"/>
      <c r="L894" s="54"/>
      <c r="M894" s="54"/>
      <c r="N894" s="54"/>
      <c r="O894" s="54"/>
      <c r="P894" s="54"/>
      <c r="Q894" s="54"/>
      <c r="R894" s="54"/>
      <c r="S894" s="54"/>
      <c r="T894" s="54"/>
      <c r="U894" s="54"/>
      <c r="V894" s="54"/>
      <c r="W894" s="54"/>
      <c r="X894" s="54"/>
      <c r="Y894" s="54"/>
      <c r="Z894" s="54"/>
      <c r="AA894" s="54"/>
      <c r="AB894" s="54"/>
      <c r="AC894" s="54"/>
      <c r="AD894" s="54"/>
      <c r="AE894" s="54"/>
      <c r="AF894" s="54"/>
      <c r="AG894" s="54"/>
      <c r="AH894" s="54"/>
      <c r="AI894" s="117">
        <f t="shared" si="304"/>
        <v>0</v>
      </c>
      <c r="AJ894" s="117">
        <f>SUM(F894:U894)</f>
        <v>0</v>
      </c>
      <c r="AK894" s="117">
        <f t="shared" si="305"/>
        <v>0</v>
      </c>
      <c r="AL894" s="23"/>
      <c r="AM894" s="127" t="b">
        <f>IF(INDEX($AO894:$BM894,0,$F$14)=1,TRUE,FALSE)</f>
        <v>0</v>
      </c>
      <c r="AN894" s="127" t="str">
        <f>IF(AM894,A894&amp;", "&amp;B894,"")</f>
        <v/>
      </c>
      <c r="AO894" s="129">
        <v>1</v>
      </c>
      <c r="AP894" s="129">
        <v>1</v>
      </c>
      <c r="AQ894" s="129">
        <v>1</v>
      </c>
      <c r="AR894" s="129">
        <v>1</v>
      </c>
      <c r="AS894" s="129">
        <v>1</v>
      </c>
      <c r="AT894" s="129">
        <v>1</v>
      </c>
      <c r="AU894" s="129">
        <v>1</v>
      </c>
      <c r="AV894" s="129">
        <v>1</v>
      </c>
      <c r="AW894" s="129"/>
      <c r="AX894" s="197"/>
      <c r="AY894" s="197"/>
      <c r="AZ894" s="197"/>
      <c r="BA894" s="197">
        <v>1</v>
      </c>
      <c r="BB894" s="129">
        <v>1</v>
      </c>
      <c r="BC894" s="129">
        <v>1</v>
      </c>
      <c r="BD894" s="129">
        <v>1</v>
      </c>
      <c r="BE894" s="129">
        <v>1</v>
      </c>
      <c r="BF894" s="129">
        <v>1</v>
      </c>
      <c r="BG894" s="129">
        <v>1</v>
      </c>
      <c r="BH894" s="129">
        <v>1</v>
      </c>
      <c r="BI894" s="129">
        <v>1</v>
      </c>
      <c r="BJ894" s="129">
        <v>1</v>
      </c>
      <c r="BK894" s="129">
        <v>1</v>
      </c>
      <c r="BL894" s="129">
        <v>1</v>
      </c>
      <c r="BM894" s="197"/>
    </row>
    <row r="895" spans="1:65" x14ac:dyDescent="0.25">
      <c r="A895" s="121"/>
      <c r="B895" s="121"/>
      <c r="C895" s="172"/>
      <c r="D895" s="25"/>
      <c r="E895" s="25"/>
      <c r="F895" s="25"/>
      <c r="G895" s="25"/>
      <c r="H895" s="25"/>
      <c r="I895" s="25"/>
      <c r="J895" s="25"/>
      <c r="K895" s="25"/>
      <c r="L895" s="25"/>
      <c r="M895" s="26"/>
      <c r="N895" s="26"/>
      <c r="O895" s="26"/>
      <c r="P895" s="26"/>
      <c r="Q895" s="26"/>
      <c r="R895" s="26"/>
      <c r="S895" s="26"/>
      <c r="T895" s="26"/>
      <c r="U895" s="26"/>
      <c r="V895" s="25"/>
      <c r="W895" s="23"/>
      <c r="X895" s="23"/>
      <c r="Y895" s="23"/>
      <c r="Z895" s="23"/>
      <c r="AA895" s="23"/>
      <c r="AB895" s="23"/>
      <c r="AC895" s="23"/>
      <c r="AD895" s="23"/>
      <c r="AE895" s="23"/>
      <c r="AF895" s="23"/>
      <c r="AG895" s="23"/>
      <c r="AH895" s="23"/>
      <c r="AI895" s="54"/>
      <c r="AJ895" s="54"/>
      <c r="AK895" s="54"/>
      <c r="AL895" s="23"/>
      <c r="AM895" s="127"/>
      <c r="AN895" s="127"/>
      <c r="AO895" s="129"/>
      <c r="AP895" s="129"/>
      <c r="AQ895" s="129"/>
      <c r="AR895" s="129"/>
      <c r="AS895" s="129"/>
      <c r="AT895" s="129"/>
      <c r="AU895" s="129"/>
      <c r="AV895" s="129"/>
      <c r="AW895" s="129"/>
      <c r="AX895" s="197"/>
      <c r="AY895" s="197"/>
      <c r="AZ895" s="197"/>
      <c r="BA895" s="197"/>
      <c r="BB895" s="129"/>
      <c r="BC895" s="129"/>
      <c r="BD895" s="129"/>
      <c r="BE895" s="129"/>
      <c r="BF895" s="129"/>
      <c r="BG895" s="129"/>
      <c r="BH895" s="129"/>
      <c r="BI895" s="129"/>
      <c r="BJ895" s="129"/>
      <c r="BK895" s="129"/>
      <c r="BL895" s="129"/>
      <c r="BM895" s="197"/>
    </row>
    <row r="896" spans="1:65" x14ac:dyDescent="0.25">
      <c r="A896" s="121"/>
      <c r="B896" s="121"/>
      <c r="C896" s="172"/>
      <c r="D896" s="46"/>
      <c r="E896" s="46"/>
      <c r="F896" s="54"/>
      <c r="G896" s="54"/>
      <c r="H896" s="54"/>
      <c r="I896" s="54"/>
      <c r="J896" s="54"/>
      <c r="K896" s="54"/>
      <c r="L896" s="54"/>
      <c r="M896" s="54"/>
      <c r="N896" s="54"/>
      <c r="O896" s="54"/>
      <c r="P896" s="54"/>
      <c r="Q896" s="54"/>
      <c r="R896" s="54"/>
      <c r="S896" s="54"/>
      <c r="T896" s="54"/>
      <c r="U896" s="54"/>
      <c r="V896" s="54"/>
      <c r="W896" s="55"/>
      <c r="X896" s="55"/>
      <c r="Y896" s="55"/>
      <c r="Z896" s="55"/>
      <c r="AA896" s="55"/>
      <c r="AB896" s="55"/>
      <c r="AC896" s="55"/>
      <c r="AD896" s="55"/>
      <c r="AE896" s="55"/>
      <c r="AF896" s="55"/>
      <c r="AG896" s="55"/>
      <c r="AH896" s="55"/>
      <c r="AI896" s="54"/>
      <c r="AJ896" s="54"/>
      <c r="AK896" s="54"/>
      <c r="AL896" s="23"/>
      <c r="AM896" s="127"/>
      <c r="AN896" s="127"/>
      <c r="AO896" s="129"/>
      <c r="AP896" s="129"/>
      <c r="AQ896" s="129"/>
      <c r="AR896" s="129"/>
      <c r="AS896" s="129"/>
      <c r="AT896" s="129"/>
      <c r="AU896" s="129"/>
      <c r="AV896" s="129"/>
      <c r="AW896" s="129"/>
      <c r="AX896" s="197"/>
      <c r="AY896" s="197"/>
      <c r="AZ896" s="197"/>
      <c r="BA896" s="197"/>
      <c r="BB896" s="129"/>
      <c r="BC896" s="129"/>
      <c r="BD896" s="129"/>
      <c r="BE896" s="129"/>
      <c r="BF896" s="129"/>
      <c r="BG896" s="129"/>
      <c r="BH896" s="129"/>
      <c r="BI896" s="129"/>
      <c r="BJ896" s="129"/>
      <c r="BK896" s="129"/>
      <c r="BL896" s="129"/>
      <c r="BM896" s="197"/>
    </row>
    <row r="897" spans="1:65" x14ac:dyDescent="0.25">
      <c r="A897" s="121" t="s">
        <v>91</v>
      </c>
      <c r="B897" s="121" t="s">
        <v>23</v>
      </c>
      <c r="C897" s="172" t="s">
        <v>352</v>
      </c>
      <c r="D897" s="161">
        <v>10</v>
      </c>
      <c r="E897" s="29" t="str">
        <f>INDEX(ra_ScName,MATCH(D897,ra_ScNumber,0))</f>
        <v>Disclosed nominal return (incl actual asset revaluations)</v>
      </c>
      <c r="F897" s="122">
        <v>0</v>
      </c>
      <c r="G897" s="122">
        <v>1420.8027609479807</v>
      </c>
      <c r="H897" s="122">
        <v>0</v>
      </c>
      <c r="I897" s="122">
        <v>0</v>
      </c>
      <c r="J897" s="122">
        <v>59.815960152169708</v>
      </c>
      <c r="K897" s="122">
        <v>0</v>
      </c>
      <c r="L897" s="122">
        <v>48.704125030905935</v>
      </c>
      <c r="M897" s="122">
        <v>0</v>
      </c>
      <c r="N897" s="122">
        <v>1.2522296544035674</v>
      </c>
      <c r="O897" s="122">
        <v>0</v>
      </c>
      <c r="P897" s="122">
        <v>0</v>
      </c>
      <c r="Q897" s="122">
        <v>0</v>
      </c>
      <c r="R897" s="122">
        <v>0</v>
      </c>
      <c r="S897" s="122">
        <v>0</v>
      </c>
      <c r="T897" s="122">
        <v>8230.7183645060832</v>
      </c>
      <c r="U897" s="122">
        <v>0</v>
      </c>
      <c r="V897" s="122">
        <v>9.298460615187004</v>
      </c>
      <c r="W897" s="122">
        <v>0</v>
      </c>
      <c r="X897" s="122">
        <v>0</v>
      </c>
      <c r="Y897" s="122">
        <v>897.95997819923252</v>
      </c>
      <c r="Z897" s="122">
        <v>0</v>
      </c>
      <c r="AA897" s="122">
        <v>34.141188210282884</v>
      </c>
      <c r="AB897" s="122">
        <v>0</v>
      </c>
      <c r="AC897" s="122">
        <v>0</v>
      </c>
      <c r="AD897" s="122">
        <v>0</v>
      </c>
      <c r="AE897" s="122">
        <v>0</v>
      </c>
      <c r="AF897" s="122">
        <v>119.79124713018626</v>
      </c>
      <c r="AG897" s="122">
        <v>1754.1349896381862</v>
      </c>
      <c r="AH897" s="122">
        <v>0</v>
      </c>
      <c r="AI897" s="117">
        <f t="shared" si="304"/>
        <v>12576.619304084619</v>
      </c>
      <c r="AJ897" s="117">
        <f>SUM(F897:U897)</f>
        <v>9761.2934402915434</v>
      </c>
      <c r="AK897" s="117">
        <f t="shared" si="305"/>
        <v>2806.0274031778881</v>
      </c>
      <c r="AL897" s="23"/>
      <c r="AM897" s="127" t="b">
        <f>IF(INDEX($AO897:$BM897,0,$F$14)=1,TRUE,FALSE)</f>
        <v>1</v>
      </c>
      <c r="AN897" s="127" t="str">
        <f>IF(AM897,A897&amp;", "&amp;B897,"")</f>
        <v>Income not included in regulatory profit / (loss) before tax but taxable, 2010/11</v>
      </c>
      <c r="AO897" s="129"/>
      <c r="AP897" s="129"/>
      <c r="AQ897" s="129"/>
      <c r="AR897" s="129"/>
      <c r="AS897" s="129"/>
      <c r="AT897" s="129"/>
      <c r="AU897" s="129"/>
      <c r="AV897" s="129"/>
      <c r="AW897" s="129">
        <v>1</v>
      </c>
      <c r="AX897" s="197">
        <v>1</v>
      </c>
      <c r="AY897" s="197">
        <v>1</v>
      </c>
      <c r="AZ897" s="197">
        <v>1</v>
      </c>
      <c r="BA897" s="197"/>
      <c r="BB897" s="129"/>
      <c r="BC897" s="129"/>
      <c r="BD897" s="129"/>
      <c r="BE897" s="129"/>
      <c r="BF897" s="129"/>
      <c r="BG897" s="129"/>
      <c r="BH897" s="129"/>
      <c r="BI897" s="129"/>
      <c r="BJ897" s="129"/>
      <c r="BK897" s="129"/>
      <c r="BL897" s="129"/>
      <c r="BM897" s="197">
        <v>1</v>
      </c>
    </row>
    <row r="898" spans="1:65" x14ac:dyDescent="0.25">
      <c r="A898" s="121" t="s">
        <v>91</v>
      </c>
      <c r="B898" s="121" t="s">
        <v>24</v>
      </c>
      <c r="C898" s="172" t="s">
        <v>352</v>
      </c>
      <c r="D898" s="161">
        <v>10</v>
      </c>
      <c r="E898" s="29" t="str">
        <f>INDEX(ra_ScName,MATCH(D898,ra_ScNumber,0))</f>
        <v>Disclosed nominal return (incl actual asset revaluations)</v>
      </c>
      <c r="F898" s="122">
        <v>0</v>
      </c>
      <c r="G898" s="122">
        <v>1467.6041873046024</v>
      </c>
      <c r="H898" s="122">
        <v>0</v>
      </c>
      <c r="I898" s="122">
        <v>0</v>
      </c>
      <c r="J898" s="122">
        <v>61.786305601206244</v>
      </c>
      <c r="K898" s="122">
        <v>0</v>
      </c>
      <c r="L898" s="122">
        <v>50.308445196624625</v>
      </c>
      <c r="M898" s="122">
        <v>0</v>
      </c>
      <c r="N898" s="122">
        <v>1.2934782608695652</v>
      </c>
      <c r="O898" s="122">
        <v>0</v>
      </c>
      <c r="P898" s="122">
        <v>0</v>
      </c>
      <c r="Q898" s="122">
        <v>0</v>
      </c>
      <c r="R898" s="122">
        <v>0</v>
      </c>
      <c r="S898" s="122">
        <v>0</v>
      </c>
      <c r="T898" s="122">
        <v>8501.8392899338378</v>
      </c>
      <c r="U898" s="122">
        <v>0</v>
      </c>
      <c r="V898" s="122">
        <v>9.6047531081867099</v>
      </c>
      <c r="W898" s="122">
        <v>0</v>
      </c>
      <c r="X898" s="122">
        <v>0</v>
      </c>
      <c r="Y898" s="122">
        <v>927.5388957984951</v>
      </c>
      <c r="Z898" s="122">
        <v>0</v>
      </c>
      <c r="AA898" s="122">
        <v>35.265803357205179</v>
      </c>
      <c r="AB898" s="122">
        <v>0</v>
      </c>
      <c r="AC898" s="122">
        <v>0</v>
      </c>
      <c r="AD898" s="122">
        <v>0</v>
      </c>
      <c r="AE898" s="122">
        <v>0</v>
      </c>
      <c r="AF898" s="122">
        <v>123.73718627447018</v>
      </c>
      <c r="AG898" s="122">
        <v>1811.916422637619</v>
      </c>
      <c r="AH898" s="122">
        <v>0</v>
      </c>
      <c r="AI898" s="117">
        <f t="shared" si="304"/>
        <v>12990.894767473113</v>
      </c>
      <c r="AJ898" s="117">
        <f>SUM(F898:U898)</f>
        <v>10082.83170629714</v>
      </c>
      <c r="AK898" s="117">
        <f t="shared" si="305"/>
        <v>2898.4583080677894</v>
      </c>
      <c r="AL898" s="23"/>
      <c r="AM898" s="127" t="b">
        <f>IF(INDEX($AO898:$BM898,0,$F$14)=1,TRUE,FALSE)</f>
        <v>1</v>
      </c>
      <c r="AN898" s="127" t="str">
        <f>IF(AM898,A898&amp;", "&amp;B898,"")</f>
        <v>Income not included in regulatory profit / (loss) before tax but taxable, 2011/12</v>
      </c>
      <c r="AO898" s="129"/>
      <c r="AP898" s="129"/>
      <c r="AQ898" s="129"/>
      <c r="AR898" s="129"/>
      <c r="AS898" s="129"/>
      <c r="AT898" s="129"/>
      <c r="AU898" s="129"/>
      <c r="AV898" s="129"/>
      <c r="AW898" s="129">
        <v>1</v>
      </c>
      <c r="AX898" s="197">
        <v>1</v>
      </c>
      <c r="AY898" s="197">
        <v>1</v>
      </c>
      <c r="AZ898" s="197">
        <v>1</v>
      </c>
      <c r="BA898" s="197"/>
      <c r="BB898" s="129"/>
      <c r="BC898" s="129"/>
      <c r="BD898" s="129"/>
      <c r="BE898" s="129"/>
      <c r="BF898" s="129"/>
      <c r="BG898" s="129"/>
      <c r="BH898" s="129"/>
      <c r="BI898" s="129"/>
      <c r="BJ898" s="129"/>
      <c r="BK898" s="129"/>
      <c r="BL898" s="129"/>
      <c r="BM898" s="197">
        <v>1</v>
      </c>
    </row>
    <row r="899" spans="1:65" x14ac:dyDescent="0.25">
      <c r="A899" s="121" t="s">
        <v>91</v>
      </c>
      <c r="B899" s="121" t="s">
        <v>25</v>
      </c>
      <c r="C899" s="172" t="s">
        <v>219</v>
      </c>
      <c r="D899" s="161">
        <v>10</v>
      </c>
      <c r="E899" s="29" t="str">
        <f>INDEX(ra_ScName,MATCH(D899,ra_ScNumber,0))</f>
        <v>Disclosed nominal return (incl actual asset revaluations)</v>
      </c>
      <c r="F899" s="122">
        <v>0</v>
      </c>
      <c r="G899" s="122">
        <v>1105</v>
      </c>
      <c r="H899" s="122">
        <v>0</v>
      </c>
      <c r="I899" s="122">
        <v>0</v>
      </c>
      <c r="J899" s="122">
        <v>0</v>
      </c>
      <c r="K899" s="122">
        <v>0</v>
      </c>
      <c r="L899" s="122">
        <v>158.965</v>
      </c>
      <c r="M899" s="122">
        <v>0</v>
      </c>
      <c r="N899" s="122">
        <v>0</v>
      </c>
      <c r="O899" s="122">
        <v>0</v>
      </c>
      <c r="P899" s="122">
        <v>0</v>
      </c>
      <c r="Q899" s="122">
        <v>0</v>
      </c>
      <c r="R899" s="122">
        <v>0</v>
      </c>
      <c r="S899" s="122">
        <v>0</v>
      </c>
      <c r="T899" s="122">
        <v>8852</v>
      </c>
      <c r="U899" s="122">
        <v>0</v>
      </c>
      <c r="V899" s="122">
        <v>12.13</v>
      </c>
      <c r="W899" s="122">
        <v>0</v>
      </c>
      <c r="X899" s="122">
        <v>0</v>
      </c>
      <c r="Y899" s="122">
        <v>1072</v>
      </c>
      <c r="Z899" s="122">
        <v>0</v>
      </c>
      <c r="AA899" s="122">
        <v>0</v>
      </c>
      <c r="AB899" s="122">
        <v>0</v>
      </c>
      <c r="AC899" s="122">
        <v>0</v>
      </c>
      <c r="AD899" s="122">
        <v>0</v>
      </c>
      <c r="AE899" s="122">
        <v>0</v>
      </c>
      <c r="AF899" s="122">
        <v>0</v>
      </c>
      <c r="AG899" s="122">
        <v>1405.985819</v>
      </c>
      <c r="AH899" s="122">
        <v>0</v>
      </c>
      <c r="AI899" s="117">
        <f t="shared" si="304"/>
        <v>12606.080818999999</v>
      </c>
      <c r="AJ899" s="117">
        <f>SUM(F899:U899)</f>
        <v>10115.965</v>
      </c>
      <c r="AK899" s="117">
        <f t="shared" si="305"/>
        <v>2477.985819</v>
      </c>
      <c r="AL899" s="23"/>
      <c r="AM899" s="127" t="b">
        <f>IF(INDEX($AO899:$BM899,0,$F$14)=1,TRUE,FALSE)</f>
        <v>1</v>
      </c>
      <c r="AN899" s="127" t="str">
        <f>IF(AM899,A899&amp;", "&amp;B899,"")</f>
        <v>Income not included in regulatory profit / (loss) before tax but taxable, 2012/13</v>
      </c>
      <c r="AO899" s="129"/>
      <c r="AP899" s="129"/>
      <c r="AQ899" s="129"/>
      <c r="AR899" s="129"/>
      <c r="AS899" s="129"/>
      <c r="AT899" s="129"/>
      <c r="AU899" s="129"/>
      <c r="AV899" s="129"/>
      <c r="AW899" s="129">
        <v>1</v>
      </c>
      <c r="AX899" s="197">
        <v>1</v>
      </c>
      <c r="AY899" s="197">
        <v>1</v>
      </c>
      <c r="AZ899" s="197">
        <v>1</v>
      </c>
      <c r="BA899" s="197"/>
      <c r="BB899" s="129"/>
      <c r="BC899" s="129"/>
      <c r="BD899" s="129"/>
      <c r="BE899" s="129"/>
      <c r="BF899" s="129"/>
      <c r="BG899" s="129"/>
      <c r="BH899" s="129"/>
      <c r="BI899" s="129"/>
      <c r="BJ899" s="129"/>
      <c r="BK899" s="129"/>
      <c r="BL899" s="129"/>
      <c r="BM899" s="197">
        <v>1</v>
      </c>
    </row>
    <row r="900" spans="1:65" x14ac:dyDescent="0.25">
      <c r="A900" s="121" t="s">
        <v>91</v>
      </c>
      <c r="B900" s="121" t="s">
        <v>26</v>
      </c>
      <c r="C900" s="172" t="s">
        <v>219</v>
      </c>
      <c r="D900" s="161">
        <v>10</v>
      </c>
      <c r="E900" s="29" t="str">
        <f>INDEX(ra_ScName,MATCH(D900,ra_ScNumber,0))</f>
        <v>Disclosed nominal return (incl actual asset revaluations)</v>
      </c>
      <c r="F900" s="122">
        <v>0</v>
      </c>
      <c r="G900" s="122">
        <v>1513</v>
      </c>
      <c r="H900" s="122">
        <v>0</v>
      </c>
      <c r="I900" s="122">
        <v>0</v>
      </c>
      <c r="J900" s="122">
        <v>187.93200600000003</v>
      </c>
      <c r="K900" s="122">
        <v>0</v>
      </c>
      <c r="L900" s="122">
        <v>0</v>
      </c>
      <c r="M900" s="122">
        <v>0</v>
      </c>
      <c r="N900" s="122">
        <v>0</v>
      </c>
      <c r="O900" s="122">
        <v>0</v>
      </c>
      <c r="P900" s="122">
        <v>0</v>
      </c>
      <c r="Q900" s="122">
        <v>0</v>
      </c>
      <c r="R900" s="122">
        <v>0</v>
      </c>
      <c r="S900" s="122">
        <v>0</v>
      </c>
      <c r="T900" s="122">
        <v>8852</v>
      </c>
      <c r="U900" s="122">
        <v>0</v>
      </c>
      <c r="V900" s="122">
        <v>3.3</v>
      </c>
      <c r="W900" s="122">
        <v>0</v>
      </c>
      <c r="X900" s="122">
        <v>0</v>
      </c>
      <c r="Y900" s="122">
        <v>855.08</v>
      </c>
      <c r="Z900" s="122">
        <v>0</v>
      </c>
      <c r="AA900" s="122">
        <v>110</v>
      </c>
      <c r="AB900" s="122">
        <v>0</v>
      </c>
      <c r="AC900" s="122">
        <v>0</v>
      </c>
      <c r="AD900" s="122">
        <v>0</v>
      </c>
      <c r="AE900" s="122">
        <v>0</v>
      </c>
      <c r="AF900" s="122">
        <v>7.1689999999999969</v>
      </c>
      <c r="AG900" s="122">
        <v>1929.158187</v>
      </c>
      <c r="AH900" s="122">
        <v>0</v>
      </c>
      <c r="AI900" s="117">
        <f t="shared" si="304"/>
        <v>13457.639192999999</v>
      </c>
      <c r="AJ900" s="117">
        <f>SUM(F900:U900)</f>
        <v>10552.932005999999</v>
      </c>
      <c r="AK900" s="117">
        <f t="shared" si="305"/>
        <v>2901.4071869999998</v>
      </c>
      <c r="AL900" s="23"/>
      <c r="AM900" s="127" t="b">
        <f>IF(INDEX($AO900:$BM900,0,$F$14)=1,TRUE,FALSE)</f>
        <v>1</v>
      </c>
      <c r="AN900" s="127" t="str">
        <f>IF(AM900,A900&amp;", "&amp;B900,"")</f>
        <v>Income not included in regulatory profit / (loss) before tax but taxable, 2013/14</v>
      </c>
      <c r="AO900" s="129"/>
      <c r="AP900" s="129"/>
      <c r="AQ900" s="129"/>
      <c r="AR900" s="129"/>
      <c r="AS900" s="129"/>
      <c r="AT900" s="129"/>
      <c r="AU900" s="129"/>
      <c r="AV900" s="129"/>
      <c r="AW900" s="129">
        <v>1</v>
      </c>
      <c r="AX900" s="197">
        <v>1</v>
      </c>
      <c r="AY900" s="197">
        <v>1</v>
      </c>
      <c r="AZ900" s="197">
        <v>1</v>
      </c>
      <c r="BA900" s="197"/>
      <c r="BB900" s="129"/>
      <c r="BC900" s="129"/>
      <c r="BD900" s="129"/>
      <c r="BE900" s="129"/>
      <c r="BF900" s="129"/>
      <c r="BG900" s="129"/>
      <c r="BH900" s="129"/>
      <c r="BI900" s="129"/>
      <c r="BJ900" s="129"/>
      <c r="BK900" s="129"/>
      <c r="BL900" s="129"/>
      <c r="BM900" s="197">
        <v>1</v>
      </c>
    </row>
    <row r="901" spans="1:65" x14ac:dyDescent="0.25">
      <c r="A901" s="121" t="s">
        <v>91</v>
      </c>
      <c r="B901" s="121" t="s">
        <v>27</v>
      </c>
      <c r="C901" s="172" t="s">
        <v>219</v>
      </c>
      <c r="D901" s="161">
        <v>10</v>
      </c>
      <c r="E901" s="29" t="str">
        <f>INDEX(ra_ScName,MATCH(D901,ra_ScNumber,0))</f>
        <v>Disclosed nominal return (incl actual asset revaluations)</v>
      </c>
      <c r="F901" s="122">
        <v>0</v>
      </c>
      <c r="G901" s="122">
        <v>1957</v>
      </c>
      <c r="H901" s="122">
        <v>0</v>
      </c>
      <c r="I901" s="122">
        <v>0</v>
      </c>
      <c r="J901" s="122">
        <v>0</v>
      </c>
      <c r="K901" s="122">
        <v>0</v>
      </c>
      <c r="L901" s="122">
        <v>0</v>
      </c>
      <c r="M901" s="122">
        <v>0</v>
      </c>
      <c r="N901" s="122">
        <v>4</v>
      </c>
      <c r="O901" s="122">
        <v>0</v>
      </c>
      <c r="P901" s="122">
        <v>0</v>
      </c>
      <c r="Q901" s="122">
        <v>0</v>
      </c>
      <c r="R901" s="122">
        <v>0</v>
      </c>
      <c r="S901" s="122">
        <v>0</v>
      </c>
      <c r="T901" s="122">
        <v>8852</v>
      </c>
      <c r="U901" s="122">
        <v>0</v>
      </c>
      <c r="V901" s="122">
        <v>14.558999999999999</v>
      </c>
      <c r="W901" s="122">
        <v>0</v>
      </c>
      <c r="X901" s="122">
        <v>0</v>
      </c>
      <c r="Y901" s="122">
        <v>971.46</v>
      </c>
      <c r="Z901" s="122">
        <v>0</v>
      </c>
      <c r="AA901" s="122">
        <v>0</v>
      </c>
      <c r="AB901" s="122">
        <v>0</v>
      </c>
      <c r="AC901" s="122">
        <v>0</v>
      </c>
      <c r="AD901" s="122">
        <v>0</v>
      </c>
      <c r="AE901" s="122">
        <v>0</v>
      </c>
      <c r="AF901" s="122">
        <v>375.54189000000002</v>
      </c>
      <c r="AG901" s="122">
        <v>2314.6037799999999</v>
      </c>
      <c r="AH901" s="122">
        <v>0</v>
      </c>
      <c r="AI901" s="117">
        <f t="shared" si="304"/>
        <v>14489.16467</v>
      </c>
      <c r="AJ901" s="117">
        <f>SUM(F901:U901)</f>
        <v>10813</v>
      </c>
      <c r="AK901" s="117">
        <f t="shared" si="305"/>
        <v>3661.6056699999999</v>
      </c>
      <c r="AL901" s="23"/>
      <c r="AM901" s="127" t="b">
        <f>IF(INDEX($AO901:$BM901,0,$F$14)=1,TRUE,FALSE)</f>
        <v>1</v>
      </c>
      <c r="AN901" s="127" t="str">
        <f>IF(AM901,A901&amp;", "&amp;B901,"")</f>
        <v>Income not included in regulatory profit / (loss) before tax but taxable, 2014/15</v>
      </c>
      <c r="AO901" s="129"/>
      <c r="AP901" s="129"/>
      <c r="AQ901" s="129"/>
      <c r="AR901" s="129"/>
      <c r="AS901" s="129"/>
      <c r="AT901" s="129"/>
      <c r="AU901" s="129"/>
      <c r="AV901" s="129"/>
      <c r="AW901" s="129">
        <v>1</v>
      </c>
      <c r="AX901" s="197">
        <v>1</v>
      </c>
      <c r="AY901" s="197">
        <v>1</v>
      </c>
      <c r="AZ901" s="197">
        <v>1</v>
      </c>
      <c r="BA901" s="197"/>
      <c r="BB901" s="129"/>
      <c r="BC901" s="129"/>
      <c r="BD901" s="129"/>
      <c r="BE901" s="129"/>
      <c r="BF901" s="129"/>
      <c r="BG901" s="129"/>
      <c r="BH901" s="129"/>
      <c r="BI901" s="129"/>
      <c r="BJ901" s="129"/>
      <c r="BK901" s="129"/>
      <c r="BL901" s="129"/>
      <c r="BM901" s="197">
        <v>1</v>
      </c>
    </row>
    <row r="902" spans="1:65" x14ac:dyDescent="0.25">
      <c r="A902" s="121"/>
      <c r="B902" s="121"/>
      <c r="C902" s="172"/>
      <c r="D902" s="25"/>
      <c r="E902" s="25"/>
      <c r="F902" s="54"/>
      <c r="G902" s="54"/>
      <c r="H902" s="54"/>
      <c r="I902" s="54"/>
      <c r="J902" s="54"/>
      <c r="K902" s="54"/>
      <c r="L902" s="54"/>
      <c r="M902" s="54"/>
      <c r="N902" s="54"/>
      <c r="O902" s="54"/>
      <c r="P902" s="54"/>
      <c r="Q902" s="54"/>
      <c r="R902" s="54"/>
      <c r="S902" s="54"/>
      <c r="T902" s="54"/>
      <c r="U902" s="54"/>
      <c r="V902" s="54"/>
      <c r="W902" s="54"/>
      <c r="X902" s="54"/>
      <c r="Y902" s="54"/>
      <c r="Z902" s="54"/>
      <c r="AA902" s="54"/>
      <c r="AB902" s="54"/>
      <c r="AC902" s="54"/>
      <c r="AD902" s="54"/>
      <c r="AE902" s="54"/>
      <c r="AF902" s="54"/>
      <c r="AG902" s="54"/>
      <c r="AH902" s="54"/>
      <c r="AI902" s="54"/>
      <c r="AJ902" s="54"/>
      <c r="AK902" s="54"/>
      <c r="AL902" s="23"/>
      <c r="AM902" s="127"/>
      <c r="AN902" s="127"/>
      <c r="AO902" s="129"/>
      <c r="AP902" s="129"/>
      <c r="AQ902" s="129"/>
      <c r="AR902" s="129"/>
      <c r="AS902" s="129"/>
      <c r="AT902" s="129"/>
      <c r="AU902" s="129"/>
      <c r="AV902" s="129"/>
      <c r="AW902" s="129"/>
      <c r="AX902" s="197"/>
      <c r="AY902" s="197"/>
      <c r="AZ902" s="197"/>
      <c r="BA902" s="197"/>
      <c r="BB902" s="129"/>
      <c r="BC902" s="129"/>
      <c r="BD902" s="129"/>
      <c r="BE902" s="129"/>
      <c r="BF902" s="129"/>
      <c r="BG902" s="129"/>
      <c r="BH902" s="129"/>
      <c r="BI902" s="129"/>
      <c r="BJ902" s="129"/>
      <c r="BK902" s="129"/>
      <c r="BL902" s="129"/>
      <c r="BM902" s="197"/>
    </row>
    <row r="903" spans="1:65" x14ac:dyDescent="0.25">
      <c r="A903" s="121"/>
      <c r="B903" s="121"/>
      <c r="C903" s="172"/>
      <c r="D903" s="46"/>
      <c r="E903" s="46"/>
      <c r="F903" s="54"/>
      <c r="G903" s="54"/>
      <c r="H903" s="54"/>
      <c r="I903" s="54"/>
      <c r="J903" s="54"/>
      <c r="K903" s="54"/>
      <c r="L903" s="54"/>
      <c r="M903" s="54"/>
      <c r="N903" s="54"/>
      <c r="O903" s="54"/>
      <c r="P903" s="54"/>
      <c r="Q903" s="54"/>
      <c r="R903" s="54"/>
      <c r="S903" s="54"/>
      <c r="T903" s="54"/>
      <c r="U903" s="54"/>
      <c r="V903" s="54"/>
      <c r="W903" s="55"/>
      <c r="X903" s="55"/>
      <c r="Y903" s="55"/>
      <c r="Z903" s="55"/>
      <c r="AA903" s="55"/>
      <c r="AB903" s="55"/>
      <c r="AC903" s="55"/>
      <c r="AD903" s="55"/>
      <c r="AE903" s="55"/>
      <c r="AF903" s="55"/>
      <c r="AG903" s="55"/>
      <c r="AH903" s="55"/>
      <c r="AI903" s="54"/>
      <c r="AJ903" s="54"/>
      <c r="AK903" s="54"/>
      <c r="AL903" s="23"/>
      <c r="AM903" s="127"/>
      <c r="AN903" s="127"/>
      <c r="AO903" s="129"/>
      <c r="AP903" s="129"/>
      <c r="AQ903" s="129"/>
      <c r="AR903" s="129"/>
      <c r="AS903" s="129"/>
      <c r="AT903" s="129"/>
      <c r="AU903" s="129"/>
      <c r="AV903" s="129"/>
      <c r="AW903" s="129"/>
      <c r="AX903" s="197"/>
      <c r="AY903" s="197"/>
      <c r="AZ903" s="197"/>
      <c r="BA903" s="197"/>
      <c r="BB903" s="129"/>
      <c r="BC903" s="129"/>
      <c r="BD903" s="129"/>
      <c r="BE903" s="129"/>
      <c r="BF903" s="129"/>
      <c r="BG903" s="129"/>
      <c r="BH903" s="129"/>
      <c r="BI903" s="129"/>
      <c r="BJ903" s="129"/>
      <c r="BK903" s="129"/>
      <c r="BL903" s="129"/>
      <c r="BM903" s="197"/>
    </row>
    <row r="904" spans="1:65" x14ac:dyDescent="0.25">
      <c r="A904" s="121" t="s">
        <v>92</v>
      </c>
      <c r="B904" s="121" t="s">
        <v>23</v>
      </c>
      <c r="C904" s="172" t="s">
        <v>222</v>
      </c>
      <c r="D904" s="161">
        <v>1</v>
      </c>
      <c r="E904" s="29" t="str">
        <f>INDEX(ra_ScName,MATCH(D904,ra_ScNumber,0))</f>
        <v>Expected nominal return (incl forecast asset revaluations)</v>
      </c>
      <c r="F904" s="54"/>
      <c r="G904" s="54"/>
      <c r="H904" s="54"/>
      <c r="I904" s="54"/>
      <c r="J904" s="54"/>
      <c r="K904" s="54"/>
      <c r="L904" s="54"/>
      <c r="M904" s="54"/>
      <c r="N904" s="54"/>
      <c r="O904" s="54"/>
      <c r="P904" s="54"/>
      <c r="Q904" s="54"/>
      <c r="R904" s="54"/>
      <c r="S904" s="54"/>
      <c r="T904" s="54"/>
      <c r="U904" s="54"/>
      <c r="V904" s="54"/>
      <c r="W904" s="54"/>
      <c r="X904" s="54"/>
      <c r="Y904" s="54"/>
      <c r="Z904" s="54"/>
      <c r="AA904" s="54"/>
      <c r="AB904" s="54"/>
      <c r="AC904" s="54"/>
      <c r="AD904" s="54"/>
      <c r="AE904" s="54"/>
      <c r="AF904" s="54"/>
      <c r="AG904" s="54"/>
      <c r="AH904" s="54"/>
      <c r="AI904" s="117">
        <f t="shared" si="304"/>
        <v>0</v>
      </c>
      <c r="AJ904" s="117">
        <f>SUM(F904:U904)</f>
        <v>0</v>
      </c>
      <c r="AK904" s="117">
        <f t="shared" si="305"/>
        <v>0</v>
      </c>
      <c r="AL904" s="23"/>
      <c r="AM904" s="127" t="b">
        <f>IF(INDEX($AO904:$BM904,0,$F$14)=1,TRUE,FALSE)</f>
        <v>0</v>
      </c>
      <c r="AN904" s="127" t="str">
        <f>IF(AM904,A904&amp;", "&amp;B904,"")</f>
        <v/>
      </c>
      <c r="AO904" s="129">
        <v>1</v>
      </c>
      <c r="AP904" s="129">
        <v>1</v>
      </c>
      <c r="AQ904" s="129">
        <v>1</v>
      </c>
      <c r="AR904" s="129">
        <v>1</v>
      </c>
      <c r="AS904" s="129">
        <v>1</v>
      </c>
      <c r="AT904" s="129">
        <v>1</v>
      </c>
      <c r="AU904" s="129">
        <v>1</v>
      </c>
      <c r="AV904" s="129">
        <v>1</v>
      </c>
      <c r="AW904" s="129"/>
      <c r="AX904" s="197"/>
      <c r="AY904" s="197"/>
      <c r="AZ904" s="197"/>
      <c r="BA904" s="197">
        <v>1</v>
      </c>
      <c r="BB904" s="129">
        <v>1</v>
      </c>
      <c r="BC904" s="129">
        <v>1</v>
      </c>
      <c r="BD904" s="129">
        <v>1</v>
      </c>
      <c r="BE904" s="129">
        <v>1</v>
      </c>
      <c r="BF904" s="129">
        <v>1</v>
      </c>
      <c r="BG904" s="129">
        <v>1</v>
      </c>
      <c r="BH904" s="129">
        <v>1</v>
      </c>
      <c r="BI904" s="129">
        <v>1</v>
      </c>
      <c r="BJ904" s="129">
        <v>1</v>
      </c>
      <c r="BK904" s="129">
        <v>1</v>
      </c>
      <c r="BL904" s="129">
        <v>1</v>
      </c>
      <c r="BM904" s="197"/>
    </row>
    <row r="905" spans="1:65" x14ac:dyDescent="0.25">
      <c r="A905" s="121" t="s">
        <v>92</v>
      </c>
      <c r="B905" s="121" t="s">
        <v>24</v>
      </c>
      <c r="C905" s="172" t="s">
        <v>222</v>
      </c>
      <c r="D905" s="161">
        <v>1</v>
      </c>
      <c r="E905" s="29" t="str">
        <f>INDEX(ra_ScName,MATCH(D905,ra_ScNumber,0))</f>
        <v>Expected nominal return (incl forecast asset revaluations)</v>
      </c>
      <c r="F905" s="54"/>
      <c r="G905" s="54"/>
      <c r="H905" s="54"/>
      <c r="I905" s="54"/>
      <c r="J905" s="54"/>
      <c r="K905" s="54"/>
      <c r="L905" s="54"/>
      <c r="M905" s="54"/>
      <c r="N905" s="54"/>
      <c r="O905" s="54"/>
      <c r="P905" s="54"/>
      <c r="Q905" s="54"/>
      <c r="R905" s="54"/>
      <c r="S905" s="54"/>
      <c r="T905" s="54"/>
      <c r="U905" s="54"/>
      <c r="V905" s="54"/>
      <c r="W905" s="54"/>
      <c r="X905" s="54"/>
      <c r="Y905" s="54"/>
      <c r="Z905" s="54"/>
      <c r="AA905" s="54"/>
      <c r="AB905" s="54"/>
      <c r="AC905" s="54"/>
      <c r="AD905" s="54"/>
      <c r="AE905" s="54"/>
      <c r="AF905" s="54"/>
      <c r="AG905" s="54"/>
      <c r="AH905" s="54"/>
      <c r="AI905" s="117">
        <f t="shared" si="304"/>
        <v>0</v>
      </c>
      <c r="AJ905" s="117">
        <f>SUM(F905:U905)</f>
        <v>0</v>
      </c>
      <c r="AK905" s="117">
        <f t="shared" si="305"/>
        <v>0</v>
      </c>
      <c r="AL905" s="23"/>
      <c r="AM905" s="127" t="b">
        <f>IF(INDEX($AO905:$BM905,0,$F$14)=1,TRUE,FALSE)</f>
        <v>0</v>
      </c>
      <c r="AN905" s="127" t="str">
        <f>IF(AM905,A905&amp;", "&amp;B905,"")</f>
        <v/>
      </c>
      <c r="AO905" s="129">
        <v>1</v>
      </c>
      <c r="AP905" s="129">
        <v>1</v>
      </c>
      <c r="AQ905" s="129">
        <v>1</v>
      </c>
      <c r="AR905" s="129">
        <v>1</v>
      </c>
      <c r="AS905" s="129">
        <v>1</v>
      </c>
      <c r="AT905" s="129">
        <v>1</v>
      </c>
      <c r="AU905" s="129">
        <v>1</v>
      </c>
      <c r="AV905" s="129">
        <v>1</v>
      </c>
      <c r="AW905" s="129"/>
      <c r="AX905" s="197"/>
      <c r="AY905" s="197"/>
      <c r="AZ905" s="197"/>
      <c r="BA905" s="197">
        <v>1</v>
      </c>
      <c r="BB905" s="129">
        <v>1</v>
      </c>
      <c r="BC905" s="129">
        <v>1</v>
      </c>
      <c r="BD905" s="129">
        <v>1</v>
      </c>
      <c r="BE905" s="129">
        <v>1</v>
      </c>
      <c r="BF905" s="129">
        <v>1</v>
      </c>
      <c r="BG905" s="129">
        <v>1</v>
      </c>
      <c r="BH905" s="129">
        <v>1</v>
      </c>
      <c r="BI905" s="129">
        <v>1</v>
      </c>
      <c r="BJ905" s="129">
        <v>1</v>
      </c>
      <c r="BK905" s="129">
        <v>1</v>
      </c>
      <c r="BL905" s="129">
        <v>1</v>
      </c>
      <c r="BM905" s="197"/>
    </row>
    <row r="906" spans="1:65" x14ac:dyDescent="0.25">
      <c r="A906" s="121" t="s">
        <v>92</v>
      </c>
      <c r="B906" s="121" t="s">
        <v>25</v>
      </c>
      <c r="C906" s="172" t="s">
        <v>222</v>
      </c>
      <c r="D906" s="161">
        <v>1</v>
      </c>
      <c r="E906" s="29" t="str">
        <f>INDEX(ra_ScName,MATCH(D906,ra_ScNumber,0))</f>
        <v>Expected nominal return (incl forecast asset revaluations)</v>
      </c>
      <c r="F906" s="54"/>
      <c r="G906" s="54"/>
      <c r="H906" s="54"/>
      <c r="I906" s="54"/>
      <c r="J906" s="54"/>
      <c r="K906" s="54"/>
      <c r="L906" s="54"/>
      <c r="M906" s="54"/>
      <c r="N906" s="54"/>
      <c r="O906" s="54"/>
      <c r="P906" s="54"/>
      <c r="Q906" s="54"/>
      <c r="R906" s="54"/>
      <c r="S906" s="54"/>
      <c r="T906" s="54"/>
      <c r="U906" s="54"/>
      <c r="V906" s="54"/>
      <c r="W906" s="54"/>
      <c r="X906" s="54"/>
      <c r="Y906" s="54"/>
      <c r="Z906" s="54"/>
      <c r="AA906" s="54"/>
      <c r="AB906" s="54"/>
      <c r="AC906" s="54"/>
      <c r="AD906" s="54"/>
      <c r="AE906" s="54"/>
      <c r="AF906" s="54"/>
      <c r="AG906" s="54"/>
      <c r="AH906" s="54"/>
      <c r="AI906" s="117">
        <f t="shared" si="304"/>
        <v>0</v>
      </c>
      <c r="AJ906" s="117">
        <f>SUM(F906:U906)</f>
        <v>0</v>
      </c>
      <c r="AK906" s="117">
        <f t="shared" si="305"/>
        <v>0</v>
      </c>
      <c r="AL906" s="23"/>
      <c r="AM906" s="127" t="b">
        <f>IF(INDEX($AO906:$BM906,0,$F$14)=1,TRUE,FALSE)</f>
        <v>0</v>
      </c>
      <c r="AN906" s="127" t="str">
        <f>IF(AM906,A906&amp;", "&amp;B906,"")</f>
        <v/>
      </c>
      <c r="AO906" s="129">
        <v>1</v>
      </c>
      <c r="AP906" s="129">
        <v>1</v>
      </c>
      <c r="AQ906" s="129">
        <v>1</v>
      </c>
      <c r="AR906" s="129">
        <v>1</v>
      </c>
      <c r="AS906" s="129">
        <v>1</v>
      </c>
      <c r="AT906" s="129">
        <v>1</v>
      </c>
      <c r="AU906" s="129">
        <v>1</v>
      </c>
      <c r="AV906" s="129">
        <v>1</v>
      </c>
      <c r="AW906" s="129"/>
      <c r="AX906" s="197"/>
      <c r="AY906" s="197"/>
      <c r="AZ906" s="197"/>
      <c r="BA906" s="197">
        <v>1</v>
      </c>
      <c r="BB906" s="129">
        <v>1</v>
      </c>
      <c r="BC906" s="129">
        <v>1</v>
      </c>
      <c r="BD906" s="129">
        <v>1</v>
      </c>
      <c r="BE906" s="129">
        <v>1</v>
      </c>
      <c r="BF906" s="129">
        <v>1</v>
      </c>
      <c r="BG906" s="129">
        <v>1</v>
      </c>
      <c r="BH906" s="129">
        <v>1</v>
      </c>
      <c r="BI906" s="129">
        <v>1</v>
      </c>
      <c r="BJ906" s="129">
        <v>1</v>
      </c>
      <c r="BK906" s="129">
        <v>1</v>
      </c>
      <c r="BL906" s="129">
        <v>1</v>
      </c>
      <c r="BM906" s="197"/>
    </row>
    <row r="907" spans="1:65" x14ac:dyDescent="0.25">
      <c r="A907" s="121" t="s">
        <v>92</v>
      </c>
      <c r="B907" s="121" t="s">
        <v>26</v>
      </c>
      <c r="C907" s="172" t="s">
        <v>222</v>
      </c>
      <c r="D907" s="161">
        <v>1</v>
      </c>
      <c r="E907" s="29" t="str">
        <f>INDEX(ra_ScName,MATCH(D907,ra_ScNumber,0))</f>
        <v>Expected nominal return (incl forecast asset revaluations)</v>
      </c>
      <c r="F907" s="54"/>
      <c r="G907" s="54"/>
      <c r="H907" s="54"/>
      <c r="I907" s="54"/>
      <c r="J907" s="54"/>
      <c r="K907" s="54"/>
      <c r="L907" s="54"/>
      <c r="M907" s="54"/>
      <c r="N907" s="54"/>
      <c r="O907" s="54"/>
      <c r="P907" s="54"/>
      <c r="Q907" s="54"/>
      <c r="R907" s="54"/>
      <c r="S907" s="54"/>
      <c r="T907" s="54"/>
      <c r="U907" s="54"/>
      <c r="V907" s="54"/>
      <c r="W907" s="54"/>
      <c r="X907" s="54"/>
      <c r="Y907" s="54"/>
      <c r="Z907" s="54"/>
      <c r="AA907" s="54"/>
      <c r="AB907" s="54"/>
      <c r="AC907" s="54"/>
      <c r="AD907" s="54"/>
      <c r="AE907" s="54"/>
      <c r="AF907" s="54"/>
      <c r="AG907" s="54"/>
      <c r="AH907" s="54"/>
      <c r="AI907" s="117">
        <f t="shared" si="304"/>
        <v>0</v>
      </c>
      <c r="AJ907" s="117">
        <f>SUM(F907:U907)</f>
        <v>0</v>
      </c>
      <c r="AK907" s="117">
        <f t="shared" si="305"/>
        <v>0</v>
      </c>
      <c r="AL907" s="23"/>
      <c r="AM907" s="127" t="b">
        <f>IF(INDEX($AO907:$BM907,0,$F$14)=1,TRUE,FALSE)</f>
        <v>0</v>
      </c>
      <c r="AN907" s="127" t="str">
        <f>IF(AM907,A907&amp;", "&amp;B907,"")</f>
        <v/>
      </c>
      <c r="AO907" s="129">
        <v>1</v>
      </c>
      <c r="AP907" s="129">
        <v>1</v>
      </c>
      <c r="AQ907" s="129">
        <v>1</v>
      </c>
      <c r="AR907" s="129">
        <v>1</v>
      </c>
      <c r="AS907" s="129">
        <v>1</v>
      </c>
      <c r="AT907" s="129">
        <v>1</v>
      </c>
      <c r="AU907" s="129">
        <v>1</v>
      </c>
      <c r="AV907" s="129">
        <v>1</v>
      </c>
      <c r="AW907" s="129"/>
      <c r="AX907" s="197"/>
      <c r="AY907" s="197"/>
      <c r="AZ907" s="197"/>
      <c r="BA907" s="197">
        <v>1</v>
      </c>
      <c r="BB907" s="129">
        <v>1</v>
      </c>
      <c r="BC907" s="129">
        <v>1</v>
      </c>
      <c r="BD907" s="129">
        <v>1</v>
      </c>
      <c r="BE907" s="129">
        <v>1</v>
      </c>
      <c r="BF907" s="129">
        <v>1</v>
      </c>
      <c r="BG907" s="129">
        <v>1</v>
      </c>
      <c r="BH907" s="129">
        <v>1</v>
      </c>
      <c r="BI907" s="129">
        <v>1</v>
      </c>
      <c r="BJ907" s="129">
        <v>1</v>
      </c>
      <c r="BK907" s="129">
        <v>1</v>
      </c>
      <c r="BL907" s="129">
        <v>1</v>
      </c>
      <c r="BM907" s="197"/>
    </row>
    <row r="908" spans="1:65" x14ac:dyDescent="0.25">
      <c r="A908" s="121" t="s">
        <v>92</v>
      </c>
      <c r="B908" s="121" t="s">
        <v>27</v>
      </c>
      <c r="C908" s="172" t="s">
        <v>222</v>
      </c>
      <c r="D908" s="161">
        <v>1</v>
      </c>
      <c r="E908" s="29" t="str">
        <f>INDEX(ra_ScName,MATCH(D908,ra_ScNumber,0))</f>
        <v>Expected nominal return (incl forecast asset revaluations)</v>
      </c>
      <c r="F908" s="54"/>
      <c r="G908" s="54"/>
      <c r="H908" s="54"/>
      <c r="I908" s="54"/>
      <c r="J908" s="54"/>
      <c r="K908" s="54"/>
      <c r="L908" s="54"/>
      <c r="M908" s="54"/>
      <c r="N908" s="54"/>
      <c r="O908" s="54"/>
      <c r="P908" s="54"/>
      <c r="Q908" s="54"/>
      <c r="R908" s="54"/>
      <c r="S908" s="54"/>
      <c r="T908" s="54"/>
      <c r="U908" s="54"/>
      <c r="V908" s="54"/>
      <c r="W908" s="54"/>
      <c r="X908" s="54"/>
      <c r="Y908" s="54"/>
      <c r="Z908" s="54"/>
      <c r="AA908" s="54"/>
      <c r="AB908" s="54"/>
      <c r="AC908" s="54"/>
      <c r="AD908" s="54"/>
      <c r="AE908" s="54"/>
      <c r="AF908" s="54"/>
      <c r="AG908" s="54"/>
      <c r="AH908" s="54"/>
      <c r="AI908" s="117">
        <f t="shared" si="304"/>
        <v>0</v>
      </c>
      <c r="AJ908" s="117">
        <f>SUM(F908:U908)</f>
        <v>0</v>
      </c>
      <c r="AK908" s="117">
        <f t="shared" si="305"/>
        <v>0</v>
      </c>
      <c r="AL908" s="23"/>
      <c r="AM908" s="127" t="b">
        <f>IF(INDEX($AO908:$BM908,0,$F$14)=1,TRUE,FALSE)</f>
        <v>0</v>
      </c>
      <c r="AN908" s="127" t="str">
        <f>IF(AM908,A908&amp;", "&amp;B908,"")</f>
        <v/>
      </c>
      <c r="AO908" s="129">
        <v>1</v>
      </c>
      <c r="AP908" s="129">
        <v>1</v>
      </c>
      <c r="AQ908" s="129">
        <v>1</v>
      </c>
      <c r="AR908" s="129">
        <v>1</v>
      </c>
      <c r="AS908" s="129">
        <v>1</v>
      </c>
      <c r="AT908" s="129">
        <v>1</v>
      </c>
      <c r="AU908" s="129">
        <v>1</v>
      </c>
      <c r="AV908" s="129">
        <v>1</v>
      </c>
      <c r="AW908" s="129"/>
      <c r="AX908" s="197"/>
      <c r="AY908" s="197"/>
      <c r="AZ908" s="197"/>
      <c r="BA908" s="197">
        <v>1</v>
      </c>
      <c r="BB908" s="129">
        <v>1</v>
      </c>
      <c r="BC908" s="129">
        <v>1</v>
      </c>
      <c r="BD908" s="129">
        <v>1</v>
      </c>
      <c r="BE908" s="129">
        <v>1</v>
      </c>
      <c r="BF908" s="129">
        <v>1</v>
      </c>
      <c r="BG908" s="129">
        <v>1</v>
      </c>
      <c r="BH908" s="129">
        <v>1</v>
      </c>
      <c r="BI908" s="129">
        <v>1</v>
      </c>
      <c r="BJ908" s="129">
        <v>1</v>
      </c>
      <c r="BK908" s="129">
        <v>1</v>
      </c>
      <c r="BL908" s="129">
        <v>1</v>
      </c>
      <c r="BM908" s="197"/>
    </row>
    <row r="909" spans="1:65" x14ac:dyDescent="0.25">
      <c r="A909" s="121"/>
      <c r="B909" s="121"/>
      <c r="C909" s="172"/>
      <c r="D909" s="25"/>
      <c r="E909" s="25"/>
      <c r="F909" s="25"/>
      <c r="G909" s="25"/>
      <c r="H909" s="25"/>
      <c r="I909" s="25"/>
      <c r="J909" s="25"/>
      <c r="K909" s="25"/>
      <c r="L909" s="25"/>
      <c r="M909" s="26"/>
      <c r="N909" s="26"/>
      <c r="O909" s="26"/>
      <c r="P909" s="26"/>
      <c r="Q909" s="26"/>
      <c r="R909" s="26"/>
      <c r="S909" s="26"/>
      <c r="T909" s="26"/>
      <c r="U909" s="26"/>
      <c r="V909" s="25"/>
      <c r="W909" s="23"/>
      <c r="X909" s="23"/>
      <c r="Y909" s="23"/>
      <c r="Z909" s="23"/>
      <c r="AA909" s="23"/>
      <c r="AB909" s="23"/>
      <c r="AC909" s="23"/>
      <c r="AD909" s="23"/>
      <c r="AE909" s="23"/>
      <c r="AF909" s="23"/>
      <c r="AG909" s="23"/>
      <c r="AH909" s="23"/>
      <c r="AI909" s="54"/>
      <c r="AJ909" s="54"/>
      <c r="AK909" s="54"/>
      <c r="AL909" s="23"/>
      <c r="AM909" s="127"/>
      <c r="AN909" s="127"/>
      <c r="AO909" s="129"/>
      <c r="AP909" s="129"/>
      <c r="AQ909" s="129"/>
      <c r="AR909" s="129"/>
      <c r="AS909" s="129"/>
      <c r="AT909" s="129"/>
      <c r="AU909" s="129"/>
      <c r="AV909" s="129"/>
      <c r="AW909" s="129"/>
      <c r="AX909" s="197"/>
      <c r="AY909" s="197"/>
      <c r="AZ909" s="197"/>
      <c r="BA909" s="197"/>
      <c r="BB909" s="129"/>
      <c r="BC909" s="129"/>
      <c r="BD909" s="129"/>
      <c r="BE909" s="129"/>
      <c r="BF909" s="129"/>
      <c r="BG909" s="129"/>
      <c r="BH909" s="129"/>
      <c r="BI909" s="129"/>
      <c r="BJ909" s="129"/>
      <c r="BK909" s="129"/>
      <c r="BL909" s="129"/>
      <c r="BM909" s="197"/>
    </row>
    <row r="910" spans="1:65" x14ac:dyDescent="0.25">
      <c r="A910" s="121"/>
      <c r="B910" s="121"/>
      <c r="C910" s="172"/>
      <c r="D910" s="46"/>
      <c r="E910" s="46"/>
      <c r="F910" s="54"/>
      <c r="G910" s="54"/>
      <c r="H910" s="54"/>
      <c r="I910" s="54"/>
      <c r="J910" s="54"/>
      <c r="K910" s="54"/>
      <c r="L910" s="54"/>
      <c r="M910" s="54"/>
      <c r="N910" s="54"/>
      <c r="O910" s="54"/>
      <c r="P910" s="54"/>
      <c r="Q910" s="54"/>
      <c r="R910" s="54"/>
      <c r="S910" s="54"/>
      <c r="T910" s="54"/>
      <c r="U910" s="54"/>
      <c r="V910" s="54"/>
      <c r="W910" s="55"/>
      <c r="X910" s="55"/>
      <c r="Y910" s="55"/>
      <c r="Z910" s="55"/>
      <c r="AA910" s="55"/>
      <c r="AB910" s="55"/>
      <c r="AC910" s="55"/>
      <c r="AD910" s="55"/>
      <c r="AE910" s="55"/>
      <c r="AF910" s="55"/>
      <c r="AG910" s="55"/>
      <c r="AH910" s="55"/>
      <c r="AI910" s="54"/>
      <c r="AJ910" s="54"/>
      <c r="AK910" s="54"/>
      <c r="AL910" s="23"/>
      <c r="AM910" s="127"/>
      <c r="AN910" s="127"/>
      <c r="AO910" s="129"/>
      <c r="AP910" s="129"/>
      <c r="AQ910" s="129"/>
      <c r="AR910" s="129"/>
      <c r="AS910" s="129"/>
      <c r="AT910" s="129"/>
      <c r="AU910" s="129"/>
      <c r="AV910" s="129"/>
      <c r="AW910" s="129"/>
      <c r="AX910" s="197"/>
      <c r="AY910" s="197"/>
      <c r="AZ910" s="197"/>
      <c r="BA910" s="197"/>
      <c r="BB910" s="129"/>
      <c r="BC910" s="129"/>
      <c r="BD910" s="129"/>
      <c r="BE910" s="129"/>
      <c r="BF910" s="129"/>
      <c r="BG910" s="129"/>
      <c r="BH910" s="129"/>
      <c r="BI910" s="129"/>
      <c r="BJ910" s="129"/>
      <c r="BK910" s="129"/>
      <c r="BL910" s="129"/>
      <c r="BM910" s="197"/>
    </row>
    <row r="911" spans="1:65" x14ac:dyDescent="0.25">
      <c r="A911" s="121" t="s">
        <v>92</v>
      </c>
      <c r="B911" s="121" t="s">
        <v>23</v>
      </c>
      <c r="C911" s="172" t="s">
        <v>352</v>
      </c>
      <c r="D911" s="161">
        <v>10</v>
      </c>
      <c r="E911" s="29" t="str">
        <f>INDEX(ra_ScName,MATCH(D911,ra_ScNumber,0))</f>
        <v>Disclosed nominal return (incl actual asset revaluations)</v>
      </c>
      <c r="F911" s="122">
        <v>11.341889350565237</v>
      </c>
      <c r="G911" s="122">
        <v>-4.9530996431574223</v>
      </c>
      <c r="H911" s="122">
        <v>1.5505634229249861</v>
      </c>
      <c r="I911" s="122">
        <v>3212.8878792080027</v>
      </c>
      <c r="J911" s="122">
        <v>0</v>
      </c>
      <c r="K911" s="122">
        <v>0</v>
      </c>
      <c r="L911" s="122">
        <v>40.495738198847533</v>
      </c>
      <c r="M911" s="122">
        <v>2.5828499583629285</v>
      </c>
      <c r="N911" s="122">
        <v>27.151644856577853</v>
      </c>
      <c r="O911" s="122">
        <v>0.19503476867335562</v>
      </c>
      <c r="P911" s="122">
        <v>135.9374355802974</v>
      </c>
      <c r="Q911" s="122">
        <v>0.34776657100080499</v>
      </c>
      <c r="R911" s="122">
        <v>17.602175631689779</v>
      </c>
      <c r="S911" s="122">
        <v>39.205562880208021</v>
      </c>
      <c r="T911" s="122">
        <v>395.85344320288647</v>
      </c>
      <c r="U911" s="122">
        <v>134.13216825827124</v>
      </c>
      <c r="V911" s="122">
        <v>515.35419355118256</v>
      </c>
      <c r="W911" s="122">
        <v>4.642824189657647</v>
      </c>
      <c r="X911" s="122">
        <v>293.24746756218263</v>
      </c>
      <c r="Y911" s="122">
        <v>2.8282664013666596</v>
      </c>
      <c r="Z911" s="122">
        <v>93.376310079258985</v>
      </c>
      <c r="AA911" s="122">
        <v>82.394716618108532</v>
      </c>
      <c r="AB911" s="122">
        <v>0.62611482720178369</v>
      </c>
      <c r="AC911" s="122">
        <v>1.3378034141670443</v>
      </c>
      <c r="AD911" s="122">
        <v>0</v>
      </c>
      <c r="AE911" s="122">
        <v>0</v>
      </c>
      <c r="AF911" s="122">
        <v>0</v>
      </c>
      <c r="AG911" s="122">
        <v>224.24777931975441</v>
      </c>
      <c r="AH911" s="122">
        <v>251.33916534886822</v>
      </c>
      <c r="AI911" s="117">
        <f t="shared" si="304"/>
        <v>5483.7256935568994</v>
      </c>
      <c r="AJ911" s="117">
        <f>SUM(F911:U911)</f>
        <v>4014.3310522451511</v>
      </c>
      <c r="AK911" s="117">
        <f t="shared" si="305"/>
        <v>954.04044776056594</v>
      </c>
      <c r="AL911" s="23"/>
      <c r="AM911" s="127" t="b">
        <f>IF(INDEX($AO911:$BM911,0,$F$14)=1,TRUE,FALSE)</f>
        <v>1</v>
      </c>
      <c r="AN911" s="127" t="str">
        <f>IF(AM911,A911&amp;", "&amp;B911,"")</f>
        <v>Expenditure or loss in regulatory profit / (loss) before tax but not deductible, 2010/11</v>
      </c>
      <c r="AO911" s="129"/>
      <c r="AP911" s="129"/>
      <c r="AQ911" s="129"/>
      <c r="AR911" s="129"/>
      <c r="AS911" s="129"/>
      <c r="AT911" s="129"/>
      <c r="AU911" s="129"/>
      <c r="AV911" s="129"/>
      <c r="AW911" s="129">
        <v>1</v>
      </c>
      <c r="AX911" s="197">
        <v>1</v>
      </c>
      <c r="AY911" s="197">
        <v>1</v>
      </c>
      <c r="AZ911" s="197">
        <v>1</v>
      </c>
      <c r="BA911" s="197"/>
      <c r="BB911" s="129"/>
      <c r="BC911" s="129"/>
      <c r="BD911" s="129"/>
      <c r="BE911" s="129"/>
      <c r="BF911" s="129"/>
      <c r="BG911" s="129"/>
      <c r="BH911" s="129"/>
      <c r="BI911" s="129"/>
      <c r="BJ911" s="129"/>
      <c r="BK911" s="129"/>
      <c r="BL911" s="129"/>
      <c r="BM911" s="197">
        <v>1</v>
      </c>
    </row>
    <row r="912" spans="1:65" x14ac:dyDescent="0.25">
      <c r="A912" s="121" t="s">
        <v>92</v>
      </c>
      <c r="B912" s="121" t="s">
        <v>24</v>
      </c>
      <c r="C912" s="172" t="s">
        <v>352</v>
      </c>
      <c r="D912" s="161">
        <v>10</v>
      </c>
      <c r="E912" s="29" t="str">
        <f>INDEX(ra_ScName,MATCH(D912,ra_ScNumber,0))</f>
        <v>Disclosed nominal return (incl actual asset revaluations)</v>
      </c>
      <c r="F912" s="122">
        <v>11.715492649893894</v>
      </c>
      <c r="G912" s="122">
        <v>-5.1162553847971504</v>
      </c>
      <c r="H912" s="122">
        <v>1.6016391822378946</v>
      </c>
      <c r="I912" s="122">
        <v>3318.7208206998312</v>
      </c>
      <c r="J912" s="122">
        <v>0</v>
      </c>
      <c r="K912" s="122">
        <v>0</v>
      </c>
      <c r="L912" s="122">
        <v>41.829673042700072</v>
      </c>
      <c r="M912" s="122">
        <v>2.6679293694107171</v>
      </c>
      <c r="N912" s="122">
        <v>28.046023543151083</v>
      </c>
      <c r="O912" s="122">
        <v>0.20145923913043479</v>
      </c>
      <c r="P912" s="122">
        <v>140.41523225643451</v>
      </c>
      <c r="Q912" s="122">
        <v>0.35922204674265218</v>
      </c>
      <c r="R912" s="122">
        <v>18.181993569257127</v>
      </c>
      <c r="S912" s="122">
        <v>40.496999182516227</v>
      </c>
      <c r="T912" s="122">
        <v>408.89290672258983</v>
      </c>
      <c r="U912" s="122">
        <v>138.55049919577939</v>
      </c>
      <c r="V912" s="122">
        <v>532.33002721367416</v>
      </c>
      <c r="W912" s="122">
        <v>4.795759417805729</v>
      </c>
      <c r="X912" s="122">
        <v>302.90707699890714</v>
      </c>
      <c r="Y912" s="122">
        <v>2.921429861727725</v>
      </c>
      <c r="Z912" s="122">
        <v>96.452137787189187</v>
      </c>
      <c r="AA912" s="122">
        <v>85.108809219817871</v>
      </c>
      <c r="AB912" s="122">
        <v>0.64673913043478259</v>
      </c>
      <c r="AC912" s="122">
        <v>1.3818708313263417</v>
      </c>
      <c r="AD912" s="122">
        <v>0</v>
      </c>
      <c r="AE912" s="122">
        <v>0</v>
      </c>
      <c r="AF912" s="122">
        <v>0</v>
      </c>
      <c r="AG912" s="122">
        <v>231.63453011862461</v>
      </c>
      <c r="AH912" s="122">
        <v>259.61830990075617</v>
      </c>
      <c r="AI912" s="117">
        <f t="shared" si="304"/>
        <v>5664.3603257951427</v>
      </c>
      <c r="AJ912" s="117">
        <f>SUM(F912:U912)</f>
        <v>4146.5636353148784</v>
      </c>
      <c r="AK912" s="117">
        <f t="shared" si="305"/>
        <v>985.46666326658965</v>
      </c>
      <c r="AL912" s="23"/>
      <c r="AM912" s="127" t="b">
        <f>IF(INDEX($AO912:$BM912,0,$F$14)=1,TRUE,FALSE)</f>
        <v>1</v>
      </c>
      <c r="AN912" s="127" t="str">
        <f>IF(AM912,A912&amp;", "&amp;B912,"")</f>
        <v>Expenditure or loss in regulatory profit / (loss) before tax but not deductible, 2011/12</v>
      </c>
      <c r="AO912" s="129"/>
      <c r="AP912" s="129"/>
      <c r="AQ912" s="129"/>
      <c r="AR912" s="129"/>
      <c r="AS912" s="129"/>
      <c r="AT912" s="129"/>
      <c r="AU912" s="129"/>
      <c r="AV912" s="129"/>
      <c r="AW912" s="129">
        <v>1</v>
      </c>
      <c r="AX912" s="197">
        <v>1</v>
      </c>
      <c r="AY912" s="197">
        <v>1</v>
      </c>
      <c r="AZ912" s="197">
        <v>1</v>
      </c>
      <c r="BA912" s="197"/>
      <c r="BB912" s="129"/>
      <c r="BC912" s="129"/>
      <c r="BD912" s="129"/>
      <c r="BE912" s="129"/>
      <c r="BF912" s="129"/>
      <c r="BG912" s="129"/>
      <c r="BH912" s="129"/>
      <c r="BI912" s="129"/>
      <c r="BJ912" s="129"/>
      <c r="BK912" s="129"/>
      <c r="BL912" s="129"/>
      <c r="BM912" s="197">
        <v>1</v>
      </c>
    </row>
    <row r="913" spans="1:65" x14ac:dyDescent="0.25">
      <c r="A913" s="121" t="s">
        <v>92</v>
      </c>
      <c r="B913" s="121" t="s">
        <v>25</v>
      </c>
      <c r="C913" s="172" t="s">
        <v>219</v>
      </c>
      <c r="D913" s="161">
        <v>10</v>
      </c>
      <c r="E913" s="29" t="str">
        <f>INDEX(ra_ScName,MATCH(D913,ra_ScNumber,0))</f>
        <v>Disclosed nominal return (incl actual asset revaluations)</v>
      </c>
      <c r="F913" s="122">
        <v>5.1085500000000001</v>
      </c>
      <c r="G913" s="122">
        <v>-16</v>
      </c>
      <c r="H913" s="122">
        <v>1</v>
      </c>
      <c r="I913" s="122">
        <v>5019</v>
      </c>
      <c r="J913" s="122">
        <v>0</v>
      </c>
      <c r="K913" s="122">
        <v>0</v>
      </c>
      <c r="L913" s="122">
        <v>93.8751848</v>
      </c>
      <c r="M913" s="122">
        <v>3.3650000000000002</v>
      </c>
      <c r="N913" s="122">
        <v>5</v>
      </c>
      <c r="O913" s="122">
        <v>0</v>
      </c>
      <c r="P913" s="122">
        <v>149</v>
      </c>
      <c r="Q913" s="122">
        <v>1.1350724999999999</v>
      </c>
      <c r="R913" s="122">
        <v>37.094699999999996</v>
      </c>
      <c r="S913" s="122">
        <v>49.548999999999999</v>
      </c>
      <c r="T913" s="122">
        <v>196</v>
      </c>
      <c r="U913" s="122">
        <v>167.57608000000002</v>
      </c>
      <c r="V913" s="122">
        <v>868.60299999999995</v>
      </c>
      <c r="W913" s="122">
        <v>6.4</v>
      </c>
      <c r="X913" s="122">
        <v>368.22996810419062</v>
      </c>
      <c r="Y913" s="122">
        <v>0</v>
      </c>
      <c r="Z913" s="122">
        <v>6</v>
      </c>
      <c r="AA913" s="122">
        <v>33.703399926493098</v>
      </c>
      <c r="AB913" s="122">
        <v>0</v>
      </c>
      <c r="AC913" s="122">
        <v>0</v>
      </c>
      <c r="AD913" s="122">
        <v>0</v>
      </c>
      <c r="AE913" s="122">
        <v>0</v>
      </c>
      <c r="AF913" s="122">
        <v>0</v>
      </c>
      <c r="AG913" s="122">
        <v>59.846609999999998</v>
      </c>
      <c r="AH913" s="122">
        <v>306</v>
      </c>
      <c r="AI913" s="117">
        <f t="shared" si="304"/>
        <v>7360.4865653306824</v>
      </c>
      <c r="AJ913" s="117">
        <f>SUM(F913:U913)</f>
        <v>5711.7035872999995</v>
      </c>
      <c r="AK913" s="117">
        <f t="shared" si="305"/>
        <v>780.17997803068374</v>
      </c>
      <c r="AL913" s="23"/>
      <c r="AM913" s="127" t="b">
        <f>IF(INDEX($AO913:$BM913,0,$F$14)=1,TRUE,FALSE)</f>
        <v>1</v>
      </c>
      <c r="AN913" s="127" t="str">
        <f>IF(AM913,A913&amp;", "&amp;B913,"")</f>
        <v>Expenditure or loss in regulatory profit / (loss) before tax but not deductible, 2012/13</v>
      </c>
      <c r="AO913" s="129"/>
      <c r="AP913" s="129"/>
      <c r="AQ913" s="129"/>
      <c r="AR913" s="129"/>
      <c r="AS913" s="129"/>
      <c r="AT913" s="129"/>
      <c r="AU913" s="129"/>
      <c r="AV913" s="129"/>
      <c r="AW913" s="129">
        <v>1</v>
      </c>
      <c r="AX913" s="197">
        <v>1</v>
      </c>
      <c r="AY913" s="197">
        <v>1</v>
      </c>
      <c r="AZ913" s="197">
        <v>1</v>
      </c>
      <c r="BA913" s="197"/>
      <c r="BB913" s="129"/>
      <c r="BC913" s="129"/>
      <c r="BD913" s="129"/>
      <c r="BE913" s="129"/>
      <c r="BF913" s="129"/>
      <c r="BG913" s="129"/>
      <c r="BH913" s="129"/>
      <c r="BI913" s="129"/>
      <c r="BJ913" s="129"/>
      <c r="BK913" s="129"/>
      <c r="BL913" s="129"/>
      <c r="BM913" s="197">
        <v>1</v>
      </c>
    </row>
    <row r="914" spans="1:65" x14ac:dyDescent="0.25">
      <c r="A914" s="121" t="s">
        <v>92</v>
      </c>
      <c r="B914" s="121" t="s">
        <v>26</v>
      </c>
      <c r="C914" s="172" t="s">
        <v>219</v>
      </c>
      <c r="D914" s="161">
        <v>10</v>
      </c>
      <c r="E914" s="29" t="str">
        <f>INDEX(ra_ScName,MATCH(D914,ra_ScNumber,0))</f>
        <v>Disclosed nominal return (incl actual asset revaluations)</v>
      </c>
      <c r="F914" s="122">
        <v>6.4359500000000001</v>
      </c>
      <c r="G914" s="122">
        <v>19</v>
      </c>
      <c r="H914" s="122">
        <v>3</v>
      </c>
      <c r="I914" s="122">
        <v>5397.2006546755829</v>
      </c>
      <c r="J914" s="122">
        <v>0</v>
      </c>
      <c r="K914" s="122">
        <v>0</v>
      </c>
      <c r="L914" s="122">
        <v>77</v>
      </c>
      <c r="M914" s="122">
        <v>5</v>
      </c>
      <c r="N914" s="122">
        <v>19</v>
      </c>
      <c r="O914" s="122">
        <v>0</v>
      </c>
      <c r="P914" s="122">
        <v>138.28495582948096</v>
      </c>
      <c r="Q914" s="122">
        <v>0</v>
      </c>
      <c r="R914" s="122">
        <v>9</v>
      </c>
      <c r="S914" s="122">
        <v>42.534970000000001</v>
      </c>
      <c r="T914" s="122">
        <v>157</v>
      </c>
      <c r="U914" s="122">
        <v>165.82768100000001</v>
      </c>
      <c r="V914" s="122">
        <v>386.5</v>
      </c>
      <c r="W914" s="122">
        <v>6</v>
      </c>
      <c r="X914" s="122">
        <v>287.80871556748428</v>
      </c>
      <c r="Y914" s="122">
        <v>2.51945</v>
      </c>
      <c r="Z914" s="122">
        <v>70</v>
      </c>
      <c r="AA914" s="122">
        <v>209</v>
      </c>
      <c r="AB914" s="122">
        <v>0</v>
      </c>
      <c r="AC914" s="122">
        <v>2.2930000000000001</v>
      </c>
      <c r="AD914" s="122">
        <v>0</v>
      </c>
      <c r="AE914" s="122">
        <v>0</v>
      </c>
      <c r="AF914" s="122">
        <v>0</v>
      </c>
      <c r="AG914" s="122">
        <v>335.48566000000005</v>
      </c>
      <c r="AH914" s="122">
        <v>306</v>
      </c>
      <c r="AI914" s="117">
        <f t="shared" si="304"/>
        <v>7644.8910370725471</v>
      </c>
      <c r="AJ914" s="117">
        <f>SUM(F914:U914)</f>
        <v>6039.2842115050635</v>
      </c>
      <c r="AK914" s="117">
        <f t="shared" si="305"/>
        <v>1219.1068255674845</v>
      </c>
      <c r="AL914" s="23"/>
      <c r="AM914" s="127" t="b">
        <f>IF(INDEX($AO914:$BM914,0,$F$14)=1,TRUE,FALSE)</f>
        <v>1</v>
      </c>
      <c r="AN914" s="127" t="str">
        <f>IF(AM914,A914&amp;", "&amp;B914,"")</f>
        <v>Expenditure or loss in regulatory profit / (loss) before tax but not deductible, 2013/14</v>
      </c>
      <c r="AO914" s="129"/>
      <c r="AP914" s="129"/>
      <c r="AQ914" s="129"/>
      <c r="AR914" s="129"/>
      <c r="AS914" s="129"/>
      <c r="AT914" s="129"/>
      <c r="AU914" s="129"/>
      <c r="AV914" s="129"/>
      <c r="AW914" s="129">
        <v>1</v>
      </c>
      <c r="AX914" s="197">
        <v>1</v>
      </c>
      <c r="AY914" s="197">
        <v>1</v>
      </c>
      <c r="AZ914" s="197">
        <v>1</v>
      </c>
      <c r="BA914" s="197"/>
      <c r="BB914" s="129"/>
      <c r="BC914" s="129"/>
      <c r="BD914" s="129"/>
      <c r="BE914" s="129"/>
      <c r="BF914" s="129"/>
      <c r="BG914" s="129"/>
      <c r="BH914" s="129"/>
      <c r="BI914" s="129"/>
      <c r="BJ914" s="129"/>
      <c r="BK914" s="129"/>
      <c r="BL914" s="129"/>
      <c r="BM914" s="197">
        <v>1</v>
      </c>
    </row>
    <row r="915" spans="1:65" x14ac:dyDescent="0.25">
      <c r="A915" s="121" t="s">
        <v>92</v>
      </c>
      <c r="B915" s="121" t="s">
        <v>27</v>
      </c>
      <c r="C915" s="172" t="s">
        <v>219</v>
      </c>
      <c r="D915" s="161">
        <v>10</v>
      </c>
      <c r="E915" s="29" t="str">
        <f>INDEX(ra_ScName,MATCH(D915,ra_ScNumber,0))</f>
        <v>Disclosed nominal return (incl actual asset revaluations)</v>
      </c>
      <c r="F915" s="122">
        <v>25</v>
      </c>
      <c r="G915" s="122">
        <v>-19</v>
      </c>
      <c r="H915" s="122">
        <v>1</v>
      </c>
      <c r="I915" s="122">
        <v>0</v>
      </c>
      <c r="J915" s="122">
        <v>4.7488673055497976</v>
      </c>
      <c r="K915" s="122">
        <v>0</v>
      </c>
      <c r="L915" s="122">
        <v>-38.858130000000003</v>
      </c>
      <c r="M915" s="122">
        <v>0</v>
      </c>
      <c r="N915" s="122">
        <v>63</v>
      </c>
      <c r="O915" s="122">
        <v>0.623</v>
      </c>
      <c r="P915" s="122">
        <v>151.30226525981735</v>
      </c>
      <c r="Q915" s="122">
        <v>0</v>
      </c>
      <c r="R915" s="122">
        <v>11</v>
      </c>
      <c r="S915" s="122">
        <v>34.571419999999996</v>
      </c>
      <c r="T915" s="122">
        <v>917</v>
      </c>
      <c r="U915" s="122">
        <v>100.04901</v>
      </c>
      <c r="V915" s="122">
        <v>412.92599999999999</v>
      </c>
      <c r="W915" s="122">
        <v>2.6184600000000002</v>
      </c>
      <c r="X915" s="122">
        <v>291</v>
      </c>
      <c r="Y915" s="122">
        <v>6.5364799999999992</v>
      </c>
      <c r="Z915" s="122">
        <v>223</v>
      </c>
      <c r="AA915" s="122">
        <v>23</v>
      </c>
      <c r="AB915" s="122">
        <v>2</v>
      </c>
      <c r="AC915" s="122">
        <v>2</v>
      </c>
      <c r="AD915" s="122">
        <v>0</v>
      </c>
      <c r="AE915" s="122">
        <v>0</v>
      </c>
      <c r="AF915" s="122">
        <v>0</v>
      </c>
      <c r="AG915" s="122">
        <v>325.13410000000005</v>
      </c>
      <c r="AH915" s="122">
        <v>200</v>
      </c>
      <c r="AI915" s="117">
        <f t="shared" si="304"/>
        <v>2738.6514725653669</v>
      </c>
      <c r="AJ915" s="117">
        <f>SUM(F915:U915)</f>
        <v>1250.4364325653671</v>
      </c>
      <c r="AK915" s="117">
        <f t="shared" si="305"/>
        <v>1075.2890400000001</v>
      </c>
      <c r="AL915" s="23"/>
      <c r="AM915" s="127" t="b">
        <f>IF(INDEX($AO915:$BM915,0,$F$14)=1,TRUE,FALSE)</f>
        <v>1</v>
      </c>
      <c r="AN915" s="127" t="str">
        <f>IF(AM915,A915&amp;", "&amp;B915,"")</f>
        <v>Expenditure or loss in regulatory profit / (loss) before tax but not deductible, 2014/15</v>
      </c>
      <c r="AO915" s="129"/>
      <c r="AP915" s="129"/>
      <c r="AQ915" s="129"/>
      <c r="AR915" s="129"/>
      <c r="AS915" s="129"/>
      <c r="AT915" s="129"/>
      <c r="AU915" s="129"/>
      <c r="AV915" s="129"/>
      <c r="AW915" s="129">
        <v>1</v>
      </c>
      <c r="AX915" s="197">
        <v>1</v>
      </c>
      <c r="AY915" s="197">
        <v>1</v>
      </c>
      <c r="AZ915" s="197">
        <v>1</v>
      </c>
      <c r="BA915" s="197"/>
      <c r="BB915" s="129"/>
      <c r="BC915" s="129"/>
      <c r="BD915" s="129"/>
      <c r="BE915" s="129"/>
      <c r="BF915" s="129"/>
      <c r="BG915" s="129"/>
      <c r="BH915" s="129"/>
      <c r="BI915" s="129"/>
      <c r="BJ915" s="129"/>
      <c r="BK915" s="129"/>
      <c r="BL915" s="129"/>
      <c r="BM915" s="197">
        <v>1</v>
      </c>
    </row>
    <row r="916" spans="1:65" x14ac:dyDescent="0.25">
      <c r="A916" s="121"/>
      <c r="B916" s="121"/>
      <c r="C916" s="172"/>
      <c r="D916" s="25"/>
      <c r="E916" s="25"/>
      <c r="F916" s="25"/>
      <c r="G916" s="25"/>
      <c r="H916" s="25"/>
      <c r="I916" s="25"/>
      <c r="J916" s="25"/>
      <c r="K916" s="25"/>
      <c r="L916" s="25"/>
      <c r="M916" s="26"/>
      <c r="N916" s="26"/>
      <c r="O916" s="26"/>
      <c r="P916" s="26"/>
      <c r="Q916" s="26"/>
      <c r="R916" s="26"/>
      <c r="S916" s="26"/>
      <c r="T916" s="26"/>
      <c r="U916" s="26"/>
      <c r="V916" s="25"/>
      <c r="W916" s="23"/>
      <c r="X916" s="23"/>
      <c r="Y916" s="23"/>
      <c r="Z916" s="23"/>
      <c r="AA916" s="23"/>
      <c r="AB916" s="23"/>
      <c r="AC916" s="23"/>
      <c r="AD916" s="23"/>
      <c r="AE916" s="23"/>
      <c r="AF916" s="23"/>
      <c r="AG916" s="23"/>
      <c r="AH916" s="23"/>
      <c r="AI916" s="54"/>
      <c r="AJ916" s="54"/>
      <c r="AK916" s="54"/>
      <c r="AL916" s="23"/>
      <c r="AM916" s="127"/>
      <c r="AN916" s="127"/>
      <c r="AO916" s="129"/>
      <c r="AP916" s="129"/>
      <c r="AQ916" s="129"/>
      <c r="AR916" s="129"/>
      <c r="AS916" s="129"/>
      <c r="AT916" s="129"/>
      <c r="AU916" s="129"/>
      <c r="AV916" s="129"/>
      <c r="AW916" s="129"/>
      <c r="AX916" s="197"/>
      <c r="AY916" s="197"/>
      <c r="AZ916" s="197"/>
      <c r="BA916" s="197"/>
      <c r="BB916" s="129"/>
      <c r="BC916" s="129"/>
      <c r="BD916" s="129"/>
      <c r="BE916" s="129"/>
      <c r="BF916" s="129"/>
      <c r="BG916" s="129"/>
      <c r="BH916" s="129"/>
      <c r="BI916" s="129"/>
      <c r="BJ916" s="129"/>
      <c r="BK916" s="129"/>
      <c r="BL916" s="129"/>
      <c r="BM916" s="197"/>
    </row>
    <row r="917" spans="1:65" x14ac:dyDescent="0.25">
      <c r="A917" s="121"/>
      <c r="B917" s="121"/>
      <c r="C917" s="172"/>
      <c r="D917" s="46"/>
      <c r="E917" s="46"/>
      <c r="F917" s="54"/>
      <c r="G917" s="54"/>
      <c r="H917" s="54"/>
      <c r="I917" s="54"/>
      <c r="J917" s="54"/>
      <c r="K917" s="54"/>
      <c r="L917" s="54"/>
      <c r="M917" s="54"/>
      <c r="N917" s="54"/>
      <c r="O917" s="54"/>
      <c r="P917" s="54"/>
      <c r="Q917" s="54"/>
      <c r="R917" s="54"/>
      <c r="S917" s="54"/>
      <c r="T917" s="54"/>
      <c r="U917" s="54"/>
      <c r="V917" s="54"/>
      <c r="W917" s="55"/>
      <c r="X917" s="55"/>
      <c r="Y917" s="55"/>
      <c r="Z917" s="55"/>
      <c r="AA917" s="55"/>
      <c r="AB917" s="55"/>
      <c r="AC917" s="55"/>
      <c r="AD917" s="55"/>
      <c r="AE917" s="55"/>
      <c r="AF917" s="55"/>
      <c r="AG917" s="55"/>
      <c r="AH917" s="55"/>
      <c r="AI917" s="54"/>
      <c r="AJ917" s="54"/>
      <c r="AK917" s="54"/>
      <c r="AL917" s="23"/>
      <c r="AM917" s="127"/>
      <c r="AN917" s="127"/>
      <c r="AO917" s="129"/>
      <c r="AP917" s="129"/>
      <c r="AQ917" s="129"/>
      <c r="AR917" s="129"/>
      <c r="AS917" s="129"/>
      <c r="AT917" s="129"/>
      <c r="AU917" s="129"/>
      <c r="AV917" s="129"/>
      <c r="AW917" s="129"/>
      <c r="AX917" s="197"/>
      <c r="AY917" s="197"/>
      <c r="AZ917" s="197"/>
      <c r="BA917" s="197"/>
      <c r="BB917" s="129"/>
      <c r="BC917" s="129"/>
      <c r="BD917" s="129"/>
      <c r="BE917" s="129"/>
      <c r="BF917" s="129"/>
      <c r="BG917" s="129"/>
      <c r="BH917" s="129"/>
      <c r="BI917" s="129"/>
      <c r="BJ917" s="129"/>
      <c r="BK917" s="129"/>
      <c r="BL917" s="129"/>
      <c r="BM917" s="197"/>
    </row>
    <row r="918" spans="1:65" x14ac:dyDescent="0.25">
      <c r="A918" s="121" t="s">
        <v>93</v>
      </c>
      <c r="B918" s="121" t="s">
        <v>22</v>
      </c>
      <c r="C918" s="172" t="s">
        <v>397</v>
      </c>
      <c r="D918" s="161">
        <v>1</v>
      </c>
      <c r="E918" s="29" t="str">
        <f t="shared" ref="E918:E923" si="318">INDEX(ra_ScName,MATCH(D918,ra_ScNumber,0))</f>
        <v>Expected nominal return (incl forecast asset revaluations)</v>
      </c>
      <c r="F918" s="122">
        <v>1947.649365948535</v>
      </c>
      <c r="G918" s="122">
        <v>4723.7072989996295</v>
      </c>
      <c r="H918" s="122">
        <v>969.56730426860963</v>
      </c>
      <c r="I918" s="122">
        <v>1628.2647058823529</v>
      </c>
      <c r="J918" s="122">
        <v>2493.688264054083</v>
      </c>
      <c r="K918" s="122">
        <v>1532.7916666666667</v>
      </c>
      <c r="L918" s="122">
        <v>3188.6672946988092</v>
      </c>
      <c r="M918" s="122">
        <v>659.6923381933949</v>
      </c>
      <c r="N918" s="122">
        <v>3255.8977345953144</v>
      </c>
      <c r="O918" s="122">
        <v>1915.7518964747881</v>
      </c>
      <c r="P918" s="122">
        <v>13282.549321039785</v>
      </c>
      <c r="Q918" s="122">
        <v>9275.8050025820594</v>
      </c>
      <c r="R918" s="122">
        <v>3540.3461538461538</v>
      </c>
      <c r="S918" s="122">
        <v>5745.9654665930484</v>
      </c>
      <c r="T918" s="122">
        <v>35800.753705742369</v>
      </c>
      <c r="U918" s="122">
        <v>5583.3148253884183</v>
      </c>
      <c r="V918" s="122">
        <v>1550.6553657672916</v>
      </c>
      <c r="W918" s="54"/>
      <c r="X918" s="54"/>
      <c r="Y918" s="54"/>
      <c r="Z918" s="54"/>
      <c r="AA918" s="54"/>
      <c r="AB918" s="54"/>
      <c r="AC918" s="54"/>
      <c r="AD918" s="54"/>
      <c r="AE918" s="54"/>
      <c r="AF918" s="54"/>
      <c r="AG918" s="54"/>
      <c r="AH918" s="54"/>
      <c r="AI918" s="117">
        <f t="shared" si="304"/>
        <v>97095.067710741307</v>
      </c>
      <c r="AJ918" s="117">
        <f t="shared" ref="AJ918:AJ923" si="319">SUM(F918:U918)</f>
        <v>95544.412344974015</v>
      </c>
      <c r="AK918" s="117">
        <f t="shared" si="305"/>
        <v>0</v>
      </c>
      <c r="AL918" s="23"/>
      <c r="AM918" s="127" t="b">
        <f t="shared" ref="AM918:AM923" si="320">IF(INDEX($AO918:$BM918,0,$F$14)=1,TRUE,FALSE)</f>
        <v>0</v>
      </c>
      <c r="AN918" s="127" t="str">
        <f t="shared" ref="AN918:AN923" si="321">IF(AM918,A918&amp;", "&amp;B918,"")</f>
        <v/>
      </c>
      <c r="AO918" s="129">
        <v>1</v>
      </c>
      <c r="AP918" s="129">
        <v>1</v>
      </c>
      <c r="AQ918" s="129">
        <v>1</v>
      </c>
      <c r="AR918" s="129">
        <v>1</v>
      </c>
      <c r="AS918" s="129">
        <v>1</v>
      </c>
      <c r="AT918" s="129">
        <v>1</v>
      </c>
      <c r="AU918" s="129">
        <v>1</v>
      </c>
      <c r="AV918" s="129">
        <v>1</v>
      </c>
      <c r="AW918" s="129"/>
      <c r="AX918" s="197"/>
      <c r="AY918" s="197"/>
      <c r="AZ918" s="197"/>
      <c r="BA918" s="197">
        <v>1</v>
      </c>
      <c r="BB918" s="129">
        <v>1</v>
      </c>
      <c r="BC918" s="129">
        <v>1</v>
      </c>
      <c r="BD918" s="129">
        <v>1</v>
      </c>
      <c r="BE918" s="129">
        <v>1</v>
      </c>
      <c r="BF918" s="129">
        <v>1</v>
      </c>
      <c r="BG918" s="129">
        <v>1</v>
      </c>
      <c r="BH918" s="129">
        <v>1</v>
      </c>
      <c r="BI918" s="129">
        <v>1</v>
      </c>
      <c r="BJ918" s="129">
        <v>1</v>
      </c>
      <c r="BK918" s="129">
        <v>1</v>
      </c>
      <c r="BL918" s="129">
        <v>1</v>
      </c>
      <c r="BM918" s="197"/>
    </row>
    <row r="919" spans="1:65" x14ac:dyDescent="0.25">
      <c r="A919" s="121" t="s">
        <v>93</v>
      </c>
      <c r="B919" s="121" t="s">
        <v>23</v>
      </c>
      <c r="C919" s="172" t="s">
        <v>397</v>
      </c>
      <c r="D919" s="161">
        <v>1</v>
      </c>
      <c r="E919" s="29" t="str">
        <f t="shared" si="318"/>
        <v>Expected nominal return (incl forecast asset revaluations)</v>
      </c>
      <c r="F919" s="122">
        <v>1947.649365948535</v>
      </c>
      <c r="G919" s="122">
        <v>4723.7072989996295</v>
      </c>
      <c r="H919" s="122">
        <v>969.56730426860963</v>
      </c>
      <c r="I919" s="122">
        <v>1628.2647058823529</v>
      </c>
      <c r="J919" s="122">
        <v>2493.688264054083</v>
      </c>
      <c r="K919" s="122">
        <v>1532.7916666666667</v>
      </c>
      <c r="L919" s="122">
        <v>3188.6672946988092</v>
      </c>
      <c r="M919" s="122">
        <v>659.6923381933949</v>
      </c>
      <c r="N919" s="122">
        <v>3255.8977345953144</v>
      </c>
      <c r="O919" s="122">
        <v>1915.7518964747881</v>
      </c>
      <c r="P919" s="122">
        <v>13282.549321039785</v>
      </c>
      <c r="Q919" s="122">
        <v>9275.8050025820594</v>
      </c>
      <c r="R919" s="122">
        <v>3540.3461538461538</v>
      </c>
      <c r="S919" s="122">
        <v>5745.9654665930484</v>
      </c>
      <c r="T919" s="122">
        <v>35800.753705742369</v>
      </c>
      <c r="U919" s="122">
        <v>5583.3148253884183</v>
      </c>
      <c r="V919" s="122">
        <v>1550.6553657672916</v>
      </c>
      <c r="W919" s="54"/>
      <c r="X919" s="54"/>
      <c r="Y919" s="54"/>
      <c r="Z919" s="54"/>
      <c r="AA919" s="54"/>
      <c r="AB919" s="54"/>
      <c r="AC919" s="54"/>
      <c r="AD919" s="54"/>
      <c r="AE919" s="54"/>
      <c r="AF919" s="54"/>
      <c r="AG919" s="54"/>
      <c r="AH919" s="54"/>
      <c r="AI919" s="117">
        <f t="shared" si="304"/>
        <v>97095.067710741307</v>
      </c>
      <c r="AJ919" s="117">
        <f t="shared" si="319"/>
        <v>95544.412344974015</v>
      </c>
      <c r="AK919" s="117">
        <f t="shared" si="305"/>
        <v>0</v>
      </c>
      <c r="AL919" s="23"/>
      <c r="AM919" s="127" t="b">
        <f t="shared" si="320"/>
        <v>0</v>
      </c>
      <c r="AN919" s="127" t="str">
        <f t="shared" si="321"/>
        <v/>
      </c>
      <c r="AO919" s="129">
        <v>1</v>
      </c>
      <c r="AP919" s="129">
        <v>1</v>
      </c>
      <c r="AQ919" s="129">
        <v>1</v>
      </c>
      <c r="AR919" s="129">
        <v>1</v>
      </c>
      <c r="AS919" s="129">
        <v>1</v>
      </c>
      <c r="AT919" s="129">
        <v>1</v>
      </c>
      <c r="AU919" s="129">
        <v>1</v>
      </c>
      <c r="AV919" s="129">
        <v>1</v>
      </c>
      <c r="AW919" s="129"/>
      <c r="AX919" s="197"/>
      <c r="AY919" s="197"/>
      <c r="AZ919" s="197"/>
      <c r="BA919" s="197">
        <v>1</v>
      </c>
      <c r="BB919" s="129">
        <v>1</v>
      </c>
      <c r="BC919" s="129">
        <v>1</v>
      </c>
      <c r="BD919" s="129">
        <v>1</v>
      </c>
      <c r="BE919" s="129">
        <v>1</v>
      </c>
      <c r="BF919" s="129">
        <v>1</v>
      </c>
      <c r="BG919" s="129">
        <v>1</v>
      </c>
      <c r="BH919" s="129">
        <v>1</v>
      </c>
      <c r="BI919" s="129">
        <v>1</v>
      </c>
      <c r="BJ919" s="129">
        <v>1</v>
      </c>
      <c r="BK919" s="129">
        <v>1</v>
      </c>
      <c r="BL919" s="129">
        <v>1</v>
      </c>
      <c r="BM919" s="197"/>
    </row>
    <row r="920" spans="1:65" x14ac:dyDescent="0.25">
      <c r="A920" s="121" t="s">
        <v>93</v>
      </c>
      <c r="B920" s="121" t="s">
        <v>24</v>
      </c>
      <c r="C920" s="172" t="s">
        <v>397</v>
      </c>
      <c r="D920" s="161">
        <v>1</v>
      </c>
      <c r="E920" s="29" t="str">
        <f t="shared" si="318"/>
        <v>Expected nominal return (incl forecast asset revaluations)</v>
      </c>
      <c r="F920" s="122">
        <v>1947.649365948535</v>
      </c>
      <c r="G920" s="122">
        <v>4723.7072989996295</v>
      </c>
      <c r="H920" s="122">
        <v>969.56730426860963</v>
      </c>
      <c r="I920" s="122">
        <v>1628.2647058823529</v>
      </c>
      <c r="J920" s="122">
        <v>2493.688264054083</v>
      </c>
      <c r="K920" s="122">
        <v>1532.7916666666667</v>
      </c>
      <c r="L920" s="122">
        <v>3188.6672946988092</v>
      </c>
      <c r="M920" s="122">
        <v>659.6923381933949</v>
      </c>
      <c r="N920" s="122">
        <v>3255.8977345953144</v>
      </c>
      <c r="O920" s="122">
        <v>1915.7518964747881</v>
      </c>
      <c r="P920" s="122">
        <v>13282.549321039785</v>
      </c>
      <c r="Q920" s="122">
        <v>9275.8050025820594</v>
      </c>
      <c r="R920" s="122">
        <v>3540.3461538461538</v>
      </c>
      <c r="S920" s="122">
        <v>5745.9654665930484</v>
      </c>
      <c r="T920" s="122">
        <v>35800.753705742369</v>
      </c>
      <c r="U920" s="122">
        <v>5583.3148253884183</v>
      </c>
      <c r="V920" s="122">
        <v>1550.6553657672916</v>
      </c>
      <c r="W920" s="54"/>
      <c r="X920" s="54"/>
      <c r="Y920" s="54"/>
      <c r="Z920" s="54"/>
      <c r="AA920" s="54"/>
      <c r="AB920" s="54"/>
      <c r="AC920" s="54"/>
      <c r="AD920" s="54"/>
      <c r="AE920" s="54"/>
      <c r="AF920" s="54"/>
      <c r="AG920" s="54"/>
      <c r="AH920" s="54"/>
      <c r="AI920" s="117">
        <f t="shared" si="304"/>
        <v>97095.067710741307</v>
      </c>
      <c r="AJ920" s="117">
        <f t="shared" si="319"/>
        <v>95544.412344974015</v>
      </c>
      <c r="AK920" s="117">
        <f t="shared" si="305"/>
        <v>0</v>
      </c>
      <c r="AL920" s="23"/>
      <c r="AM920" s="127" t="b">
        <f t="shared" si="320"/>
        <v>0</v>
      </c>
      <c r="AN920" s="127" t="str">
        <f t="shared" si="321"/>
        <v/>
      </c>
      <c r="AO920" s="129">
        <v>1</v>
      </c>
      <c r="AP920" s="129">
        <v>1</v>
      </c>
      <c r="AQ920" s="129">
        <v>1</v>
      </c>
      <c r="AR920" s="129">
        <v>1</v>
      </c>
      <c r="AS920" s="129">
        <v>1</v>
      </c>
      <c r="AT920" s="129">
        <v>1</v>
      </c>
      <c r="AU920" s="129">
        <v>1</v>
      </c>
      <c r="AV920" s="129">
        <v>1</v>
      </c>
      <c r="AW920" s="129"/>
      <c r="AX920" s="197"/>
      <c r="AY920" s="197"/>
      <c r="AZ920" s="197"/>
      <c r="BA920" s="197">
        <v>1</v>
      </c>
      <c r="BB920" s="129">
        <v>1</v>
      </c>
      <c r="BC920" s="129">
        <v>1</v>
      </c>
      <c r="BD920" s="129">
        <v>1</v>
      </c>
      <c r="BE920" s="129">
        <v>1</v>
      </c>
      <c r="BF920" s="129">
        <v>1</v>
      </c>
      <c r="BG920" s="129">
        <v>1</v>
      </c>
      <c r="BH920" s="129">
        <v>1</v>
      </c>
      <c r="BI920" s="129">
        <v>1</v>
      </c>
      <c r="BJ920" s="129">
        <v>1</v>
      </c>
      <c r="BK920" s="129">
        <v>1</v>
      </c>
      <c r="BL920" s="129">
        <v>1</v>
      </c>
      <c r="BM920" s="197"/>
    </row>
    <row r="921" spans="1:65" x14ac:dyDescent="0.25">
      <c r="A921" s="121" t="s">
        <v>93</v>
      </c>
      <c r="B921" s="121" t="s">
        <v>25</v>
      </c>
      <c r="C921" s="172" t="s">
        <v>397</v>
      </c>
      <c r="D921" s="161">
        <v>1</v>
      </c>
      <c r="E921" s="29" t="str">
        <f t="shared" si="318"/>
        <v>Expected nominal return (incl forecast asset revaluations)</v>
      </c>
      <c r="F921" s="122">
        <v>1947.649365948535</v>
      </c>
      <c r="G921" s="122">
        <v>4723.7072989996295</v>
      </c>
      <c r="H921" s="122">
        <v>969.56730426860963</v>
      </c>
      <c r="I921" s="122">
        <v>1628.2647058823529</v>
      </c>
      <c r="J921" s="122">
        <v>2493.688264054083</v>
      </c>
      <c r="K921" s="122">
        <v>1532.7916666666667</v>
      </c>
      <c r="L921" s="122">
        <v>3188.6672946988092</v>
      </c>
      <c r="M921" s="122">
        <v>659.6923381933949</v>
      </c>
      <c r="N921" s="122">
        <v>3255.8977345953144</v>
      </c>
      <c r="O921" s="122">
        <v>1915.7518964747881</v>
      </c>
      <c r="P921" s="122">
        <v>13282.549321039785</v>
      </c>
      <c r="Q921" s="122">
        <v>9275.8050025820594</v>
      </c>
      <c r="R921" s="122">
        <v>3540.3461538461538</v>
      </c>
      <c r="S921" s="122">
        <v>5745.9654665930484</v>
      </c>
      <c r="T921" s="122">
        <v>35800.753705742369</v>
      </c>
      <c r="U921" s="122">
        <v>5583.3148253884183</v>
      </c>
      <c r="V921" s="122">
        <v>1550.6553657672916</v>
      </c>
      <c r="W921" s="54"/>
      <c r="X921" s="54"/>
      <c r="Y921" s="54"/>
      <c r="Z921" s="54"/>
      <c r="AA921" s="54"/>
      <c r="AB921" s="54"/>
      <c r="AC921" s="54"/>
      <c r="AD921" s="54"/>
      <c r="AE921" s="54"/>
      <c r="AF921" s="54"/>
      <c r="AG921" s="54"/>
      <c r="AH921" s="54"/>
      <c r="AI921" s="117">
        <f t="shared" si="304"/>
        <v>97095.067710741307</v>
      </c>
      <c r="AJ921" s="117">
        <f t="shared" si="319"/>
        <v>95544.412344974015</v>
      </c>
      <c r="AK921" s="117">
        <f t="shared" si="305"/>
        <v>0</v>
      </c>
      <c r="AL921" s="23"/>
      <c r="AM921" s="127" t="b">
        <f t="shared" si="320"/>
        <v>0</v>
      </c>
      <c r="AN921" s="127" t="str">
        <f t="shared" si="321"/>
        <v/>
      </c>
      <c r="AO921" s="129">
        <v>1</v>
      </c>
      <c r="AP921" s="129">
        <v>1</v>
      </c>
      <c r="AQ921" s="129">
        <v>1</v>
      </c>
      <c r="AR921" s="129">
        <v>1</v>
      </c>
      <c r="AS921" s="129">
        <v>1</v>
      </c>
      <c r="AT921" s="129">
        <v>1</v>
      </c>
      <c r="AU921" s="129">
        <v>1</v>
      </c>
      <c r="AV921" s="129">
        <v>1</v>
      </c>
      <c r="AW921" s="129"/>
      <c r="AX921" s="197"/>
      <c r="AY921" s="197"/>
      <c r="AZ921" s="197"/>
      <c r="BA921" s="197">
        <v>1</v>
      </c>
      <c r="BB921" s="129">
        <v>1</v>
      </c>
      <c r="BC921" s="129">
        <v>1</v>
      </c>
      <c r="BD921" s="129">
        <v>1</v>
      </c>
      <c r="BE921" s="129">
        <v>1</v>
      </c>
      <c r="BF921" s="129">
        <v>1</v>
      </c>
      <c r="BG921" s="129">
        <v>1</v>
      </c>
      <c r="BH921" s="129">
        <v>1</v>
      </c>
      <c r="BI921" s="129">
        <v>1</v>
      </c>
      <c r="BJ921" s="129">
        <v>1</v>
      </c>
      <c r="BK921" s="129">
        <v>1</v>
      </c>
      <c r="BL921" s="129">
        <v>1</v>
      </c>
      <c r="BM921" s="197"/>
    </row>
    <row r="922" spans="1:65" x14ac:dyDescent="0.25">
      <c r="A922" s="121" t="s">
        <v>93</v>
      </c>
      <c r="B922" s="121" t="s">
        <v>26</v>
      </c>
      <c r="C922" s="172" t="s">
        <v>397</v>
      </c>
      <c r="D922" s="161">
        <v>1</v>
      </c>
      <c r="E922" s="29" t="str">
        <f t="shared" si="318"/>
        <v>Expected nominal return (incl forecast asset revaluations)</v>
      </c>
      <c r="F922" s="122">
        <v>1947.649365948535</v>
      </c>
      <c r="G922" s="122">
        <v>4723.7072989996295</v>
      </c>
      <c r="H922" s="122">
        <v>969.56730426860963</v>
      </c>
      <c r="I922" s="122">
        <v>1628.2647058823529</v>
      </c>
      <c r="J922" s="122">
        <v>2493.688264054083</v>
      </c>
      <c r="K922" s="122">
        <v>1532.7916666666667</v>
      </c>
      <c r="L922" s="122">
        <v>3188.6672946988092</v>
      </c>
      <c r="M922" s="122">
        <v>659.6923381933949</v>
      </c>
      <c r="N922" s="122">
        <v>3255.8977345953144</v>
      </c>
      <c r="O922" s="122">
        <v>1915.7518964747881</v>
      </c>
      <c r="P922" s="122">
        <v>13282.549321039785</v>
      </c>
      <c r="Q922" s="122">
        <v>9275.8050025820594</v>
      </c>
      <c r="R922" s="122">
        <v>3540.3461538461538</v>
      </c>
      <c r="S922" s="122">
        <v>5745.9654665930484</v>
      </c>
      <c r="T922" s="122">
        <v>35800.753705742369</v>
      </c>
      <c r="U922" s="122">
        <v>5583.3148253884183</v>
      </c>
      <c r="V922" s="122">
        <v>1550.6553657672916</v>
      </c>
      <c r="W922" s="54"/>
      <c r="X922" s="54"/>
      <c r="Y922" s="54"/>
      <c r="Z922" s="54"/>
      <c r="AA922" s="54"/>
      <c r="AB922" s="54"/>
      <c r="AC922" s="54"/>
      <c r="AD922" s="54"/>
      <c r="AE922" s="54"/>
      <c r="AF922" s="54"/>
      <c r="AG922" s="54"/>
      <c r="AH922" s="54"/>
      <c r="AI922" s="117">
        <f t="shared" si="304"/>
        <v>97095.067710741307</v>
      </c>
      <c r="AJ922" s="117">
        <f t="shared" si="319"/>
        <v>95544.412344974015</v>
      </c>
      <c r="AK922" s="117">
        <f t="shared" si="305"/>
        <v>0</v>
      </c>
      <c r="AL922" s="23"/>
      <c r="AM922" s="127" t="b">
        <f t="shared" si="320"/>
        <v>0</v>
      </c>
      <c r="AN922" s="127" t="str">
        <f t="shared" si="321"/>
        <v/>
      </c>
      <c r="AO922" s="129">
        <v>1</v>
      </c>
      <c r="AP922" s="129">
        <v>1</v>
      </c>
      <c r="AQ922" s="129">
        <v>1</v>
      </c>
      <c r="AR922" s="129">
        <v>1</v>
      </c>
      <c r="AS922" s="129">
        <v>1</v>
      </c>
      <c r="AT922" s="129">
        <v>1</v>
      </c>
      <c r="AU922" s="129">
        <v>1</v>
      </c>
      <c r="AV922" s="129">
        <v>1</v>
      </c>
      <c r="AW922" s="129"/>
      <c r="AX922" s="197"/>
      <c r="AY922" s="197"/>
      <c r="AZ922" s="197"/>
      <c r="BA922" s="197">
        <v>1</v>
      </c>
      <c r="BB922" s="129">
        <v>1</v>
      </c>
      <c r="BC922" s="129">
        <v>1</v>
      </c>
      <c r="BD922" s="129">
        <v>1</v>
      </c>
      <c r="BE922" s="129">
        <v>1</v>
      </c>
      <c r="BF922" s="129">
        <v>1</v>
      </c>
      <c r="BG922" s="129">
        <v>1</v>
      </c>
      <c r="BH922" s="129">
        <v>1</v>
      </c>
      <c r="BI922" s="129">
        <v>1</v>
      </c>
      <c r="BJ922" s="129">
        <v>1</v>
      </c>
      <c r="BK922" s="129">
        <v>1</v>
      </c>
      <c r="BL922" s="129">
        <v>1</v>
      </c>
      <c r="BM922" s="197"/>
    </row>
    <row r="923" spans="1:65" x14ac:dyDescent="0.25">
      <c r="A923" s="121" t="s">
        <v>93</v>
      </c>
      <c r="B923" s="121" t="s">
        <v>27</v>
      </c>
      <c r="C923" s="172" t="s">
        <v>397</v>
      </c>
      <c r="D923" s="161">
        <v>1</v>
      </c>
      <c r="E923" s="29" t="str">
        <f t="shared" si="318"/>
        <v>Expected nominal return (incl forecast asset revaluations)</v>
      </c>
      <c r="F923" s="122">
        <v>1947.649365948535</v>
      </c>
      <c r="G923" s="122">
        <v>4723.7072989996295</v>
      </c>
      <c r="H923" s="122">
        <v>969.56730426860963</v>
      </c>
      <c r="I923" s="122">
        <v>1628.2647058823529</v>
      </c>
      <c r="J923" s="122">
        <v>2493.688264054083</v>
      </c>
      <c r="K923" s="122">
        <v>1532.7916666666667</v>
      </c>
      <c r="L923" s="122">
        <v>3188.6672946988092</v>
      </c>
      <c r="M923" s="122">
        <v>659.6923381933949</v>
      </c>
      <c r="N923" s="122">
        <v>3255.8977345953144</v>
      </c>
      <c r="O923" s="122">
        <v>1915.7518964747881</v>
      </c>
      <c r="P923" s="122">
        <v>13282.549321039785</v>
      </c>
      <c r="Q923" s="122">
        <v>9275.8050025820594</v>
      </c>
      <c r="R923" s="122">
        <v>3540.3461538461538</v>
      </c>
      <c r="S923" s="122">
        <v>5745.9654665930484</v>
      </c>
      <c r="T923" s="122">
        <v>35800.753705742369</v>
      </c>
      <c r="U923" s="122">
        <v>5583.3148253884183</v>
      </c>
      <c r="V923" s="122">
        <v>1550.6553657672916</v>
      </c>
      <c r="W923" s="54"/>
      <c r="X923" s="54"/>
      <c r="Y923" s="54"/>
      <c r="Z923" s="54"/>
      <c r="AA923" s="54"/>
      <c r="AB923" s="54"/>
      <c r="AC923" s="54"/>
      <c r="AD923" s="54"/>
      <c r="AE923" s="54"/>
      <c r="AF923" s="54"/>
      <c r="AG923" s="54"/>
      <c r="AH923" s="54"/>
      <c r="AI923" s="117">
        <f t="shared" si="304"/>
        <v>97095.067710741307</v>
      </c>
      <c r="AJ923" s="117">
        <f t="shared" si="319"/>
        <v>95544.412344974015</v>
      </c>
      <c r="AK923" s="117">
        <f t="shared" si="305"/>
        <v>0</v>
      </c>
      <c r="AL923" s="23"/>
      <c r="AM923" s="127" t="b">
        <f t="shared" si="320"/>
        <v>0</v>
      </c>
      <c r="AN923" s="127" t="str">
        <f t="shared" si="321"/>
        <v/>
      </c>
      <c r="AO923" s="129">
        <v>1</v>
      </c>
      <c r="AP923" s="129">
        <v>1</v>
      </c>
      <c r="AQ923" s="129">
        <v>1</v>
      </c>
      <c r="AR923" s="129">
        <v>1</v>
      </c>
      <c r="AS923" s="129">
        <v>1</v>
      </c>
      <c r="AT923" s="129">
        <v>1</v>
      </c>
      <c r="AU923" s="129">
        <v>1</v>
      </c>
      <c r="AV923" s="129">
        <v>1</v>
      </c>
      <c r="AW923" s="129"/>
      <c r="AX923" s="197"/>
      <c r="AY923" s="197"/>
      <c r="AZ923" s="197"/>
      <c r="BA923" s="197">
        <v>1</v>
      </c>
      <c r="BB923" s="129">
        <v>1</v>
      </c>
      <c r="BC923" s="129">
        <v>1</v>
      </c>
      <c r="BD923" s="129">
        <v>1</v>
      </c>
      <c r="BE923" s="129">
        <v>1</v>
      </c>
      <c r="BF923" s="129">
        <v>1</v>
      </c>
      <c r="BG923" s="129">
        <v>1</v>
      </c>
      <c r="BH923" s="129">
        <v>1</v>
      </c>
      <c r="BI923" s="129">
        <v>1</v>
      </c>
      <c r="BJ923" s="129">
        <v>1</v>
      </c>
      <c r="BK923" s="129">
        <v>1</v>
      </c>
      <c r="BL923" s="129">
        <v>1</v>
      </c>
      <c r="BM923" s="197"/>
    </row>
    <row r="924" spans="1:65" x14ac:dyDescent="0.25">
      <c r="A924" s="121"/>
      <c r="B924" s="121"/>
      <c r="C924" s="172"/>
      <c r="D924" s="25"/>
      <c r="E924" s="25"/>
      <c r="F924" s="25"/>
      <c r="G924" s="25"/>
      <c r="H924" s="25"/>
      <c r="I924" s="25"/>
      <c r="J924" s="25"/>
      <c r="K924" s="25"/>
      <c r="L924" s="25"/>
      <c r="M924" s="26"/>
      <c r="N924" s="26"/>
      <c r="O924" s="26"/>
      <c r="P924" s="26"/>
      <c r="Q924" s="26"/>
      <c r="R924" s="26"/>
      <c r="S924" s="26"/>
      <c r="T924" s="26"/>
      <c r="U924" s="26"/>
      <c r="V924" s="25"/>
      <c r="W924" s="23"/>
      <c r="X924" s="23"/>
      <c r="Y924" s="23"/>
      <c r="Z924" s="23"/>
      <c r="AA924" s="23"/>
      <c r="AB924" s="23"/>
      <c r="AC924" s="23"/>
      <c r="AD924" s="23"/>
      <c r="AE924" s="23"/>
      <c r="AF924" s="23"/>
      <c r="AG924" s="23"/>
      <c r="AH924" s="23"/>
      <c r="AI924" s="54"/>
      <c r="AJ924" s="54"/>
      <c r="AK924" s="54"/>
      <c r="AL924" s="23"/>
      <c r="AM924" s="127"/>
      <c r="AN924" s="127"/>
      <c r="AO924" s="129"/>
      <c r="AP924" s="129"/>
      <c r="AQ924" s="129"/>
      <c r="AR924" s="129"/>
      <c r="AS924" s="129"/>
      <c r="AT924" s="129"/>
      <c r="AU924" s="129"/>
      <c r="AV924" s="129"/>
      <c r="AW924" s="129"/>
      <c r="AX924" s="197"/>
      <c r="AY924" s="197"/>
      <c r="AZ924" s="197"/>
      <c r="BA924" s="197"/>
      <c r="BB924" s="129"/>
      <c r="BC924" s="129"/>
      <c r="BD924" s="129"/>
      <c r="BE924" s="129"/>
      <c r="BF924" s="129"/>
      <c r="BG924" s="129"/>
      <c r="BH924" s="129"/>
      <c r="BI924" s="129"/>
      <c r="BJ924" s="129"/>
      <c r="BK924" s="129"/>
      <c r="BL924" s="129"/>
      <c r="BM924" s="197"/>
    </row>
    <row r="925" spans="1:65" x14ac:dyDescent="0.25">
      <c r="A925" s="121"/>
      <c r="B925" s="121"/>
      <c r="C925" s="172"/>
      <c r="D925" s="46"/>
      <c r="E925" s="46"/>
      <c r="F925" s="54"/>
      <c r="G925" s="54"/>
      <c r="H925" s="54"/>
      <c r="I925" s="54"/>
      <c r="J925" s="54"/>
      <c r="K925" s="54"/>
      <c r="L925" s="54"/>
      <c r="M925" s="54"/>
      <c r="N925" s="54"/>
      <c r="O925" s="54"/>
      <c r="P925" s="54"/>
      <c r="Q925" s="54"/>
      <c r="R925" s="54"/>
      <c r="S925" s="54"/>
      <c r="T925" s="54"/>
      <c r="U925" s="54"/>
      <c r="V925" s="54"/>
      <c r="W925" s="55"/>
      <c r="X925" s="55"/>
      <c r="Y925" s="55"/>
      <c r="Z925" s="55"/>
      <c r="AA925" s="55"/>
      <c r="AB925" s="55"/>
      <c r="AC925" s="55"/>
      <c r="AD925" s="55"/>
      <c r="AE925" s="55"/>
      <c r="AF925" s="55"/>
      <c r="AG925" s="55"/>
      <c r="AH925" s="55"/>
      <c r="AI925" s="54"/>
      <c r="AJ925" s="54"/>
      <c r="AK925" s="54"/>
      <c r="AL925" s="23"/>
      <c r="AM925" s="127"/>
      <c r="AN925" s="127"/>
      <c r="AO925" s="129"/>
      <c r="AP925" s="129"/>
      <c r="AQ925" s="129"/>
      <c r="AR925" s="129"/>
      <c r="AS925" s="129"/>
      <c r="AT925" s="129"/>
      <c r="AU925" s="129"/>
      <c r="AV925" s="129"/>
      <c r="AW925" s="129"/>
      <c r="AX925" s="197"/>
      <c r="AY925" s="197"/>
      <c r="AZ925" s="197"/>
      <c r="BA925" s="197"/>
      <c r="BB925" s="129"/>
      <c r="BC925" s="129"/>
      <c r="BD925" s="129"/>
      <c r="BE925" s="129"/>
      <c r="BF925" s="129"/>
      <c r="BG925" s="129"/>
      <c r="BH925" s="129"/>
      <c r="BI925" s="129"/>
      <c r="BJ925" s="129"/>
      <c r="BK925" s="129"/>
      <c r="BL925" s="129"/>
      <c r="BM925" s="197"/>
    </row>
    <row r="926" spans="1:65" x14ac:dyDescent="0.25">
      <c r="A926" s="121" t="s">
        <v>93</v>
      </c>
      <c r="B926" s="121" t="s">
        <v>22</v>
      </c>
      <c r="C926" s="172" t="s">
        <v>209</v>
      </c>
      <c r="D926" s="161">
        <v>10</v>
      </c>
      <c r="E926" s="29" t="str">
        <f t="shared" ref="E926:E931" si="322">INDEX(ra_ScName,MATCH(D926,ra_ScNumber,0))</f>
        <v>Disclosed nominal return (incl actual asset revaluations)</v>
      </c>
      <c r="F926" s="122">
        <v>2863.8143570000002</v>
      </c>
      <c r="G926" s="122">
        <v>5001.1465420000004</v>
      </c>
      <c r="H926" s="122">
        <v>1200.852795</v>
      </c>
      <c r="I926" s="122">
        <v>1141</v>
      </c>
      <c r="J926" s="122">
        <v>2401.7919550000001</v>
      </c>
      <c r="K926" s="122">
        <v>1323.6914813925987</v>
      </c>
      <c r="L926" s="122">
        <v>3483.7898638786824</v>
      </c>
      <c r="M926" s="122">
        <v>792.68438460000004</v>
      </c>
      <c r="N926" s="122">
        <v>3182.0412137682838</v>
      </c>
      <c r="O926" s="122">
        <v>1651.232096153846</v>
      </c>
      <c r="P926" s="122">
        <v>10373.333333333334</v>
      </c>
      <c r="Q926" s="122">
        <v>4084.5132384611211</v>
      </c>
      <c r="R926" s="122">
        <v>3467.013800296711</v>
      </c>
      <c r="S926" s="122">
        <v>5450.5490525727273</v>
      </c>
      <c r="T926" s="122">
        <v>35799.548306148055</v>
      </c>
      <c r="U926" s="122">
        <v>7012.4927626173667</v>
      </c>
      <c r="V926" s="122">
        <v>15754.468188249479</v>
      </c>
      <c r="W926" s="122">
        <v>530.53440077649554</v>
      </c>
      <c r="X926" s="122">
        <v>2699.442805262011</v>
      </c>
      <c r="Y926" s="122">
        <v>3247.5439150000002</v>
      </c>
      <c r="Z926" s="122">
        <v>1032.5794800000001</v>
      </c>
      <c r="AA926" s="122">
        <v>3947.5311210059176</v>
      </c>
      <c r="AB926" s="122">
        <v>1144.9082325719698</v>
      </c>
      <c r="AC926" s="122">
        <v>4536.010238843106</v>
      </c>
      <c r="AD926" s="122">
        <v>547.34428947368417</v>
      </c>
      <c r="AE926" s="122">
        <v>7265.0168003688887</v>
      </c>
      <c r="AF926" s="122">
        <v>1686.7126781838092</v>
      </c>
      <c r="AG926" s="122">
        <v>7045.7428195620014</v>
      </c>
      <c r="AH926" s="122">
        <v>1695.3562959999999</v>
      </c>
      <c r="AI926" s="117">
        <f t="shared" ref="AI926:AI996" si="323">SUM(F926:AH926)</f>
        <v>140362.68644752007</v>
      </c>
      <c r="AJ926" s="117">
        <f t="shared" ref="AJ926:AJ931" si="324">SUM(F926:U926)</f>
        <v>89229.495182222716</v>
      </c>
      <c r="AK926" s="117">
        <f t="shared" ref="AK926:AK996" si="325">SUM(W926:AH926)</f>
        <v>35378.723077047878</v>
      </c>
      <c r="AL926" s="23"/>
      <c r="AM926" s="127" t="b">
        <f t="shared" ref="AM926:AM931" si="326">IF(INDEX($AO926:$BM926,0,$F$14)=1,TRUE,FALSE)</f>
        <v>1</v>
      </c>
      <c r="AN926" s="127" t="str">
        <f t="shared" ref="AN926:AN931" si="327">IF(AM926,A926&amp;", "&amp;B926,"")</f>
        <v>Amortisation of initial differences in asset values, 2009/10</v>
      </c>
      <c r="AO926" s="129"/>
      <c r="AP926" s="129"/>
      <c r="AQ926" s="129"/>
      <c r="AR926" s="129"/>
      <c r="AS926" s="129"/>
      <c r="AT926" s="129"/>
      <c r="AU926" s="129"/>
      <c r="AV926" s="129"/>
      <c r="AW926" s="129">
        <v>1</v>
      </c>
      <c r="AX926" s="197">
        <v>1</v>
      </c>
      <c r="AY926" s="197">
        <v>1</v>
      </c>
      <c r="AZ926" s="197">
        <v>1</v>
      </c>
      <c r="BA926" s="197"/>
      <c r="BB926" s="129"/>
      <c r="BC926" s="129"/>
      <c r="BD926" s="129"/>
      <c r="BE926" s="129"/>
      <c r="BF926" s="129"/>
      <c r="BG926" s="129"/>
      <c r="BH926" s="129"/>
      <c r="BI926" s="129"/>
      <c r="BJ926" s="129"/>
      <c r="BK926" s="129"/>
      <c r="BL926" s="129"/>
      <c r="BM926" s="197">
        <v>1</v>
      </c>
    </row>
    <row r="927" spans="1:65" x14ac:dyDescent="0.25">
      <c r="A927" s="121" t="s">
        <v>93</v>
      </c>
      <c r="B927" s="121" t="s">
        <v>23</v>
      </c>
      <c r="C927" s="172" t="s">
        <v>209</v>
      </c>
      <c r="D927" s="161">
        <v>10</v>
      </c>
      <c r="E927" s="29" t="str">
        <f t="shared" si="322"/>
        <v>Disclosed nominal return (incl actual asset revaluations)</v>
      </c>
      <c r="F927" s="122">
        <v>2849.2523179999998</v>
      </c>
      <c r="G927" s="122">
        <v>4468.2151640000002</v>
      </c>
      <c r="H927" s="122">
        <v>1200.852795</v>
      </c>
      <c r="I927" s="122">
        <v>1117</v>
      </c>
      <c r="J927" s="122">
        <v>2285.2631219999998</v>
      </c>
      <c r="K927" s="122">
        <v>1324.1017760587681</v>
      </c>
      <c r="L927" s="122">
        <v>3806.7013231620331</v>
      </c>
      <c r="M927" s="122">
        <v>762.19652369999994</v>
      </c>
      <c r="N927" s="122">
        <v>3100.6014855840513</v>
      </c>
      <c r="O927" s="122">
        <v>1589.9243616863905</v>
      </c>
      <c r="P927" s="122">
        <v>10230</v>
      </c>
      <c r="Q927" s="122">
        <v>4088.3064707444573</v>
      </c>
      <c r="R927" s="122">
        <v>3235.8795469435968</v>
      </c>
      <c r="S927" s="122">
        <v>5448.1973055359331</v>
      </c>
      <c r="T927" s="122">
        <v>35652.748694265021</v>
      </c>
      <c r="U927" s="122">
        <v>7582.6767932967596</v>
      </c>
      <c r="V927" s="122">
        <v>15754.468188249475</v>
      </c>
      <c r="W927" s="122">
        <v>530.54609668760622</v>
      </c>
      <c r="X927" s="122">
        <v>2699.442805262011</v>
      </c>
      <c r="Y927" s="122">
        <v>3165.3243130000001</v>
      </c>
      <c r="Z927" s="122">
        <v>1051.9001470000001</v>
      </c>
      <c r="AA927" s="122">
        <v>3710.0005951001172</v>
      </c>
      <c r="AB927" s="122">
        <v>1068.5810170671718</v>
      </c>
      <c r="AC927" s="122">
        <v>4233.6095562535666</v>
      </c>
      <c r="AD927" s="122">
        <v>546.10745163584636</v>
      </c>
      <c r="AE927" s="122">
        <v>7280.9063938041745</v>
      </c>
      <c r="AF927" s="122">
        <v>1669.8286547162422</v>
      </c>
      <c r="AG927" s="122">
        <v>7894.6364649531497</v>
      </c>
      <c r="AH927" s="122">
        <v>1688.9746170000001</v>
      </c>
      <c r="AI927" s="117">
        <f t="shared" si="323"/>
        <v>140036.24398070641</v>
      </c>
      <c r="AJ927" s="117">
        <f t="shared" si="324"/>
        <v>88741.917679977021</v>
      </c>
      <c r="AK927" s="117">
        <f t="shared" si="325"/>
        <v>35539.85811247988</v>
      </c>
      <c r="AL927" s="23"/>
      <c r="AM927" s="127" t="b">
        <f t="shared" si="326"/>
        <v>1</v>
      </c>
      <c r="AN927" s="127" t="str">
        <f t="shared" si="327"/>
        <v>Amortisation of initial differences in asset values, 2010/11</v>
      </c>
      <c r="AO927" s="129"/>
      <c r="AP927" s="129"/>
      <c r="AQ927" s="129"/>
      <c r="AR927" s="129"/>
      <c r="AS927" s="129"/>
      <c r="AT927" s="129"/>
      <c r="AU927" s="129"/>
      <c r="AV927" s="129"/>
      <c r="AW927" s="129">
        <v>1</v>
      </c>
      <c r="AX927" s="197">
        <v>1</v>
      </c>
      <c r="AY927" s="197">
        <v>1</v>
      </c>
      <c r="AZ927" s="197">
        <v>1</v>
      </c>
      <c r="BA927" s="197"/>
      <c r="BB927" s="129"/>
      <c r="BC927" s="129"/>
      <c r="BD927" s="129"/>
      <c r="BE927" s="129"/>
      <c r="BF927" s="129"/>
      <c r="BG927" s="129"/>
      <c r="BH927" s="129"/>
      <c r="BI927" s="129"/>
      <c r="BJ927" s="129"/>
      <c r="BK927" s="129"/>
      <c r="BL927" s="129"/>
      <c r="BM927" s="197">
        <v>1</v>
      </c>
    </row>
    <row r="928" spans="1:65" x14ac:dyDescent="0.25">
      <c r="A928" s="121" t="s">
        <v>93</v>
      </c>
      <c r="B928" s="121" t="s">
        <v>24</v>
      </c>
      <c r="C928" s="172" t="s">
        <v>209</v>
      </c>
      <c r="D928" s="161">
        <v>10</v>
      </c>
      <c r="E928" s="29" t="str">
        <f t="shared" si="322"/>
        <v>Disclosed nominal return (incl actual asset revaluations)</v>
      </c>
      <c r="F928" s="122">
        <v>2836.7128213342598</v>
      </c>
      <c r="G928" s="122">
        <v>4151.1763680000004</v>
      </c>
      <c r="H928" s="122">
        <v>1287</v>
      </c>
      <c r="I928" s="122">
        <v>1088</v>
      </c>
      <c r="J928" s="122">
        <v>2270.518235</v>
      </c>
      <c r="K928" s="122">
        <v>1326.6976691234715</v>
      </c>
      <c r="L928" s="122">
        <v>3965.4179267820564</v>
      </c>
      <c r="M928" s="122">
        <v>732.88127280000003</v>
      </c>
      <c r="N928" s="122">
        <v>3019.4074482776105</v>
      </c>
      <c r="O928" s="122">
        <v>1532.7982708522986</v>
      </c>
      <c r="P928" s="122">
        <v>9974.8335359112061</v>
      </c>
      <c r="Q928" s="122">
        <v>4085.3064707444573</v>
      </c>
      <c r="R928" s="122">
        <v>3467.0138002967105</v>
      </c>
      <c r="S928" s="122">
        <v>5837.1189923666179</v>
      </c>
      <c r="T928" s="122">
        <v>35640.12964039098</v>
      </c>
      <c r="U928" s="122">
        <v>7271.8330647929015</v>
      </c>
      <c r="V928" s="122">
        <v>15754.468188249477</v>
      </c>
      <c r="W928" s="122">
        <v>568.44224645100655</v>
      </c>
      <c r="X928" s="122">
        <v>2699.442805262011</v>
      </c>
      <c r="Y928" s="122">
        <v>3089.435242</v>
      </c>
      <c r="Z928" s="122">
        <v>1051.8871710000001</v>
      </c>
      <c r="AA928" s="122">
        <v>3562.8617613001124</v>
      </c>
      <c r="AB928" s="122">
        <v>1144.9082325719696</v>
      </c>
      <c r="AC928" s="122">
        <v>4536.0102388431069</v>
      </c>
      <c r="AD928" s="122">
        <v>546.15209052473529</v>
      </c>
      <c r="AE928" s="122">
        <v>7300.7049215066145</v>
      </c>
      <c r="AF928" s="122">
        <v>1648.9043416188592</v>
      </c>
      <c r="AG928" s="122">
        <v>7270.2832392068958</v>
      </c>
      <c r="AH928" s="122">
        <v>1674.5809159999999</v>
      </c>
      <c r="AI928" s="117">
        <f t="shared" si="323"/>
        <v>139334.92691120738</v>
      </c>
      <c r="AJ928" s="117">
        <f t="shared" si="324"/>
        <v>88486.845516672576</v>
      </c>
      <c r="AK928" s="117">
        <f t="shared" si="325"/>
        <v>35093.613206285307</v>
      </c>
      <c r="AL928" s="23"/>
      <c r="AM928" s="127" t="b">
        <f t="shared" si="326"/>
        <v>1</v>
      </c>
      <c r="AN928" s="127" t="str">
        <f t="shared" si="327"/>
        <v>Amortisation of initial differences in asset values, 2011/12</v>
      </c>
      <c r="AO928" s="129"/>
      <c r="AP928" s="129"/>
      <c r="AQ928" s="129"/>
      <c r="AR928" s="129"/>
      <c r="AS928" s="129"/>
      <c r="AT928" s="129"/>
      <c r="AU928" s="129"/>
      <c r="AV928" s="129"/>
      <c r="AW928" s="129">
        <v>1</v>
      </c>
      <c r="AX928" s="197">
        <v>1</v>
      </c>
      <c r="AY928" s="197">
        <v>1</v>
      </c>
      <c r="AZ928" s="197">
        <v>1</v>
      </c>
      <c r="BA928" s="197"/>
      <c r="BB928" s="129"/>
      <c r="BC928" s="129"/>
      <c r="BD928" s="129"/>
      <c r="BE928" s="129"/>
      <c r="BF928" s="129"/>
      <c r="BG928" s="129"/>
      <c r="BH928" s="129"/>
      <c r="BI928" s="129"/>
      <c r="BJ928" s="129"/>
      <c r="BK928" s="129"/>
      <c r="BL928" s="129"/>
      <c r="BM928" s="197">
        <v>1</v>
      </c>
    </row>
    <row r="929" spans="1:65" x14ac:dyDescent="0.25">
      <c r="A929" s="121" t="s">
        <v>93</v>
      </c>
      <c r="B929" s="121" t="s">
        <v>25</v>
      </c>
      <c r="C929" s="172" t="s">
        <v>219</v>
      </c>
      <c r="D929" s="161">
        <v>10</v>
      </c>
      <c r="E929" s="29" t="str">
        <f t="shared" si="322"/>
        <v>Disclosed nominal return (incl actual asset revaluations)</v>
      </c>
      <c r="F929" s="122">
        <v>2836.7128213342598</v>
      </c>
      <c r="G929" s="122">
        <v>3808.7853230082101</v>
      </c>
      <c r="H929" s="122">
        <v>1286.6279950565795</v>
      </c>
      <c r="I929" s="122">
        <v>1036.9036003830668</v>
      </c>
      <c r="J929" s="122">
        <v>2251.7971375160682</v>
      </c>
      <c r="K929" s="122">
        <v>1339.6763067695817</v>
      </c>
      <c r="L929" s="122">
        <v>4218.9445353069668</v>
      </c>
      <c r="M929" s="122">
        <v>716.73817502319946</v>
      </c>
      <c r="N929" s="122">
        <v>2934.3806025538338</v>
      </c>
      <c r="O929" s="122">
        <v>1476.2429527425948</v>
      </c>
      <c r="P929" s="122">
        <v>10829</v>
      </c>
      <c r="Q929" s="122">
        <v>4085.3064707444569</v>
      </c>
      <c r="R929" s="122">
        <v>3467.0138002967105</v>
      </c>
      <c r="S929" s="122">
        <v>5837.1189923666825</v>
      </c>
      <c r="T929" s="122">
        <v>35370.222586034753</v>
      </c>
      <c r="U929" s="122">
        <v>6456.7706867849056</v>
      </c>
      <c r="V929" s="122">
        <v>15754.468188249475</v>
      </c>
      <c r="W929" s="122">
        <v>567.54066027623674</v>
      </c>
      <c r="X929" s="122">
        <v>2699.1281367070565</v>
      </c>
      <c r="Y929" s="122">
        <v>2989.5879608575815</v>
      </c>
      <c r="Z929" s="122">
        <v>1051.8074884320718</v>
      </c>
      <c r="AA929" s="122">
        <v>3437.5853280617121</v>
      </c>
      <c r="AB929" s="122">
        <v>1144.9082325719696</v>
      </c>
      <c r="AC929" s="122">
        <v>4536.0102388431069</v>
      </c>
      <c r="AD929" s="122">
        <v>546.15209052473529</v>
      </c>
      <c r="AE929" s="122">
        <v>7313.0386579032293</v>
      </c>
      <c r="AF929" s="122">
        <v>1629.3690059136093</v>
      </c>
      <c r="AG929" s="122">
        <v>6942.1303847998142</v>
      </c>
      <c r="AH929" s="122">
        <v>1663.1012413228336</v>
      </c>
      <c r="AI929" s="117">
        <f t="shared" si="323"/>
        <v>138227.06960038532</v>
      </c>
      <c r="AJ929" s="117">
        <f t="shared" si="324"/>
        <v>87952.241985921864</v>
      </c>
      <c r="AK929" s="117">
        <f t="shared" si="325"/>
        <v>34520.35942621396</v>
      </c>
      <c r="AL929" s="23"/>
      <c r="AM929" s="127" t="b">
        <f t="shared" si="326"/>
        <v>1</v>
      </c>
      <c r="AN929" s="127" t="str">
        <f t="shared" si="327"/>
        <v>Amortisation of initial differences in asset values, 2012/13</v>
      </c>
      <c r="AO929" s="129"/>
      <c r="AP929" s="129"/>
      <c r="AQ929" s="129"/>
      <c r="AR929" s="129"/>
      <c r="AS929" s="129"/>
      <c r="AT929" s="129"/>
      <c r="AU929" s="129"/>
      <c r="AV929" s="129"/>
      <c r="AW929" s="129">
        <v>1</v>
      </c>
      <c r="AX929" s="197">
        <v>1</v>
      </c>
      <c r="AY929" s="197">
        <v>1</v>
      </c>
      <c r="AZ929" s="197">
        <v>1</v>
      </c>
      <c r="BA929" s="197"/>
      <c r="BB929" s="129"/>
      <c r="BC929" s="129"/>
      <c r="BD929" s="129"/>
      <c r="BE929" s="129"/>
      <c r="BF929" s="129"/>
      <c r="BG929" s="129"/>
      <c r="BH929" s="129"/>
      <c r="BI929" s="129"/>
      <c r="BJ929" s="129"/>
      <c r="BK929" s="129"/>
      <c r="BL929" s="129"/>
      <c r="BM929" s="197">
        <v>1</v>
      </c>
    </row>
    <row r="930" spans="1:65" x14ac:dyDescent="0.25">
      <c r="A930" s="121" t="s">
        <v>93</v>
      </c>
      <c r="B930" s="121" t="s">
        <v>26</v>
      </c>
      <c r="C930" s="172" t="s">
        <v>219</v>
      </c>
      <c r="D930" s="161">
        <v>10</v>
      </c>
      <c r="E930" s="29" t="str">
        <f t="shared" si="322"/>
        <v>Disclosed nominal return (incl actual asset revaluations)</v>
      </c>
      <c r="F930" s="122">
        <v>2836.7128213342598</v>
      </c>
      <c r="G930" s="122">
        <v>3587.2448979591836</v>
      </c>
      <c r="H930" s="122">
        <v>1286.6279950565795</v>
      </c>
      <c r="I930" s="122">
        <v>1045.9000577615802</v>
      </c>
      <c r="J930" s="122">
        <v>2215.5339233653094</v>
      </c>
      <c r="K930" s="122">
        <v>1333.0705360076558</v>
      </c>
      <c r="L930" s="122">
        <v>4218.9445353069659</v>
      </c>
      <c r="M930" s="122">
        <v>704.21174575737894</v>
      </c>
      <c r="N930" s="122">
        <v>2753.8698741671392</v>
      </c>
      <c r="O930" s="122">
        <v>1366.8888888888889</v>
      </c>
      <c r="P930" s="122">
        <v>10748.870856771116</v>
      </c>
      <c r="Q930" s="122">
        <v>4085.2943700291548</v>
      </c>
      <c r="R930" s="122">
        <v>3399.086956521739</v>
      </c>
      <c r="S930" s="122">
        <v>5741.5162875289561</v>
      </c>
      <c r="T930" s="122">
        <v>35098.305555555555</v>
      </c>
      <c r="U930" s="122">
        <v>6153.7079716688913</v>
      </c>
      <c r="V930" s="122">
        <v>15754.341926729987</v>
      </c>
      <c r="W930" s="122">
        <v>568.48262032085563</v>
      </c>
      <c r="X930" s="122">
        <v>2699.1281367070524</v>
      </c>
      <c r="Y930" s="122">
        <v>2733.4506403336432</v>
      </c>
      <c r="Z930" s="122">
        <v>1051.668696674348</v>
      </c>
      <c r="AA930" s="122">
        <v>3393.4</v>
      </c>
      <c r="AB930" s="122">
        <v>1131.5172413793102</v>
      </c>
      <c r="AC930" s="122">
        <v>4536.0010119480285</v>
      </c>
      <c r="AD930" s="122">
        <v>546.14705882352939</v>
      </c>
      <c r="AE930" s="122">
        <v>7260.875</v>
      </c>
      <c r="AF930" s="122">
        <v>1608.5625</v>
      </c>
      <c r="AG930" s="122">
        <v>3885.9501819199554</v>
      </c>
      <c r="AH930" s="122">
        <v>1642.0333333333333</v>
      </c>
      <c r="AI930" s="117">
        <f t="shared" si="323"/>
        <v>133387.34562185037</v>
      </c>
      <c r="AJ930" s="117">
        <f t="shared" si="324"/>
        <v>86575.787273680355</v>
      </c>
      <c r="AK930" s="117">
        <f t="shared" si="325"/>
        <v>31057.216421440055</v>
      </c>
      <c r="AL930" s="23"/>
      <c r="AM930" s="127" t="b">
        <f t="shared" si="326"/>
        <v>1</v>
      </c>
      <c r="AN930" s="127" t="str">
        <f t="shared" si="327"/>
        <v>Amortisation of initial differences in asset values, 2013/14</v>
      </c>
      <c r="AO930" s="129"/>
      <c r="AP930" s="129"/>
      <c r="AQ930" s="129"/>
      <c r="AR930" s="129"/>
      <c r="AS930" s="129"/>
      <c r="AT930" s="129"/>
      <c r="AU930" s="129"/>
      <c r="AV930" s="129"/>
      <c r="AW930" s="129">
        <v>1</v>
      </c>
      <c r="AX930" s="197">
        <v>1</v>
      </c>
      <c r="AY930" s="197">
        <v>1</v>
      </c>
      <c r="AZ930" s="197">
        <v>1</v>
      </c>
      <c r="BA930" s="197"/>
      <c r="BB930" s="129"/>
      <c r="BC930" s="129"/>
      <c r="BD930" s="129"/>
      <c r="BE930" s="129"/>
      <c r="BF930" s="129"/>
      <c r="BG930" s="129"/>
      <c r="BH930" s="129"/>
      <c r="BI930" s="129"/>
      <c r="BJ930" s="129"/>
      <c r="BK930" s="129"/>
      <c r="BL930" s="129"/>
      <c r="BM930" s="197">
        <v>1</v>
      </c>
    </row>
    <row r="931" spans="1:65" x14ac:dyDescent="0.25">
      <c r="A931" s="121" t="s">
        <v>93</v>
      </c>
      <c r="B931" s="121" t="s">
        <v>27</v>
      </c>
      <c r="C931" s="172" t="s">
        <v>220</v>
      </c>
      <c r="D931" s="161">
        <v>10</v>
      </c>
      <c r="E931" s="29" t="str">
        <f t="shared" si="322"/>
        <v>Disclosed nominal return (incl actual asset revaluations)</v>
      </c>
      <c r="F931" s="122">
        <v>2828</v>
      </c>
      <c r="G931" s="122">
        <v>3128.0612244897957</v>
      </c>
      <c r="H931" s="122">
        <v>1286.6153264388031</v>
      </c>
      <c r="I931" s="122">
        <v>926.5601716147587</v>
      </c>
      <c r="J931" s="122">
        <v>2202.8132290174854</v>
      </c>
      <c r="K931" s="122">
        <v>1325.4319273120036</v>
      </c>
      <c r="L931" s="122">
        <v>4218.9445353069659</v>
      </c>
      <c r="M931" s="122">
        <v>704.21174575737894</v>
      </c>
      <c r="N931" s="122">
        <v>2621.3005993286979</v>
      </c>
      <c r="O931" s="122">
        <v>1366.0384615384614</v>
      </c>
      <c r="P931" s="122">
        <v>10664.214285714286</v>
      </c>
      <c r="Q931" s="122">
        <v>4085.2943700291548</v>
      </c>
      <c r="R931" s="122">
        <v>3399.090909090909</v>
      </c>
      <c r="S931" s="122">
        <v>5696.0231970748664</v>
      </c>
      <c r="T931" s="122">
        <v>34974.028571428571</v>
      </c>
      <c r="U931" s="122">
        <v>5288.6311832286701</v>
      </c>
      <c r="V931" s="122">
        <v>15406.495786516854</v>
      </c>
      <c r="W931" s="122">
        <v>568.49990939415966</v>
      </c>
      <c r="X931" s="122">
        <v>2699.1281367070524</v>
      </c>
      <c r="Y931" s="122">
        <v>2725.5588935888859</v>
      </c>
      <c r="Z931" s="122">
        <v>1051.8810679611649</v>
      </c>
      <c r="AA931" s="122">
        <v>3391.9882352941177</v>
      </c>
      <c r="AB931" s="122">
        <v>1131.5</v>
      </c>
      <c r="AC931" s="122">
        <v>4536.0010119480285</v>
      </c>
      <c r="AD931" s="122">
        <v>546.15151515151513</v>
      </c>
      <c r="AE931" s="122">
        <v>7237.565217391304</v>
      </c>
      <c r="AF931" s="122">
        <v>1613.824451692625</v>
      </c>
      <c r="AG931" s="122">
        <v>7095.4599359733247</v>
      </c>
      <c r="AH931" s="122">
        <v>1648.9310344827586</v>
      </c>
      <c r="AI931" s="117">
        <f t="shared" si="323"/>
        <v>134368.2449334726</v>
      </c>
      <c r="AJ931" s="117">
        <f t="shared" si="324"/>
        <v>84715.259737370812</v>
      </c>
      <c r="AK931" s="117">
        <f t="shared" si="325"/>
        <v>34246.489409584938</v>
      </c>
      <c r="AL931" s="23"/>
      <c r="AM931" s="127" t="b">
        <f t="shared" si="326"/>
        <v>1</v>
      </c>
      <c r="AN931" s="127" t="str">
        <f t="shared" si="327"/>
        <v>Amortisation of initial differences in asset values, 2014/15</v>
      </c>
      <c r="AO931" s="129"/>
      <c r="AP931" s="129"/>
      <c r="AQ931" s="129"/>
      <c r="AR931" s="129"/>
      <c r="AS931" s="129"/>
      <c r="AT931" s="129"/>
      <c r="AU931" s="129"/>
      <c r="AV931" s="129"/>
      <c r="AW931" s="129">
        <v>1</v>
      </c>
      <c r="AX931" s="197">
        <v>1</v>
      </c>
      <c r="AY931" s="197">
        <v>1</v>
      </c>
      <c r="AZ931" s="197">
        <v>1</v>
      </c>
      <c r="BA931" s="197"/>
      <c r="BB931" s="129"/>
      <c r="BC931" s="129"/>
      <c r="BD931" s="129"/>
      <c r="BE931" s="129"/>
      <c r="BF931" s="129"/>
      <c r="BG931" s="129"/>
      <c r="BH931" s="129"/>
      <c r="BI931" s="129"/>
      <c r="BJ931" s="129"/>
      <c r="BK931" s="129"/>
      <c r="BL931" s="129"/>
      <c r="BM931" s="197">
        <v>1</v>
      </c>
    </row>
    <row r="932" spans="1:65" x14ac:dyDescent="0.25">
      <c r="A932" s="49"/>
      <c r="B932" s="121"/>
      <c r="C932" s="172"/>
      <c r="D932" s="49"/>
      <c r="E932" s="49"/>
      <c r="F932" s="54"/>
      <c r="G932" s="54"/>
      <c r="H932" s="54"/>
      <c r="I932" s="54"/>
      <c r="J932" s="54"/>
      <c r="K932" s="54"/>
      <c r="L932" s="54"/>
      <c r="M932" s="54"/>
      <c r="N932" s="54"/>
      <c r="O932" s="54"/>
      <c r="P932" s="54"/>
      <c r="Q932" s="54"/>
      <c r="R932" s="54"/>
      <c r="S932" s="54"/>
      <c r="T932" s="54"/>
      <c r="U932" s="54"/>
      <c r="V932" s="54"/>
      <c r="W932" s="54"/>
      <c r="X932" s="54"/>
      <c r="Y932" s="54"/>
      <c r="Z932" s="54"/>
      <c r="AA932" s="54"/>
      <c r="AB932" s="54"/>
      <c r="AC932" s="54"/>
      <c r="AD932" s="54"/>
      <c r="AE932" s="54"/>
      <c r="AF932" s="54"/>
      <c r="AG932" s="54"/>
      <c r="AH932" s="54"/>
      <c r="AI932" s="54"/>
      <c r="AJ932" s="54"/>
      <c r="AK932" s="54"/>
      <c r="AL932" s="23"/>
      <c r="AM932" s="127"/>
      <c r="AN932" s="127"/>
      <c r="AO932" s="129"/>
      <c r="AP932" s="129"/>
      <c r="AQ932" s="129"/>
      <c r="AR932" s="129"/>
      <c r="AS932" s="129"/>
      <c r="AT932" s="129"/>
      <c r="AU932" s="129"/>
      <c r="AV932" s="129"/>
      <c r="AW932" s="129"/>
      <c r="AX932" s="197"/>
      <c r="AY932" s="197"/>
      <c r="AZ932" s="197"/>
      <c r="BA932" s="197"/>
      <c r="BB932" s="129"/>
      <c r="BC932" s="129"/>
      <c r="BD932" s="129"/>
      <c r="BE932" s="129"/>
      <c r="BF932" s="129"/>
      <c r="BG932" s="129"/>
      <c r="BH932" s="129"/>
      <c r="BI932" s="129"/>
      <c r="BJ932" s="129"/>
      <c r="BK932" s="129"/>
      <c r="BL932" s="129"/>
      <c r="BM932" s="197"/>
    </row>
    <row r="933" spans="1:65" x14ac:dyDescent="0.25">
      <c r="A933" s="121"/>
      <c r="B933" s="121"/>
      <c r="C933" s="172"/>
      <c r="D933" s="46"/>
      <c r="E933" s="46"/>
      <c r="F933" s="54"/>
      <c r="G933" s="54"/>
      <c r="H933" s="54"/>
      <c r="I933" s="54"/>
      <c r="J933" s="54"/>
      <c r="K933" s="54"/>
      <c r="L933" s="54"/>
      <c r="M933" s="54"/>
      <c r="N933" s="54"/>
      <c r="O933" s="54"/>
      <c r="P933" s="54"/>
      <c r="Q933" s="54"/>
      <c r="R933" s="54"/>
      <c r="S933" s="54"/>
      <c r="T933" s="54"/>
      <c r="U933" s="54"/>
      <c r="V933" s="54"/>
      <c r="W933" s="55"/>
      <c r="X933" s="55"/>
      <c r="Y933" s="55"/>
      <c r="Z933" s="55"/>
      <c r="AA933" s="55"/>
      <c r="AB933" s="55"/>
      <c r="AC933" s="55"/>
      <c r="AD933" s="55"/>
      <c r="AE933" s="55"/>
      <c r="AF933" s="55"/>
      <c r="AG933" s="55"/>
      <c r="AH933" s="55"/>
      <c r="AI933" s="54"/>
      <c r="AJ933" s="54"/>
      <c r="AK933" s="54"/>
      <c r="AL933" s="23"/>
      <c r="AM933" s="127"/>
      <c r="AN933" s="127"/>
      <c r="AO933" s="129"/>
      <c r="AP933" s="129"/>
      <c r="AQ933" s="129"/>
      <c r="AR933" s="129"/>
      <c r="AS933" s="129"/>
      <c r="AT933" s="129"/>
      <c r="AU933" s="129"/>
      <c r="AV933" s="129"/>
      <c r="AW933" s="129"/>
      <c r="AX933" s="197"/>
      <c r="AY933" s="197"/>
      <c r="AZ933" s="197"/>
      <c r="BA933" s="197"/>
      <c r="BB933" s="129"/>
      <c r="BC933" s="129"/>
      <c r="BD933" s="129"/>
      <c r="BE933" s="129"/>
      <c r="BF933" s="129"/>
      <c r="BG933" s="129"/>
      <c r="BH933" s="129"/>
      <c r="BI933" s="129"/>
      <c r="BJ933" s="129"/>
      <c r="BK933" s="129"/>
      <c r="BL933" s="129"/>
      <c r="BM933" s="197"/>
    </row>
    <row r="934" spans="1:65" x14ac:dyDescent="0.25">
      <c r="A934" s="121" t="s">
        <v>94</v>
      </c>
      <c r="B934" s="121" t="s">
        <v>23</v>
      </c>
      <c r="C934" s="172" t="s">
        <v>397</v>
      </c>
      <c r="D934" s="161">
        <v>1</v>
      </c>
      <c r="E934" s="29" t="str">
        <f>INDEX(ra_ScName,MATCH(D934,ra_ScNumber,0))</f>
        <v>Expected nominal return (incl forecast asset revaluations)</v>
      </c>
      <c r="F934" s="122">
        <v>139.92781995897894</v>
      </c>
      <c r="G934" s="122">
        <v>137.68426911287588</v>
      </c>
      <c r="H934" s="122">
        <v>36.554725143918859</v>
      </c>
      <c r="I934" s="122">
        <v>75.368860041787229</v>
      </c>
      <c r="J934" s="122">
        <v>105.39564835321016</v>
      </c>
      <c r="K934" s="122">
        <v>42.703680369244921</v>
      </c>
      <c r="L934" s="122">
        <v>61.473003000000972</v>
      </c>
      <c r="M934" s="122">
        <v>19.452897219667648</v>
      </c>
      <c r="N934" s="122">
        <v>114.89124050322425</v>
      </c>
      <c r="O934" s="122">
        <v>114.00154316051521</v>
      </c>
      <c r="P934" s="122">
        <v>933.04095975153905</v>
      </c>
      <c r="Q934" s="122">
        <v>100.27741735751806</v>
      </c>
      <c r="R934" s="122">
        <v>93.659939785798088</v>
      </c>
      <c r="S934" s="122">
        <v>297.64105276551709</v>
      </c>
      <c r="T934" s="122">
        <v>1358.8964052538649</v>
      </c>
      <c r="U934" s="122">
        <v>458.29868055161569</v>
      </c>
      <c r="V934" s="122">
        <v>189.67682497983878</v>
      </c>
      <c r="W934" s="54"/>
      <c r="X934" s="54"/>
      <c r="Y934" s="54"/>
      <c r="Z934" s="54"/>
      <c r="AA934" s="54"/>
      <c r="AB934" s="54"/>
      <c r="AC934" s="54"/>
      <c r="AD934" s="54"/>
      <c r="AE934" s="54"/>
      <c r="AF934" s="54"/>
      <c r="AG934" s="54"/>
      <c r="AH934" s="54"/>
      <c r="AI934" s="117">
        <f t="shared" si="323"/>
        <v>4278.9449673091158</v>
      </c>
      <c r="AJ934" s="117">
        <f>SUM(F934:U934)</f>
        <v>4089.268142329277</v>
      </c>
      <c r="AK934" s="117">
        <f t="shared" si="325"/>
        <v>0</v>
      </c>
      <c r="AL934" s="23"/>
      <c r="AM934" s="127" t="b">
        <f>IF(INDEX($AO934:$BM934,0,$F$14)=1,TRUE,FALSE)</f>
        <v>0</v>
      </c>
      <c r="AN934" s="127" t="str">
        <f>IF(AM934,A934&amp;", "&amp;B934,"")</f>
        <v/>
      </c>
      <c r="AO934" s="129">
        <v>1</v>
      </c>
      <c r="AP934" s="129"/>
      <c r="AQ934" s="129"/>
      <c r="AR934" s="129"/>
      <c r="AS934" s="129"/>
      <c r="AT934" s="129"/>
      <c r="AU934" s="129"/>
      <c r="AV934" s="129"/>
      <c r="AW934" s="129"/>
      <c r="AX934" s="197"/>
      <c r="AY934" s="197"/>
      <c r="AZ934" s="197"/>
      <c r="BA934" s="197"/>
      <c r="BB934" s="129"/>
      <c r="BC934" s="129"/>
      <c r="BD934" s="129"/>
      <c r="BE934" s="129"/>
      <c r="BF934" s="129"/>
      <c r="BG934" s="129"/>
      <c r="BH934" s="129"/>
      <c r="BI934" s="129"/>
      <c r="BJ934" s="129"/>
      <c r="BK934" s="129"/>
      <c r="BL934" s="129"/>
      <c r="BM934" s="197"/>
    </row>
    <row r="935" spans="1:65" x14ac:dyDescent="0.25">
      <c r="A935" s="121" t="s">
        <v>94</v>
      </c>
      <c r="B935" s="121" t="s">
        <v>24</v>
      </c>
      <c r="C935" s="172" t="s">
        <v>397</v>
      </c>
      <c r="D935" s="161">
        <v>1</v>
      </c>
      <c r="E935" s="29" t="str">
        <f>INDEX(ra_ScName,MATCH(D935,ra_ScNumber,0))</f>
        <v>Expected nominal return (incl forecast asset revaluations)</v>
      </c>
      <c r="F935" s="122">
        <v>308.8187979831182</v>
      </c>
      <c r="G935" s="122">
        <v>304.36711389777338</v>
      </c>
      <c r="H935" s="122">
        <v>80.590887006667344</v>
      </c>
      <c r="I935" s="122">
        <v>165.7573021408607</v>
      </c>
      <c r="J935" s="122">
        <v>235.34821914846998</v>
      </c>
      <c r="K935" s="122">
        <v>94.085559767261657</v>
      </c>
      <c r="L935" s="122">
        <v>134.61323581804982</v>
      </c>
      <c r="M935" s="122">
        <v>42.814738884483631</v>
      </c>
      <c r="N935" s="122">
        <v>251.99738895885002</v>
      </c>
      <c r="O935" s="122">
        <v>250.16385557437388</v>
      </c>
      <c r="P935" s="122">
        <v>2044.9673617606022</v>
      </c>
      <c r="Q935" s="122">
        <v>220.63514583291908</v>
      </c>
      <c r="R935" s="122">
        <v>206.31147166900701</v>
      </c>
      <c r="S935" s="122">
        <v>661.5845488130326</v>
      </c>
      <c r="T935" s="122">
        <v>3003.2070955680683</v>
      </c>
      <c r="U935" s="122">
        <v>1011.7887219146833</v>
      </c>
      <c r="V935" s="122">
        <v>415.52857175954705</v>
      </c>
      <c r="W935" s="54"/>
      <c r="X935" s="54"/>
      <c r="Y935" s="54"/>
      <c r="Z935" s="54"/>
      <c r="AA935" s="54"/>
      <c r="AB935" s="54"/>
      <c r="AC935" s="54"/>
      <c r="AD935" s="54"/>
      <c r="AE935" s="54"/>
      <c r="AF935" s="54"/>
      <c r="AG935" s="54"/>
      <c r="AH935" s="54"/>
      <c r="AI935" s="117">
        <f t="shared" si="323"/>
        <v>9432.5800164977682</v>
      </c>
      <c r="AJ935" s="117">
        <f>SUM(F935:U935)</f>
        <v>9017.0514447382211</v>
      </c>
      <c r="AK935" s="117">
        <f t="shared" si="325"/>
        <v>0</v>
      </c>
      <c r="AL935" s="23"/>
      <c r="AM935" s="127" t="b">
        <f>IF(INDEX($AO935:$BM935,0,$F$14)=1,TRUE,FALSE)</f>
        <v>0</v>
      </c>
      <c r="AN935" s="127" t="str">
        <f>IF(AM935,A935&amp;", "&amp;B935,"")</f>
        <v/>
      </c>
      <c r="AO935" s="129">
        <v>1</v>
      </c>
      <c r="AP935" s="129"/>
      <c r="AQ935" s="129"/>
      <c r="AR935" s="129"/>
      <c r="AS935" s="129"/>
      <c r="AT935" s="129"/>
      <c r="AU935" s="129"/>
      <c r="AV935" s="129"/>
      <c r="AW935" s="129"/>
      <c r="AX935" s="197"/>
      <c r="AY935" s="197"/>
      <c r="AZ935" s="197"/>
      <c r="BA935" s="197"/>
      <c r="BB935" s="129"/>
      <c r="BC935" s="129"/>
      <c r="BD935" s="129"/>
      <c r="BE935" s="129"/>
      <c r="BF935" s="129"/>
      <c r="BG935" s="129"/>
      <c r="BH935" s="129"/>
      <c r="BI935" s="129"/>
      <c r="BJ935" s="129"/>
      <c r="BK935" s="129"/>
      <c r="BL935" s="129"/>
      <c r="BM935" s="197"/>
    </row>
    <row r="936" spans="1:65" x14ac:dyDescent="0.25">
      <c r="A936" s="121" t="s">
        <v>94</v>
      </c>
      <c r="B936" s="121" t="s">
        <v>25</v>
      </c>
      <c r="C936" s="172" t="s">
        <v>397</v>
      </c>
      <c r="D936" s="161">
        <v>1</v>
      </c>
      <c r="E936" s="29" t="str">
        <f>INDEX(ra_ScName,MATCH(D936,ra_ScNumber,0))</f>
        <v>Expected nominal return (incl forecast asset revaluations)</v>
      </c>
      <c r="F936" s="122">
        <v>534.87390899752063</v>
      </c>
      <c r="G936" s="122">
        <v>524.21628979673551</v>
      </c>
      <c r="H936" s="122">
        <v>139.21092008717005</v>
      </c>
      <c r="I936" s="122">
        <v>282.02028070026972</v>
      </c>
      <c r="J936" s="122">
        <v>405.57309349308161</v>
      </c>
      <c r="K936" s="122">
        <v>160.86579713630317</v>
      </c>
      <c r="L936" s="122">
        <v>229.66723116655294</v>
      </c>
      <c r="M936" s="122">
        <v>75.569903186251395</v>
      </c>
      <c r="N936" s="122">
        <v>429.10420723579409</v>
      </c>
      <c r="O936" s="122">
        <v>426.72744138838698</v>
      </c>
      <c r="P936" s="122">
        <v>3469.1385086530572</v>
      </c>
      <c r="Q936" s="122">
        <v>376.23545531290711</v>
      </c>
      <c r="R936" s="122">
        <v>355.91030309327653</v>
      </c>
      <c r="S936" s="122">
        <v>1138.3059147085442</v>
      </c>
      <c r="T936" s="122">
        <v>5124.76983289294</v>
      </c>
      <c r="U936" s="122">
        <v>1723.4601060239511</v>
      </c>
      <c r="V936" s="122">
        <v>705.62560413949359</v>
      </c>
      <c r="W936" s="54"/>
      <c r="X936" s="54"/>
      <c r="Y936" s="54"/>
      <c r="Z936" s="54"/>
      <c r="AA936" s="54"/>
      <c r="AB936" s="54"/>
      <c r="AC936" s="54"/>
      <c r="AD936" s="54"/>
      <c r="AE936" s="54"/>
      <c r="AF936" s="54"/>
      <c r="AG936" s="54"/>
      <c r="AH936" s="54"/>
      <c r="AI936" s="117">
        <f t="shared" si="323"/>
        <v>16101.274798012235</v>
      </c>
      <c r="AJ936" s="117">
        <f>SUM(F936:U936)</f>
        <v>15395.649193872741</v>
      </c>
      <c r="AK936" s="117">
        <f t="shared" si="325"/>
        <v>0</v>
      </c>
      <c r="AL936" s="23"/>
      <c r="AM936" s="127" t="b">
        <f>IF(INDEX($AO936:$BM936,0,$F$14)=1,TRUE,FALSE)</f>
        <v>0</v>
      </c>
      <c r="AN936" s="127" t="str">
        <f>IF(AM936,A936&amp;", "&amp;B936,"")</f>
        <v/>
      </c>
      <c r="AO936" s="129">
        <v>1</v>
      </c>
      <c r="AP936" s="129"/>
      <c r="AQ936" s="129"/>
      <c r="AR936" s="129"/>
      <c r="AS936" s="129"/>
      <c r="AT936" s="129"/>
      <c r="AU936" s="129"/>
      <c r="AV936" s="129"/>
      <c r="AW936" s="129"/>
      <c r="AX936" s="197"/>
      <c r="AY936" s="197"/>
      <c r="AZ936" s="197"/>
      <c r="BA936" s="197"/>
      <c r="BB936" s="129"/>
      <c r="BC936" s="129"/>
      <c r="BD936" s="129"/>
      <c r="BE936" s="129"/>
      <c r="BF936" s="129"/>
      <c r="BG936" s="129"/>
      <c r="BH936" s="129"/>
      <c r="BI936" s="129"/>
      <c r="BJ936" s="129"/>
      <c r="BK936" s="129"/>
      <c r="BL936" s="129"/>
      <c r="BM936" s="197"/>
    </row>
    <row r="937" spans="1:65" x14ac:dyDescent="0.25">
      <c r="A937" s="121" t="s">
        <v>94</v>
      </c>
      <c r="B937" s="121" t="s">
        <v>26</v>
      </c>
      <c r="C937" s="172" t="s">
        <v>397</v>
      </c>
      <c r="D937" s="161">
        <v>1</v>
      </c>
      <c r="E937" s="29" t="str">
        <f>INDEX(ra_ScName,MATCH(D937,ra_ScNumber,0))</f>
        <v>Expected nominal return (incl forecast asset revaluations)</v>
      </c>
      <c r="F937" s="122">
        <v>765.52439358736592</v>
      </c>
      <c r="G937" s="122">
        <v>746.70490032586349</v>
      </c>
      <c r="H937" s="122">
        <v>197.48577975985063</v>
      </c>
      <c r="I937" s="122">
        <v>397.1037845370729</v>
      </c>
      <c r="J937" s="122">
        <v>578.47984518329122</v>
      </c>
      <c r="K937" s="122">
        <v>227.25151958545939</v>
      </c>
      <c r="L937" s="122">
        <v>324.57284090304847</v>
      </c>
      <c r="M937" s="122">
        <v>110.51944170855018</v>
      </c>
      <c r="N937" s="122">
        <v>604.29604580934574</v>
      </c>
      <c r="O937" s="122">
        <v>602.71338917068442</v>
      </c>
      <c r="P937" s="122">
        <v>4870.6870448719637</v>
      </c>
      <c r="Q937" s="122">
        <v>530.48282391478824</v>
      </c>
      <c r="R937" s="122">
        <v>508.98988371968971</v>
      </c>
      <c r="S937" s="122">
        <v>1622.0054407695789</v>
      </c>
      <c r="T937" s="122">
        <v>7232.5674198798224</v>
      </c>
      <c r="U937" s="122">
        <v>2428.4566699605748</v>
      </c>
      <c r="V937" s="122">
        <v>992.41904828960105</v>
      </c>
      <c r="W937" s="54"/>
      <c r="X937" s="54"/>
      <c r="Y937" s="54"/>
      <c r="Z937" s="54"/>
      <c r="AA937" s="54"/>
      <c r="AB937" s="54"/>
      <c r="AC937" s="54"/>
      <c r="AD937" s="54"/>
      <c r="AE937" s="54"/>
      <c r="AF937" s="54"/>
      <c r="AG937" s="54"/>
      <c r="AH937" s="54"/>
      <c r="AI937" s="117">
        <f t="shared" si="323"/>
        <v>22740.260271976553</v>
      </c>
      <c r="AJ937" s="117">
        <f>SUM(F937:U937)</f>
        <v>21747.841223686952</v>
      </c>
      <c r="AK937" s="117">
        <f t="shared" si="325"/>
        <v>0</v>
      </c>
      <c r="AL937" s="23"/>
      <c r="AM937" s="127" t="b">
        <f>IF(INDEX($AO937:$BM937,0,$F$14)=1,TRUE,FALSE)</f>
        <v>0</v>
      </c>
      <c r="AN937" s="127" t="str">
        <f>IF(AM937,A937&amp;", "&amp;B937,"")</f>
        <v/>
      </c>
      <c r="AO937" s="129">
        <v>1</v>
      </c>
      <c r="AP937" s="129"/>
      <c r="AQ937" s="129"/>
      <c r="AR937" s="129"/>
      <c r="AS937" s="129"/>
      <c r="AT937" s="129"/>
      <c r="AU937" s="129"/>
      <c r="AV937" s="129"/>
      <c r="AW937" s="129"/>
      <c r="AX937" s="197"/>
      <c r="AY937" s="197"/>
      <c r="AZ937" s="197"/>
      <c r="BA937" s="197"/>
      <c r="BB937" s="129"/>
      <c r="BC937" s="129"/>
      <c r="BD937" s="129"/>
      <c r="BE937" s="129"/>
      <c r="BF937" s="129"/>
      <c r="BG937" s="129"/>
      <c r="BH937" s="129"/>
      <c r="BI937" s="129"/>
      <c r="BJ937" s="129"/>
      <c r="BK937" s="129"/>
      <c r="BL937" s="129"/>
      <c r="BM937" s="197"/>
    </row>
    <row r="938" spans="1:65" x14ac:dyDescent="0.25">
      <c r="A938" s="121" t="s">
        <v>94</v>
      </c>
      <c r="B938" s="121" t="s">
        <v>27</v>
      </c>
      <c r="C938" s="172" t="s">
        <v>397</v>
      </c>
      <c r="D938" s="161">
        <v>1</v>
      </c>
      <c r="E938" s="29" t="str">
        <f>INDEX(ra_ScName,MATCH(D938,ra_ScNumber,0))</f>
        <v>Expected nominal return (incl forecast asset revaluations)</v>
      </c>
      <c r="F938" s="122">
        <v>1002.3006787912818</v>
      </c>
      <c r="G938" s="122">
        <v>968.05003162099274</v>
      </c>
      <c r="H938" s="122">
        <v>255.42624959691602</v>
      </c>
      <c r="I938" s="122">
        <v>510.27109457897041</v>
      </c>
      <c r="J938" s="122">
        <v>749.39621043110037</v>
      </c>
      <c r="K938" s="122">
        <v>292.76615848867141</v>
      </c>
      <c r="L938" s="122">
        <v>418.43805116385693</v>
      </c>
      <c r="M938" s="122">
        <v>145.03468159240424</v>
      </c>
      <c r="N938" s="122">
        <v>775.89915729084078</v>
      </c>
      <c r="O938" s="122">
        <v>777.18007618586853</v>
      </c>
      <c r="P938" s="122">
        <v>6241.8315221544108</v>
      </c>
      <c r="Q938" s="122">
        <v>682.58546082796238</v>
      </c>
      <c r="R938" s="122">
        <v>663.63398320624128</v>
      </c>
      <c r="S938" s="122">
        <v>2107.0414589166503</v>
      </c>
      <c r="T938" s="122">
        <v>9317.6889490183385</v>
      </c>
      <c r="U938" s="122">
        <v>3123.954990172173</v>
      </c>
      <c r="V938" s="122">
        <v>1275.4376482363714</v>
      </c>
      <c r="W938" s="54"/>
      <c r="X938" s="54"/>
      <c r="Y938" s="54"/>
      <c r="Z938" s="54"/>
      <c r="AA938" s="54"/>
      <c r="AB938" s="54"/>
      <c r="AC938" s="54"/>
      <c r="AD938" s="54"/>
      <c r="AE938" s="54"/>
      <c r="AF938" s="54"/>
      <c r="AG938" s="54"/>
      <c r="AH938" s="54"/>
      <c r="AI938" s="117">
        <f t="shared" si="323"/>
        <v>29306.936402273051</v>
      </c>
      <c r="AJ938" s="117">
        <f>SUM(F938:U938)</f>
        <v>28031.498754036678</v>
      </c>
      <c r="AK938" s="117">
        <f t="shared" si="325"/>
        <v>0</v>
      </c>
      <c r="AL938" s="23"/>
      <c r="AM938" s="127" t="b">
        <f>IF(INDEX($AO938:$BM938,0,$F$14)=1,TRUE,FALSE)</f>
        <v>0</v>
      </c>
      <c r="AN938" s="127" t="str">
        <f>IF(AM938,A938&amp;", "&amp;B938,"")</f>
        <v/>
      </c>
      <c r="AO938" s="129">
        <v>1</v>
      </c>
      <c r="AP938" s="129"/>
      <c r="AQ938" s="129"/>
      <c r="AR938" s="129"/>
      <c r="AS938" s="129"/>
      <c r="AT938" s="129"/>
      <c r="AU938" s="129"/>
      <c r="AV938" s="129"/>
      <c r="AW938" s="129"/>
      <c r="AX938" s="197"/>
      <c r="AY938" s="197"/>
      <c r="AZ938" s="197"/>
      <c r="BA938" s="197"/>
      <c r="BB938" s="129"/>
      <c r="BC938" s="129"/>
      <c r="BD938" s="129"/>
      <c r="BE938" s="129"/>
      <c r="BF938" s="129"/>
      <c r="BG938" s="129"/>
      <c r="BH938" s="129"/>
      <c r="BI938" s="129"/>
      <c r="BJ938" s="129"/>
      <c r="BK938" s="129"/>
      <c r="BL938" s="129"/>
      <c r="BM938" s="197"/>
    </row>
    <row r="939" spans="1:65" x14ac:dyDescent="0.25">
      <c r="A939" s="171"/>
      <c r="B939" s="171"/>
      <c r="C939" s="172"/>
      <c r="D939" s="49"/>
      <c r="E939" s="49"/>
      <c r="F939" s="54"/>
      <c r="G939" s="54"/>
      <c r="H939" s="54"/>
      <c r="I939" s="54"/>
      <c r="J939" s="54"/>
      <c r="K939" s="54"/>
      <c r="L939" s="54"/>
      <c r="M939" s="54"/>
      <c r="N939" s="54"/>
      <c r="O939" s="54"/>
      <c r="P939" s="54"/>
      <c r="Q939" s="54"/>
      <c r="R939" s="54"/>
      <c r="S939" s="54"/>
      <c r="T939" s="54"/>
      <c r="U939" s="54"/>
      <c r="V939" s="54"/>
      <c r="W939" s="55"/>
      <c r="X939" s="55"/>
      <c r="Y939" s="55"/>
      <c r="Z939" s="55"/>
      <c r="AA939" s="55"/>
      <c r="AB939" s="55"/>
      <c r="AC939" s="55"/>
      <c r="AD939" s="55"/>
      <c r="AE939" s="55"/>
      <c r="AF939" s="55"/>
      <c r="AG939" s="55"/>
      <c r="AH939" s="55"/>
      <c r="AI939" s="54"/>
      <c r="AJ939" s="54"/>
      <c r="AK939" s="54"/>
      <c r="AL939" s="23"/>
      <c r="AM939" s="127"/>
      <c r="AN939" s="127"/>
      <c r="AO939" s="129"/>
      <c r="AP939" s="129"/>
      <c r="AQ939" s="129"/>
      <c r="AR939" s="129"/>
      <c r="AS939" s="129"/>
      <c r="AT939" s="129"/>
      <c r="AU939" s="129"/>
      <c r="AV939" s="129"/>
      <c r="AW939" s="129"/>
      <c r="AX939" s="197"/>
      <c r="AY939" s="197"/>
      <c r="AZ939" s="197"/>
      <c r="BA939" s="197"/>
      <c r="BB939" s="129"/>
      <c r="BC939" s="129"/>
      <c r="BD939" s="129"/>
      <c r="BE939" s="129"/>
      <c r="BF939" s="129"/>
      <c r="BG939" s="129"/>
      <c r="BH939" s="129"/>
      <c r="BI939" s="129"/>
      <c r="BJ939" s="129"/>
      <c r="BK939" s="129"/>
      <c r="BL939" s="129"/>
      <c r="BM939" s="197"/>
    </row>
    <row r="940" spans="1:65" x14ac:dyDescent="0.25">
      <c r="A940" s="171"/>
      <c r="B940" s="171"/>
      <c r="C940" s="172"/>
      <c r="D940" s="46"/>
      <c r="E940" s="46"/>
      <c r="F940" s="54"/>
      <c r="G940" s="54"/>
      <c r="H940" s="54"/>
      <c r="I940" s="54"/>
      <c r="J940" s="54"/>
      <c r="K940" s="54"/>
      <c r="L940" s="54"/>
      <c r="M940" s="54"/>
      <c r="N940" s="54"/>
      <c r="O940" s="54"/>
      <c r="P940" s="54"/>
      <c r="Q940" s="54"/>
      <c r="R940" s="54"/>
      <c r="S940" s="54"/>
      <c r="T940" s="54"/>
      <c r="U940" s="54"/>
      <c r="V940" s="54"/>
      <c r="W940" s="55"/>
      <c r="X940" s="55"/>
      <c r="Y940" s="55"/>
      <c r="Z940" s="55"/>
      <c r="AA940" s="55"/>
      <c r="AB940" s="55"/>
      <c r="AC940" s="55"/>
      <c r="AD940" s="55"/>
      <c r="AE940" s="55"/>
      <c r="AF940" s="55"/>
      <c r="AG940" s="55"/>
      <c r="AH940" s="55"/>
      <c r="AI940" s="54"/>
      <c r="AJ940" s="54"/>
      <c r="AK940" s="54"/>
      <c r="AL940" s="23"/>
      <c r="AM940" s="127"/>
      <c r="AN940" s="127"/>
      <c r="AO940" s="129"/>
      <c r="AP940" s="129"/>
      <c r="AQ940" s="129"/>
      <c r="AR940" s="129"/>
      <c r="AS940" s="129"/>
      <c r="AT940" s="129"/>
      <c r="AU940" s="129"/>
      <c r="AV940" s="129"/>
      <c r="AW940" s="129"/>
      <c r="AX940" s="197"/>
      <c r="AY940" s="197"/>
      <c r="AZ940" s="197"/>
      <c r="BA940" s="197"/>
      <c r="BB940" s="129"/>
      <c r="BC940" s="129"/>
      <c r="BD940" s="129"/>
      <c r="BE940" s="129"/>
      <c r="BF940" s="129"/>
      <c r="BG940" s="129"/>
      <c r="BH940" s="129"/>
      <c r="BI940" s="129"/>
      <c r="BJ940" s="129"/>
      <c r="BK940" s="129"/>
      <c r="BL940" s="129"/>
      <c r="BM940" s="197"/>
    </row>
    <row r="941" spans="1:65" x14ac:dyDescent="0.25">
      <c r="A941" s="171" t="s">
        <v>94</v>
      </c>
      <c r="B941" s="171" t="s">
        <v>23</v>
      </c>
      <c r="C941" s="186" t="s">
        <v>222</v>
      </c>
      <c r="D941" s="161">
        <v>2</v>
      </c>
      <c r="E941" s="29" t="str">
        <f>INDEX(ra_ScName,MATCH(D941,ra_ScNumber,0))</f>
        <v>Expected real return (excl forecast asset revaluations)</v>
      </c>
      <c r="F941" s="122">
        <v>0</v>
      </c>
      <c r="G941" s="122">
        <v>0</v>
      </c>
      <c r="H941" s="122">
        <v>0</v>
      </c>
      <c r="I941" s="122">
        <v>0</v>
      </c>
      <c r="J941" s="122">
        <v>0</v>
      </c>
      <c r="K941" s="122">
        <v>0</v>
      </c>
      <c r="L941" s="122">
        <v>0</v>
      </c>
      <c r="M941" s="122">
        <v>0</v>
      </c>
      <c r="N941" s="122">
        <v>0</v>
      </c>
      <c r="O941" s="122">
        <v>0</v>
      </c>
      <c r="P941" s="122">
        <v>0</v>
      </c>
      <c r="Q941" s="122">
        <v>0</v>
      </c>
      <c r="R941" s="122">
        <v>0</v>
      </c>
      <c r="S941" s="122">
        <v>0</v>
      </c>
      <c r="T941" s="122">
        <v>0</v>
      </c>
      <c r="U941" s="122">
        <v>0</v>
      </c>
      <c r="V941" s="122"/>
      <c r="W941" s="54"/>
      <c r="X941" s="54"/>
      <c r="Y941" s="54"/>
      <c r="Z941" s="54"/>
      <c r="AA941" s="54"/>
      <c r="AB941" s="54"/>
      <c r="AC941" s="54"/>
      <c r="AD941" s="54"/>
      <c r="AE941" s="54"/>
      <c r="AF941" s="54"/>
      <c r="AG941" s="54"/>
      <c r="AH941" s="54"/>
      <c r="AI941" s="117">
        <f>SUM(F941:AH941)</f>
        <v>0</v>
      </c>
      <c r="AJ941" s="117">
        <f>SUM(F941:U941)</f>
        <v>0</v>
      </c>
      <c r="AK941" s="117">
        <f>SUM(W941:AH941)</f>
        <v>0</v>
      </c>
      <c r="AL941" s="23"/>
      <c r="AM941" s="127" t="b">
        <f>IF(INDEX($AO941:$BM941,0,$F$14)=1,TRUE,FALSE)</f>
        <v>0</v>
      </c>
      <c r="AN941" s="127" t="str">
        <f>IF(AM941,A941&amp;", "&amp;B941,"")</f>
        <v/>
      </c>
      <c r="AO941" s="129"/>
      <c r="AP941" s="129">
        <v>1</v>
      </c>
      <c r="AQ941" s="129">
        <v>1</v>
      </c>
      <c r="AR941" s="129">
        <v>1</v>
      </c>
      <c r="AS941" s="129">
        <v>1</v>
      </c>
      <c r="AT941" s="129">
        <v>1</v>
      </c>
      <c r="AU941" s="129">
        <v>1</v>
      </c>
      <c r="AV941" s="129">
        <v>1</v>
      </c>
      <c r="AW941" s="129"/>
      <c r="AX941" s="197"/>
      <c r="AY941" s="197"/>
      <c r="AZ941" s="197"/>
      <c r="BA941" s="197">
        <v>1</v>
      </c>
      <c r="BB941" s="129">
        <v>1</v>
      </c>
      <c r="BC941" s="129">
        <v>1</v>
      </c>
      <c r="BD941" s="129">
        <v>1</v>
      </c>
      <c r="BE941" s="129">
        <v>1</v>
      </c>
      <c r="BF941" s="129">
        <v>1</v>
      </c>
      <c r="BG941" s="129">
        <v>1</v>
      </c>
      <c r="BH941" s="129">
        <v>1</v>
      </c>
      <c r="BI941" s="129">
        <v>1</v>
      </c>
      <c r="BJ941" s="129">
        <v>1</v>
      </c>
      <c r="BK941" s="129">
        <v>1</v>
      </c>
      <c r="BL941" s="129">
        <v>1</v>
      </c>
      <c r="BM941" s="197"/>
    </row>
    <row r="942" spans="1:65" x14ac:dyDescent="0.25">
      <c r="A942" s="171" t="s">
        <v>94</v>
      </c>
      <c r="B942" s="171" t="s">
        <v>24</v>
      </c>
      <c r="C942" s="186" t="s">
        <v>222</v>
      </c>
      <c r="D942" s="161">
        <v>2</v>
      </c>
      <c r="E942" s="29" t="str">
        <f>INDEX(ra_ScName,MATCH(D942,ra_ScNumber,0))</f>
        <v>Expected real return (excl forecast asset revaluations)</v>
      </c>
      <c r="F942" s="122">
        <v>0</v>
      </c>
      <c r="G942" s="122">
        <v>0</v>
      </c>
      <c r="H942" s="122">
        <v>0</v>
      </c>
      <c r="I942" s="122">
        <v>0</v>
      </c>
      <c r="J942" s="122">
        <v>0</v>
      </c>
      <c r="K942" s="122">
        <v>0</v>
      </c>
      <c r="L942" s="122">
        <v>0</v>
      </c>
      <c r="M942" s="122">
        <v>0</v>
      </c>
      <c r="N942" s="122">
        <v>0</v>
      </c>
      <c r="O942" s="122">
        <v>0</v>
      </c>
      <c r="P942" s="122">
        <v>0</v>
      </c>
      <c r="Q942" s="122">
        <v>0</v>
      </c>
      <c r="R942" s="122">
        <v>0</v>
      </c>
      <c r="S942" s="122">
        <v>0</v>
      </c>
      <c r="T942" s="122">
        <v>0</v>
      </c>
      <c r="U942" s="122">
        <v>0</v>
      </c>
      <c r="V942" s="122"/>
      <c r="W942" s="54"/>
      <c r="X942" s="54"/>
      <c r="Y942" s="54"/>
      <c r="Z942" s="54"/>
      <c r="AA942" s="54"/>
      <c r="AB942" s="54"/>
      <c r="AC942" s="54"/>
      <c r="AD942" s="54"/>
      <c r="AE942" s="54"/>
      <c r="AF942" s="54"/>
      <c r="AG942" s="54"/>
      <c r="AH942" s="54"/>
      <c r="AI942" s="117">
        <f>SUM(F942:AH942)</f>
        <v>0</v>
      </c>
      <c r="AJ942" s="117">
        <f>SUM(F942:U942)</f>
        <v>0</v>
      </c>
      <c r="AK942" s="117">
        <f>SUM(W942:AH942)</f>
        <v>0</v>
      </c>
      <c r="AL942" s="23"/>
      <c r="AM942" s="127" t="b">
        <f>IF(INDEX($AO942:$BM942,0,$F$14)=1,TRUE,FALSE)</f>
        <v>0</v>
      </c>
      <c r="AN942" s="127" t="str">
        <f>IF(AM942,A942&amp;", "&amp;B942,"")</f>
        <v/>
      </c>
      <c r="AO942" s="129"/>
      <c r="AP942" s="129">
        <v>1</v>
      </c>
      <c r="AQ942" s="129">
        <v>1</v>
      </c>
      <c r="AR942" s="129">
        <v>1</v>
      </c>
      <c r="AS942" s="129">
        <v>1</v>
      </c>
      <c r="AT942" s="129">
        <v>1</v>
      </c>
      <c r="AU942" s="129">
        <v>1</v>
      </c>
      <c r="AV942" s="129">
        <v>1</v>
      </c>
      <c r="AW942" s="129"/>
      <c r="AX942" s="197"/>
      <c r="AY942" s="197"/>
      <c r="AZ942" s="197"/>
      <c r="BA942" s="197">
        <v>1</v>
      </c>
      <c r="BB942" s="129">
        <v>1</v>
      </c>
      <c r="BC942" s="129">
        <v>1</v>
      </c>
      <c r="BD942" s="129">
        <v>1</v>
      </c>
      <c r="BE942" s="129">
        <v>1</v>
      </c>
      <c r="BF942" s="129">
        <v>1</v>
      </c>
      <c r="BG942" s="129">
        <v>1</v>
      </c>
      <c r="BH942" s="129">
        <v>1</v>
      </c>
      <c r="BI942" s="129">
        <v>1</v>
      </c>
      <c r="BJ942" s="129">
        <v>1</v>
      </c>
      <c r="BK942" s="129">
        <v>1</v>
      </c>
      <c r="BL942" s="129">
        <v>1</v>
      </c>
      <c r="BM942" s="197"/>
    </row>
    <row r="943" spans="1:65" x14ac:dyDescent="0.25">
      <c r="A943" s="171" t="s">
        <v>94</v>
      </c>
      <c r="B943" s="171" t="s">
        <v>25</v>
      </c>
      <c r="C943" s="186" t="s">
        <v>222</v>
      </c>
      <c r="D943" s="161">
        <v>2</v>
      </c>
      <c r="E943" s="29" t="str">
        <f>INDEX(ra_ScName,MATCH(D943,ra_ScNumber,0))</f>
        <v>Expected real return (excl forecast asset revaluations)</v>
      </c>
      <c r="F943" s="122">
        <v>0</v>
      </c>
      <c r="G943" s="122">
        <v>0</v>
      </c>
      <c r="H943" s="122">
        <v>0</v>
      </c>
      <c r="I943" s="122">
        <v>0</v>
      </c>
      <c r="J943" s="122">
        <v>0</v>
      </c>
      <c r="K943" s="122">
        <v>0</v>
      </c>
      <c r="L943" s="122">
        <v>0</v>
      </c>
      <c r="M943" s="122">
        <v>0</v>
      </c>
      <c r="N943" s="122">
        <v>0</v>
      </c>
      <c r="O943" s="122">
        <v>0</v>
      </c>
      <c r="P943" s="122">
        <v>0</v>
      </c>
      <c r="Q943" s="122">
        <v>0</v>
      </c>
      <c r="R943" s="122">
        <v>0</v>
      </c>
      <c r="S943" s="122">
        <v>0</v>
      </c>
      <c r="T943" s="122">
        <v>0</v>
      </c>
      <c r="U943" s="122">
        <v>0</v>
      </c>
      <c r="V943" s="122"/>
      <c r="W943" s="54"/>
      <c r="X943" s="54"/>
      <c r="Y943" s="54"/>
      <c r="Z943" s="54"/>
      <c r="AA943" s="54"/>
      <c r="AB943" s="54"/>
      <c r="AC943" s="54"/>
      <c r="AD943" s="54"/>
      <c r="AE943" s="54"/>
      <c r="AF943" s="54"/>
      <c r="AG943" s="54"/>
      <c r="AH943" s="54"/>
      <c r="AI943" s="117">
        <f>SUM(F943:AH943)</f>
        <v>0</v>
      </c>
      <c r="AJ943" s="117">
        <f>SUM(F943:U943)</f>
        <v>0</v>
      </c>
      <c r="AK943" s="117">
        <f>SUM(W943:AH943)</f>
        <v>0</v>
      </c>
      <c r="AL943" s="23"/>
      <c r="AM943" s="127" t="b">
        <f>IF(INDEX($AO943:$BM943,0,$F$14)=1,TRUE,FALSE)</f>
        <v>0</v>
      </c>
      <c r="AN943" s="127" t="str">
        <f>IF(AM943,A943&amp;", "&amp;B943,"")</f>
        <v/>
      </c>
      <c r="AO943" s="129"/>
      <c r="AP943" s="129">
        <v>1</v>
      </c>
      <c r="AQ943" s="129">
        <v>1</v>
      </c>
      <c r="AR943" s="129">
        <v>1</v>
      </c>
      <c r="AS943" s="129">
        <v>1</v>
      </c>
      <c r="AT943" s="129">
        <v>1</v>
      </c>
      <c r="AU943" s="129">
        <v>1</v>
      </c>
      <c r="AV943" s="129">
        <v>1</v>
      </c>
      <c r="AW943" s="129"/>
      <c r="AX943" s="197"/>
      <c r="AY943" s="197"/>
      <c r="AZ943" s="197"/>
      <c r="BA943" s="197">
        <v>1</v>
      </c>
      <c r="BB943" s="129">
        <v>1</v>
      </c>
      <c r="BC943" s="129">
        <v>1</v>
      </c>
      <c r="BD943" s="129">
        <v>1</v>
      </c>
      <c r="BE943" s="129">
        <v>1</v>
      </c>
      <c r="BF943" s="129">
        <v>1</v>
      </c>
      <c r="BG943" s="129">
        <v>1</v>
      </c>
      <c r="BH943" s="129">
        <v>1</v>
      </c>
      <c r="BI943" s="129">
        <v>1</v>
      </c>
      <c r="BJ943" s="129">
        <v>1</v>
      </c>
      <c r="BK943" s="129">
        <v>1</v>
      </c>
      <c r="BL943" s="129">
        <v>1</v>
      </c>
      <c r="BM943" s="197"/>
    </row>
    <row r="944" spans="1:65" x14ac:dyDescent="0.25">
      <c r="A944" s="171" t="s">
        <v>94</v>
      </c>
      <c r="B944" s="171" t="s">
        <v>26</v>
      </c>
      <c r="C944" s="186" t="s">
        <v>222</v>
      </c>
      <c r="D944" s="161">
        <v>2</v>
      </c>
      <c r="E944" s="29" t="str">
        <f>INDEX(ra_ScName,MATCH(D944,ra_ScNumber,0))</f>
        <v>Expected real return (excl forecast asset revaluations)</v>
      </c>
      <c r="F944" s="122">
        <v>0</v>
      </c>
      <c r="G944" s="122">
        <v>0</v>
      </c>
      <c r="H944" s="122">
        <v>0</v>
      </c>
      <c r="I944" s="122">
        <v>0</v>
      </c>
      <c r="J944" s="122">
        <v>0</v>
      </c>
      <c r="K944" s="122">
        <v>0</v>
      </c>
      <c r="L944" s="122">
        <v>0</v>
      </c>
      <c r="M944" s="122">
        <v>0</v>
      </c>
      <c r="N944" s="122">
        <v>0</v>
      </c>
      <c r="O944" s="122">
        <v>0</v>
      </c>
      <c r="P944" s="122">
        <v>0</v>
      </c>
      <c r="Q944" s="122">
        <v>0</v>
      </c>
      <c r="R944" s="122">
        <v>0</v>
      </c>
      <c r="S944" s="122">
        <v>0</v>
      </c>
      <c r="T944" s="122">
        <v>0</v>
      </c>
      <c r="U944" s="122">
        <v>0</v>
      </c>
      <c r="V944" s="122"/>
      <c r="W944" s="54"/>
      <c r="X944" s="54"/>
      <c r="Y944" s="54"/>
      <c r="Z944" s="54"/>
      <c r="AA944" s="54"/>
      <c r="AB944" s="54"/>
      <c r="AC944" s="54"/>
      <c r="AD944" s="54"/>
      <c r="AE944" s="54"/>
      <c r="AF944" s="54"/>
      <c r="AG944" s="54"/>
      <c r="AH944" s="54"/>
      <c r="AI944" s="117">
        <f>SUM(F944:AH944)</f>
        <v>0</v>
      </c>
      <c r="AJ944" s="117">
        <f>SUM(F944:U944)</f>
        <v>0</v>
      </c>
      <c r="AK944" s="117">
        <f>SUM(W944:AH944)</f>
        <v>0</v>
      </c>
      <c r="AL944" s="23"/>
      <c r="AM944" s="127" t="b">
        <f>IF(INDEX($AO944:$BM944,0,$F$14)=1,TRUE,FALSE)</f>
        <v>0</v>
      </c>
      <c r="AN944" s="127" t="str">
        <f>IF(AM944,A944&amp;", "&amp;B944,"")</f>
        <v/>
      </c>
      <c r="AO944" s="129"/>
      <c r="AP944" s="129">
        <v>1</v>
      </c>
      <c r="AQ944" s="129">
        <v>1</v>
      </c>
      <c r="AR944" s="129">
        <v>1</v>
      </c>
      <c r="AS944" s="129">
        <v>1</v>
      </c>
      <c r="AT944" s="129">
        <v>1</v>
      </c>
      <c r="AU944" s="129">
        <v>1</v>
      </c>
      <c r="AV944" s="129">
        <v>1</v>
      </c>
      <c r="AW944" s="129"/>
      <c r="AX944" s="197"/>
      <c r="AY944" s="197"/>
      <c r="AZ944" s="197"/>
      <c r="BA944" s="197">
        <v>1</v>
      </c>
      <c r="BB944" s="129">
        <v>1</v>
      </c>
      <c r="BC944" s="129">
        <v>1</v>
      </c>
      <c r="BD944" s="129">
        <v>1</v>
      </c>
      <c r="BE944" s="129">
        <v>1</v>
      </c>
      <c r="BF944" s="129">
        <v>1</v>
      </c>
      <c r="BG944" s="129">
        <v>1</v>
      </c>
      <c r="BH944" s="129">
        <v>1</v>
      </c>
      <c r="BI944" s="129">
        <v>1</v>
      </c>
      <c r="BJ944" s="129">
        <v>1</v>
      </c>
      <c r="BK944" s="129">
        <v>1</v>
      </c>
      <c r="BL944" s="129">
        <v>1</v>
      </c>
      <c r="BM944" s="197"/>
    </row>
    <row r="945" spans="1:65" x14ac:dyDescent="0.25">
      <c r="A945" s="171" t="s">
        <v>94</v>
      </c>
      <c r="B945" s="171" t="s">
        <v>27</v>
      </c>
      <c r="C945" s="186" t="s">
        <v>222</v>
      </c>
      <c r="D945" s="161">
        <v>2</v>
      </c>
      <c r="E945" s="29" t="str">
        <f>INDEX(ra_ScName,MATCH(D945,ra_ScNumber,0))</f>
        <v>Expected real return (excl forecast asset revaluations)</v>
      </c>
      <c r="F945" s="122">
        <v>0</v>
      </c>
      <c r="G945" s="122">
        <v>0</v>
      </c>
      <c r="H945" s="122">
        <v>0</v>
      </c>
      <c r="I945" s="122">
        <v>0</v>
      </c>
      <c r="J945" s="122">
        <v>0</v>
      </c>
      <c r="K945" s="122">
        <v>0</v>
      </c>
      <c r="L945" s="122">
        <v>0</v>
      </c>
      <c r="M945" s="122">
        <v>0</v>
      </c>
      <c r="N945" s="122">
        <v>0</v>
      </c>
      <c r="O945" s="122">
        <v>0</v>
      </c>
      <c r="P945" s="122">
        <v>0</v>
      </c>
      <c r="Q945" s="122">
        <v>0</v>
      </c>
      <c r="R945" s="122">
        <v>0</v>
      </c>
      <c r="S945" s="122">
        <v>0</v>
      </c>
      <c r="T945" s="122">
        <v>0</v>
      </c>
      <c r="U945" s="122">
        <v>0</v>
      </c>
      <c r="V945" s="122"/>
      <c r="W945" s="54"/>
      <c r="X945" s="54"/>
      <c r="Y945" s="54"/>
      <c r="Z945" s="54"/>
      <c r="AA945" s="54"/>
      <c r="AB945" s="54"/>
      <c r="AC945" s="54"/>
      <c r="AD945" s="54"/>
      <c r="AE945" s="54"/>
      <c r="AF945" s="54"/>
      <c r="AG945" s="54"/>
      <c r="AH945" s="54"/>
      <c r="AI945" s="117">
        <f>SUM(F945:AH945)</f>
        <v>0</v>
      </c>
      <c r="AJ945" s="117">
        <f>SUM(F945:U945)</f>
        <v>0</v>
      </c>
      <c r="AK945" s="117">
        <f>SUM(W945:AH945)</f>
        <v>0</v>
      </c>
      <c r="AL945" s="23"/>
      <c r="AM945" s="127" t="b">
        <f>IF(INDEX($AO945:$BM945,0,$F$14)=1,TRUE,FALSE)</f>
        <v>0</v>
      </c>
      <c r="AN945" s="127" t="str">
        <f>IF(AM945,A945&amp;", "&amp;B945,"")</f>
        <v/>
      </c>
      <c r="AO945" s="129"/>
      <c r="AP945" s="129">
        <v>1</v>
      </c>
      <c r="AQ945" s="129">
        <v>1</v>
      </c>
      <c r="AR945" s="129">
        <v>1</v>
      </c>
      <c r="AS945" s="129">
        <v>1</v>
      </c>
      <c r="AT945" s="129">
        <v>1</v>
      </c>
      <c r="AU945" s="129">
        <v>1</v>
      </c>
      <c r="AV945" s="129">
        <v>1</v>
      </c>
      <c r="AW945" s="129"/>
      <c r="AX945" s="197"/>
      <c r="AY945" s="197"/>
      <c r="AZ945" s="197"/>
      <c r="BA945" s="197">
        <v>1</v>
      </c>
      <c r="BB945" s="129">
        <v>1</v>
      </c>
      <c r="BC945" s="129">
        <v>1</v>
      </c>
      <c r="BD945" s="129">
        <v>1</v>
      </c>
      <c r="BE945" s="129">
        <v>1</v>
      </c>
      <c r="BF945" s="129">
        <v>1</v>
      </c>
      <c r="BG945" s="129">
        <v>1</v>
      </c>
      <c r="BH945" s="129">
        <v>1</v>
      </c>
      <c r="BI945" s="129">
        <v>1</v>
      </c>
      <c r="BJ945" s="129">
        <v>1</v>
      </c>
      <c r="BK945" s="129">
        <v>1</v>
      </c>
      <c r="BL945" s="129">
        <v>1</v>
      </c>
      <c r="BM945" s="197"/>
    </row>
    <row r="946" spans="1:65" x14ac:dyDescent="0.25">
      <c r="A946" s="166"/>
      <c r="B946" s="166"/>
      <c r="C946" s="172"/>
      <c r="D946" s="49"/>
      <c r="E946" s="49"/>
      <c r="F946" s="54"/>
      <c r="G946" s="54"/>
      <c r="H946" s="54"/>
      <c r="I946" s="54"/>
      <c r="J946" s="54"/>
      <c r="K946" s="54"/>
      <c r="L946" s="54"/>
      <c r="M946" s="54"/>
      <c r="N946" s="54"/>
      <c r="O946" s="54"/>
      <c r="P946" s="54"/>
      <c r="Q946" s="54"/>
      <c r="R946" s="54"/>
      <c r="S946" s="54"/>
      <c r="T946" s="54"/>
      <c r="U946" s="54"/>
      <c r="V946" s="54"/>
      <c r="W946" s="55"/>
      <c r="X946" s="55"/>
      <c r="Y946" s="55"/>
      <c r="Z946" s="55"/>
      <c r="AA946" s="55"/>
      <c r="AB946" s="55"/>
      <c r="AC946" s="55"/>
      <c r="AD946" s="55"/>
      <c r="AE946" s="55"/>
      <c r="AF946" s="55"/>
      <c r="AG946" s="55"/>
      <c r="AH946" s="55"/>
      <c r="AI946" s="54"/>
      <c r="AJ946" s="54"/>
      <c r="AK946" s="54"/>
      <c r="AL946" s="23"/>
      <c r="AM946" s="127"/>
      <c r="AN946" s="127"/>
      <c r="AO946" s="129"/>
      <c r="AP946" s="129"/>
      <c r="AQ946" s="129"/>
      <c r="AR946" s="129"/>
      <c r="AS946" s="129"/>
      <c r="AT946" s="129"/>
      <c r="AU946" s="129"/>
      <c r="AV946" s="129"/>
      <c r="AW946" s="129"/>
      <c r="AX946" s="197"/>
      <c r="AY946" s="197"/>
      <c r="AZ946" s="197"/>
      <c r="BA946" s="197"/>
      <c r="BB946" s="129"/>
      <c r="BC946" s="129"/>
      <c r="BD946" s="129"/>
      <c r="BE946" s="129"/>
      <c r="BF946" s="129"/>
      <c r="BG946" s="129"/>
      <c r="BH946" s="129"/>
      <c r="BI946" s="129"/>
      <c r="BJ946" s="129"/>
      <c r="BK946" s="129"/>
      <c r="BL946" s="129"/>
      <c r="BM946" s="197"/>
    </row>
    <row r="947" spans="1:65" x14ac:dyDescent="0.25">
      <c r="A947" s="166"/>
      <c r="B947" s="166"/>
      <c r="C947" s="172"/>
      <c r="D947" s="46"/>
      <c r="E947" s="46"/>
      <c r="F947" s="54"/>
      <c r="G947" s="54"/>
      <c r="H947" s="54"/>
      <c r="I947" s="54"/>
      <c r="J947" s="54"/>
      <c r="K947" s="54"/>
      <c r="L947" s="54"/>
      <c r="M947" s="54"/>
      <c r="N947" s="54"/>
      <c r="O947" s="54"/>
      <c r="P947" s="54"/>
      <c r="Q947" s="54"/>
      <c r="R947" s="54"/>
      <c r="S947" s="54"/>
      <c r="T947" s="54"/>
      <c r="U947" s="54"/>
      <c r="V947" s="54"/>
      <c r="W947" s="55"/>
      <c r="X947" s="55"/>
      <c r="Y947" s="55"/>
      <c r="Z947" s="55"/>
      <c r="AA947" s="55"/>
      <c r="AB947" s="55"/>
      <c r="AC947" s="55"/>
      <c r="AD947" s="55"/>
      <c r="AE947" s="55"/>
      <c r="AF947" s="55"/>
      <c r="AG947" s="55"/>
      <c r="AH947" s="55"/>
      <c r="AI947" s="54"/>
      <c r="AJ947" s="54"/>
      <c r="AK947" s="54"/>
      <c r="AL947" s="23"/>
      <c r="AM947" s="127"/>
      <c r="AN947" s="127"/>
      <c r="AO947" s="129"/>
      <c r="AP947" s="129"/>
      <c r="AQ947" s="129"/>
      <c r="AR947" s="129"/>
      <c r="AS947" s="129"/>
      <c r="AT947" s="129"/>
      <c r="AU947" s="129"/>
      <c r="AV947" s="129"/>
      <c r="AW947" s="129"/>
      <c r="AX947" s="197"/>
      <c r="AY947" s="197"/>
      <c r="AZ947" s="197"/>
      <c r="BA947" s="197"/>
      <c r="BB947" s="129"/>
      <c r="BC947" s="129"/>
      <c r="BD947" s="129"/>
      <c r="BE947" s="129"/>
      <c r="BF947" s="129"/>
      <c r="BG947" s="129"/>
      <c r="BH947" s="129"/>
      <c r="BI947" s="129"/>
      <c r="BJ947" s="129"/>
      <c r="BK947" s="129"/>
      <c r="BL947" s="129"/>
      <c r="BM947" s="197"/>
    </row>
    <row r="948" spans="1:65" x14ac:dyDescent="0.25">
      <c r="A948" s="121"/>
      <c r="B948" s="121"/>
      <c r="C948" s="172"/>
      <c r="D948" s="25"/>
      <c r="E948" s="25"/>
      <c r="F948" s="25"/>
      <c r="G948" s="25"/>
      <c r="H948" s="25"/>
      <c r="I948" s="25"/>
      <c r="J948" s="25"/>
      <c r="K948" s="25"/>
      <c r="L948" s="25"/>
      <c r="M948" s="26"/>
      <c r="N948" s="26"/>
      <c r="O948" s="26"/>
      <c r="P948" s="26"/>
      <c r="Q948" s="26"/>
      <c r="R948" s="26"/>
      <c r="S948" s="26"/>
      <c r="T948" s="26"/>
      <c r="U948" s="26"/>
      <c r="V948" s="25"/>
      <c r="W948" s="23"/>
      <c r="X948" s="23"/>
      <c r="Y948" s="23"/>
      <c r="Z948" s="23"/>
      <c r="AA948" s="23"/>
      <c r="AB948" s="23"/>
      <c r="AC948" s="23"/>
      <c r="AD948" s="23"/>
      <c r="AE948" s="23"/>
      <c r="AF948" s="23"/>
      <c r="AG948" s="23"/>
      <c r="AH948" s="23"/>
      <c r="AI948" s="54"/>
      <c r="AJ948" s="54"/>
      <c r="AK948" s="54"/>
      <c r="AL948" s="23"/>
      <c r="AM948" s="127"/>
      <c r="AN948" s="127"/>
      <c r="AO948" s="129"/>
      <c r="AP948" s="129"/>
      <c r="AQ948" s="129"/>
      <c r="AR948" s="129"/>
      <c r="AS948" s="129"/>
      <c r="AT948" s="129"/>
      <c r="AU948" s="129"/>
      <c r="AV948" s="129"/>
      <c r="AW948" s="129"/>
      <c r="AX948" s="197"/>
      <c r="AY948" s="197"/>
      <c r="AZ948" s="197"/>
      <c r="BA948" s="197"/>
      <c r="BB948" s="129"/>
      <c r="BC948" s="129"/>
      <c r="BD948" s="129"/>
      <c r="BE948" s="129"/>
      <c r="BF948" s="129"/>
      <c r="BG948" s="129"/>
      <c r="BH948" s="129"/>
      <c r="BI948" s="129"/>
      <c r="BJ948" s="129"/>
      <c r="BK948" s="129"/>
      <c r="BL948" s="129"/>
      <c r="BM948" s="197"/>
    </row>
    <row r="949" spans="1:65" x14ac:dyDescent="0.25">
      <c r="A949" s="121"/>
      <c r="B949" s="121"/>
      <c r="C949" s="172"/>
      <c r="D949" s="46"/>
      <c r="E949" s="46"/>
      <c r="F949" s="54"/>
      <c r="G949" s="54"/>
      <c r="H949" s="54"/>
      <c r="I949" s="54"/>
      <c r="J949" s="54"/>
      <c r="K949" s="54"/>
      <c r="L949" s="54"/>
      <c r="M949" s="54"/>
      <c r="N949" s="54"/>
      <c r="O949" s="54"/>
      <c r="P949" s="54"/>
      <c r="Q949" s="54"/>
      <c r="R949" s="54"/>
      <c r="S949" s="54"/>
      <c r="T949" s="54"/>
      <c r="U949" s="54"/>
      <c r="V949" s="54"/>
      <c r="W949" s="55"/>
      <c r="X949" s="55"/>
      <c r="Y949" s="55"/>
      <c r="Z949" s="55"/>
      <c r="AA949" s="55"/>
      <c r="AB949" s="55"/>
      <c r="AC949" s="55"/>
      <c r="AD949" s="55"/>
      <c r="AE949" s="55"/>
      <c r="AF949" s="55"/>
      <c r="AG949" s="55"/>
      <c r="AH949" s="55"/>
      <c r="AI949" s="54"/>
      <c r="AJ949" s="54"/>
      <c r="AK949" s="54"/>
      <c r="AL949" s="23"/>
      <c r="AM949" s="127"/>
      <c r="AN949" s="127"/>
      <c r="AO949" s="129"/>
      <c r="AP949" s="129"/>
      <c r="AQ949" s="129"/>
      <c r="AR949" s="129"/>
      <c r="AS949" s="129"/>
      <c r="AT949" s="129"/>
      <c r="AU949" s="129"/>
      <c r="AV949" s="129"/>
      <c r="AW949" s="129"/>
      <c r="AX949" s="197"/>
      <c r="AY949" s="197"/>
      <c r="AZ949" s="197"/>
      <c r="BA949" s="197"/>
      <c r="BB949" s="129"/>
      <c r="BC949" s="129"/>
      <c r="BD949" s="129"/>
      <c r="BE949" s="129"/>
      <c r="BF949" s="129"/>
      <c r="BG949" s="129"/>
      <c r="BH949" s="129"/>
      <c r="BI949" s="129"/>
      <c r="BJ949" s="129"/>
      <c r="BK949" s="129"/>
      <c r="BL949" s="129"/>
      <c r="BM949" s="197"/>
    </row>
    <row r="950" spans="1:65" x14ac:dyDescent="0.25">
      <c r="A950" s="121" t="s">
        <v>94</v>
      </c>
      <c r="B950" s="121" t="s">
        <v>23</v>
      </c>
      <c r="C950" s="172" t="s">
        <v>352</v>
      </c>
      <c r="D950" s="161">
        <v>10</v>
      </c>
      <c r="E950" s="29" t="str">
        <f>INDEX(ra_ScName,MATCH(D950,ra_ScNumber,0))</f>
        <v>Disclosed nominal return (incl actual asset revaluations)</v>
      </c>
      <c r="F950" s="122">
        <v>752.36103022555415</v>
      </c>
      <c r="G950" s="122">
        <v>786.07172208411168</v>
      </c>
      <c r="H950" s="122">
        <v>124.63057349030611</v>
      </c>
      <c r="I950" s="122">
        <v>438.37690827399388</v>
      </c>
      <c r="J950" s="122">
        <v>416.73741321177113</v>
      </c>
      <c r="K950" s="122">
        <v>169.82085104933347</v>
      </c>
      <c r="L950" s="122">
        <v>277.96080392569365</v>
      </c>
      <c r="M950" s="122">
        <v>63.300943437533412</v>
      </c>
      <c r="N950" s="122">
        <v>341.67180883678782</v>
      </c>
      <c r="O950" s="122">
        <v>229.10152107058948</v>
      </c>
      <c r="P950" s="122">
        <v>3583.051042072826</v>
      </c>
      <c r="Q950" s="122">
        <v>352.21331163626439</v>
      </c>
      <c r="R950" s="122">
        <v>787.70903109226469</v>
      </c>
      <c r="S950" s="122">
        <v>1167.6415713371932</v>
      </c>
      <c r="T950" s="122">
        <v>5080.2866887207165</v>
      </c>
      <c r="U950" s="122">
        <v>1203.2439688224952</v>
      </c>
      <c r="V950" s="122">
        <v>1983.8840959347756</v>
      </c>
      <c r="W950" s="122">
        <v>62.929468631193068</v>
      </c>
      <c r="X950" s="122">
        <v>376.93430392836655</v>
      </c>
      <c r="Y950" s="122">
        <v>355.77521546725933</v>
      </c>
      <c r="Z950" s="122">
        <v>508.27992510861634</v>
      </c>
      <c r="AA950" s="122">
        <v>368.49588817916435</v>
      </c>
      <c r="AB950" s="122">
        <v>182.89139010614281</v>
      </c>
      <c r="AC950" s="122">
        <v>544.82400095878336</v>
      </c>
      <c r="AD950" s="122">
        <v>64.250715205693069</v>
      </c>
      <c r="AE950" s="122">
        <v>683.68243527689958</v>
      </c>
      <c r="AF950" s="122">
        <v>146.38671829254528</v>
      </c>
      <c r="AG950" s="122">
        <v>1251.7293534677758</v>
      </c>
      <c r="AH950" s="122">
        <v>256.35659096141728</v>
      </c>
      <c r="AI950" s="117">
        <f t="shared" si="323"/>
        <v>22560.599290806073</v>
      </c>
      <c r="AJ950" s="117">
        <f>SUM(F950:U950)</f>
        <v>15774.179189287435</v>
      </c>
      <c r="AK950" s="117">
        <f t="shared" si="325"/>
        <v>4802.5360055838564</v>
      </c>
      <c r="AL950" s="23"/>
      <c r="AM950" s="127" t="b">
        <f>IF(INDEX($AO950:$BM950,0,$F$14)=1,TRUE,FALSE)</f>
        <v>1</v>
      </c>
      <c r="AN950" s="127" t="str">
        <f>IF(AM950,A950&amp;", "&amp;B950,"")</f>
        <v>Amortisation of revaluations, 2010/11</v>
      </c>
      <c r="AO950" s="129"/>
      <c r="AP950" s="129"/>
      <c r="AQ950" s="129"/>
      <c r="AR950" s="129"/>
      <c r="AS950" s="129"/>
      <c r="AT950" s="129"/>
      <c r="AU950" s="129"/>
      <c r="AV950" s="129"/>
      <c r="AW950" s="129">
        <v>1</v>
      </c>
      <c r="AX950" s="197">
        <v>1</v>
      </c>
      <c r="AY950" s="197">
        <v>1</v>
      </c>
      <c r="AZ950" s="197">
        <v>1</v>
      </c>
      <c r="BA950" s="197"/>
      <c r="BB950" s="129"/>
      <c r="BC950" s="129"/>
      <c r="BD950" s="129"/>
      <c r="BE950" s="129"/>
      <c r="BF950" s="129"/>
      <c r="BG950" s="129"/>
      <c r="BH950" s="129"/>
      <c r="BI950" s="129"/>
      <c r="BJ950" s="129"/>
      <c r="BK950" s="129"/>
      <c r="BL950" s="129"/>
      <c r="BM950" s="197">
        <v>1</v>
      </c>
    </row>
    <row r="951" spans="1:65" x14ac:dyDescent="0.25">
      <c r="A951" s="121" t="s">
        <v>94</v>
      </c>
      <c r="B951" s="121" t="s">
        <v>24</v>
      </c>
      <c r="C951" s="172" t="s">
        <v>352</v>
      </c>
      <c r="D951" s="161">
        <v>10</v>
      </c>
      <c r="E951" s="29" t="str">
        <f>INDEX(ra_ScName,MATCH(D951,ra_ScNumber,0))</f>
        <v>Disclosed nominal return (incl actual asset revaluations)</v>
      </c>
      <c r="F951" s="122">
        <v>777.14389968323997</v>
      </c>
      <c r="G951" s="122">
        <v>811.96502608332128</v>
      </c>
      <c r="H951" s="122">
        <v>128.73592066959952</v>
      </c>
      <c r="I951" s="122">
        <v>452.81710022248069</v>
      </c>
      <c r="J951" s="122">
        <v>430.4647973994725</v>
      </c>
      <c r="K951" s="122">
        <v>175.41477180502039</v>
      </c>
      <c r="L951" s="122">
        <v>287.11686868888142</v>
      </c>
      <c r="M951" s="122">
        <v>65.386084685865256</v>
      </c>
      <c r="N951" s="122">
        <v>352.92652232618127</v>
      </c>
      <c r="O951" s="122">
        <v>236.6481547493002</v>
      </c>
      <c r="P951" s="122">
        <v>3701.0772059336718</v>
      </c>
      <c r="Q951" s="122">
        <v>363.815263588672</v>
      </c>
      <c r="R951" s="122">
        <v>813.65626826156256</v>
      </c>
      <c r="S951" s="122">
        <v>1206.1038354275347</v>
      </c>
      <c r="T951" s="122">
        <v>5247.6319880598367</v>
      </c>
      <c r="U951" s="122">
        <v>1242.8789804819053</v>
      </c>
      <c r="V951" s="122">
        <v>2049.2334941538602</v>
      </c>
      <c r="W951" s="122">
        <v>65.002373451450495</v>
      </c>
      <c r="X951" s="122">
        <v>389.35056855810132</v>
      </c>
      <c r="Y951" s="122">
        <v>367.49449699166496</v>
      </c>
      <c r="Z951" s="122">
        <v>525.02273145539471</v>
      </c>
      <c r="AA951" s="122">
        <v>380.63419030480787</v>
      </c>
      <c r="AB951" s="122">
        <v>188.91585610563294</v>
      </c>
      <c r="AC951" s="122">
        <v>562.77057388152991</v>
      </c>
      <c r="AD951" s="122">
        <v>66.367142058673835</v>
      </c>
      <c r="AE951" s="122">
        <v>706.20302295127783</v>
      </c>
      <c r="AF951" s="122">
        <v>151.20871569011857</v>
      </c>
      <c r="AG951" s="122">
        <v>1292.9614799563649</v>
      </c>
      <c r="AH951" s="122">
        <v>264.80101016068056</v>
      </c>
      <c r="AI951" s="117">
        <f t="shared" si="323"/>
        <v>23303.748343786105</v>
      </c>
      <c r="AJ951" s="117">
        <f>SUM(F951:U951)</f>
        <v>16293.782688066545</v>
      </c>
      <c r="AK951" s="117">
        <f t="shared" si="325"/>
        <v>4960.7321615656974</v>
      </c>
      <c r="AL951" s="23"/>
      <c r="AM951" s="127" t="b">
        <f>IF(INDEX($AO951:$BM951,0,$F$14)=1,TRUE,FALSE)</f>
        <v>1</v>
      </c>
      <c r="AN951" s="127" t="str">
        <f>IF(AM951,A951&amp;", "&amp;B951,"")</f>
        <v>Amortisation of revaluations, 2011/12</v>
      </c>
      <c r="AO951" s="129"/>
      <c r="AP951" s="129"/>
      <c r="AQ951" s="129"/>
      <c r="AR951" s="129"/>
      <c r="AS951" s="129"/>
      <c r="AT951" s="129"/>
      <c r="AU951" s="129"/>
      <c r="AV951" s="129"/>
      <c r="AW951" s="129">
        <v>1</v>
      </c>
      <c r="AX951" s="197">
        <v>1</v>
      </c>
      <c r="AY951" s="197">
        <v>1</v>
      </c>
      <c r="AZ951" s="197">
        <v>1</v>
      </c>
      <c r="BA951" s="197"/>
      <c r="BB951" s="129"/>
      <c r="BC951" s="129"/>
      <c r="BD951" s="129"/>
      <c r="BE951" s="129"/>
      <c r="BF951" s="129"/>
      <c r="BG951" s="129"/>
      <c r="BH951" s="129"/>
      <c r="BI951" s="129"/>
      <c r="BJ951" s="129"/>
      <c r="BK951" s="129"/>
      <c r="BL951" s="129"/>
      <c r="BM951" s="197">
        <v>1</v>
      </c>
    </row>
    <row r="952" spans="1:65" x14ac:dyDescent="0.25">
      <c r="A952" s="121" t="s">
        <v>94</v>
      </c>
      <c r="B952" s="121" t="s">
        <v>25</v>
      </c>
      <c r="C952" s="172" t="s">
        <v>219</v>
      </c>
      <c r="D952" s="161">
        <v>10</v>
      </c>
      <c r="E952" s="29" t="str">
        <f>INDEX(ra_ScName,MATCH(D952,ra_ScNumber,0))</f>
        <v>Disclosed nominal return (incl actual asset revaluations)</v>
      </c>
      <c r="F952" s="122">
        <v>470.47363603489976</v>
      </c>
      <c r="G952" s="122">
        <v>652</v>
      </c>
      <c r="H952" s="122">
        <v>89.319416035799804</v>
      </c>
      <c r="I952" s="122">
        <v>462.31755311773213</v>
      </c>
      <c r="J952" s="122">
        <v>343</v>
      </c>
      <c r="K952" s="122">
        <v>156.07999999999993</v>
      </c>
      <c r="L952" s="122">
        <v>269.41218131919504</v>
      </c>
      <c r="M952" s="122">
        <v>10.328999999999951</v>
      </c>
      <c r="N952" s="122">
        <v>339</v>
      </c>
      <c r="O952" s="122">
        <v>287.76500000000033</v>
      </c>
      <c r="P952" s="122">
        <v>3367</v>
      </c>
      <c r="Q952" s="122">
        <v>327.74388738792914</v>
      </c>
      <c r="R952" s="122">
        <v>408</v>
      </c>
      <c r="S952" s="122">
        <v>1020.7038800000009</v>
      </c>
      <c r="T952" s="122">
        <v>4598</v>
      </c>
      <c r="U952" s="122">
        <v>1375</v>
      </c>
      <c r="V952" s="122">
        <v>1886.0021415634037</v>
      </c>
      <c r="W952" s="122">
        <v>66.728000000000065</v>
      </c>
      <c r="X952" s="122">
        <v>339.00710003550012</v>
      </c>
      <c r="Y952" s="122">
        <v>240.23579999999947</v>
      </c>
      <c r="Z952" s="122">
        <v>202</v>
      </c>
      <c r="AA952" s="122">
        <v>71.655530664775142</v>
      </c>
      <c r="AB952" s="122">
        <v>312.77028094764682</v>
      </c>
      <c r="AC952" s="122">
        <v>497.82751648119483</v>
      </c>
      <c r="AD952" s="122">
        <v>57</v>
      </c>
      <c r="AE952" s="122">
        <v>655</v>
      </c>
      <c r="AF952" s="122">
        <v>179.91715847802334</v>
      </c>
      <c r="AG952" s="122">
        <v>791.34233014332131</v>
      </c>
      <c r="AH952" s="122">
        <v>227</v>
      </c>
      <c r="AI952" s="117">
        <f t="shared" si="323"/>
        <v>19702.630412209419</v>
      </c>
      <c r="AJ952" s="117">
        <f>SUM(F952:U952)</f>
        <v>14176.144553895556</v>
      </c>
      <c r="AK952" s="117">
        <f t="shared" si="325"/>
        <v>3640.4837167504611</v>
      </c>
      <c r="AL952" s="23"/>
      <c r="AM952" s="127" t="b">
        <f>IF(INDEX($AO952:$BM952,0,$F$14)=1,TRUE,FALSE)</f>
        <v>1</v>
      </c>
      <c r="AN952" s="127" t="str">
        <f>IF(AM952,A952&amp;", "&amp;B952,"")</f>
        <v>Amortisation of revaluations, 2012/13</v>
      </c>
      <c r="AO952" s="129"/>
      <c r="AP952" s="129"/>
      <c r="AQ952" s="129"/>
      <c r="AR952" s="129"/>
      <c r="AS952" s="129"/>
      <c r="AT952" s="129"/>
      <c r="AU952" s="129"/>
      <c r="AV952" s="129"/>
      <c r="AW952" s="129">
        <v>1</v>
      </c>
      <c r="AX952" s="197">
        <v>1</v>
      </c>
      <c r="AY952" s="197">
        <v>1</v>
      </c>
      <c r="AZ952" s="197">
        <v>1</v>
      </c>
      <c r="BA952" s="197"/>
      <c r="BB952" s="129"/>
      <c r="BC952" s="129"/>
      <c r="BD952" s="129"/>
      <c r="BE952" s="129"/>
      <c r="BF952" s="129"/>
      <c r="BG952" s="129"/>
      <c r="BH952" s="129"/>
      <c r="BI952" s="129"/>
      <c r="BJ952" s="129"/>
      <c r="BK952" s="129"/>
      <c r="BL952" s="129"/>
      <c r="BM952" s="197">
        <v>1</v>
      </c>
    </row>
    <row r="953" spans="1:65" x14ac:dyDescent="0.25">
      <c r="A953" s="121" t="s">
        <v>94</v>
      </c>
      <c r="B953" s="121" t="s">
        <v>26</v>
      </c>
      <c r="C953" s="172" t="s">
        <v>219</v>
      </c>
      <c r="D953" s="161">
        <v>10</v>
      </c>
      <c r="E953" s="29" t="str">
        <f>INDEX(ra_ScName,MATCH(D953,ra_ScNumber,0))</f>
        <v>Disclosed nominal return (incl actual asset revaluations)</v>
      </c>
      <c r="F953" s="122">
        <v>739.73105792308343</v>
      </c>
      <c r="G953" s="122">
        <v>746</v>
      </c>
      <c r="H953" s="122">
        <v>138.88295000000016</v>
      </c>
      <c r="I953" s="122">
        <v>495.56190365244129</v>
      </c>
      <c r="J953" s="122">
        <v>499.44926416425005</v>
      </c>
      <c r="K953" s="122">
        <v>200.00399999999991</v>
      </c>
      <c r="L953" s="122">
        <v>277.59371999879386</v>
      </c>
      <c r="M953" s="122">
        <v>94.906946322648309</v>
      </c>
      <c r="N953" s="122">
        <v>389.97303047646528</v>
      </c>
      <c r="O953" s="122">
        <v>207</v>
      </c>
      <c r="P953" s="122">
        <v>3754.6766806580272</v>
      </c>
      <c r="Q953" s="122">
        <v>369</v>
      </c>
      <c r="R953" s="122">
        <v>1029.4904744508522</v>
      </c>
      <c r="S953" s="122">
        <v>1300</v>
      </c>
      <c r="T953" s="122">
        <v>5250</v>
      </c>
      <c r="U953" s="122">
        <v>1599.2940460191239</v>
      </c>
      <c r="V953" s="122">
        <v>2101.8199999999997</v>
      </c>
      <c r="W953" s="122">
        <v>62</v>
      </c>
      <c r="X953" s="122">
        <v>387.58467777175792</v>
      </c>
      <c r="Y953" s="122">
        <v>509.64595000000008</v>
      </c>
      <c r="Z953" s="122">
        <v>711</v>
      </c>
      <c r="AA953" s="122">
        <v>547.65300000000025</v>
      </c>
      <c r="AB953" s="122">
        <v>104</v>
      </c>
      <c r="AC953" s="122">
        <v>562.88467853047223</v>
      </c>
      <c r="AD953" s="122">
        <v>64</v>
      </c>
      <c r="AE953" s="122">
        <v>699.20600000000013</v>
      </c>
      <c r="AF953" s="122">
        <v>203.63181070195242</v>
      </c>
      <c r="AG953" s="122">
        <v>1472.6291500000007</v>
      </c>
      <c r="AH953" s="122">
        <v>266</v>
      </c>
      <c r="AI953" s="117">
        <f t="shared" si="323"/>
        <v>24783.619340669866</v>
      </c>
      <c r="AJ953" s="117">
        <f>SUM(F953:U953)</f>
        <v>17091.564073665686</v>
      </c>
      <c r="AK953" s="117">
        <f t="shared" si="325"/>
        <v>5590.2352670041837</v>
      </c>
      <c r="AL953" s="23"/>
      <c r="AM953" s="127" t="b">
        <f>IF(INDEX($AO953:$BM953,0,$F$14)=1,TRUE,FALSE)</f>
        <v>1</v>
      </c>
      <c r="AN953" s="127" t="str">
        <f>IF(AM953,A953&amp;", "&amp;B953,"")</f>
        <v>Amortisation of revaluations, 2013/14</v>
      </c>
      <c r="AO953" s="129"/>
      <c r="AP953" s="129"/>
      <c r="AQ953" s="129"/>
      <c r="AR953" s="129"/>
      <c r="AS953" s="129"/>
      <c r="AT953" s="129"/>
      <c r="AU953" s="129"/>
      <c r="AV953" s="129"/>
      <c r="AW953" s="129">
        <v>1</v>
      </c>
      <c r="AX953" s="197">
        <v>1</v>
      </c>
      <c r="AY953" s="197">
        <v>1</v>
      </c>
      <c r="AZ953" s="197">
        <v>1</v>
      </c>
      <c r="BA953" s="197"/>
      <c r="BB953" s="129"/>
      <c r="BC953" s="129"/>
      <c r="BD953" s="129"/>
      <c r="BE953" s="129"/>
      <c r="BF953" s="129"/>
      <c r="BG953" s="129"/>
      <c r="BH953" s="129"/>
      <c r="BI953" s="129"/>
      <c r="BJ953" s="129"/>
      <c r="BK953" s="129"/>
      <c r="BL953" s="129"/>
      <c r="BM953" s="197">
        <v>1</v>
      </c>
    </row>
    <row r="954" spans="1:65" x14ac:dyDescent="0.25">
      <c r="A954" s="121" t="s">
        <v>94</v>
      </c>
      <c r="B954" s="121" t="s">
        <v>27</v>
      </c>
      <c r="C954" s="172" t="s">
        <v>219</v>
      </c>
      <c r="D954" s="161">
        <v>10</v>
      </c>
      <c r="E954" s="29" t="str">
        <f>INDEX(ra_ScName,MATCH(D954,ra_ScNumber,0))</f>
        <v>Disclosed nominal return (incl actual asset revaluations)</v>
      </c>
      <c r="F954" s="122">
        <v>1209</v>
      </c>
      <c r="G954" s="122">
        <v>915</v>
      </c>
      <c r="H954" s="122">
        <v>173</v>
      </c>
      <c r="I954" s="122">
        <v>456.53308017401196</v>
      </c>
      <c r="J954" s="122">
        <v>500.32951979631616</v>
      </c>
      <c r="K954" s="122">
        <v>191.41700000000037</v>
      </c>
      <c r="L954" s="122">
        <v>349.00811999923098</v>
      </c>
      <c r="M954" s="122">
        <v>98</v>
      </c>
      <c r="N954" s="122">
        <v>373</v>
      </c>
      <c r="O954" s="122">
        <v>244.96399999999994</v>
      </c>
      <c r="P954" s="122">
        <v>4427.6378132198952</v>
      </c>
      <c r="Q954" s="122">
        <v>438.48215107351098</v>
      </c>
      <c r="R954" s="122">
        <v>1096.21224558008</v>
      </c>
      <c r="S954" s="122">
        <v>1442</v>
      </c>
      <c r="T954" s="122">
        <v>6522.9992056189512</v>
      </c>
      <c r="U954" s="122">
        <v>912.25370724158711</v>
      </c>
      <c r="V954" s="122">
        <v>2407.5280000000057</v>
      </c>
      <c r="W954" s="122">
        <v>74.241809999987026</v>
      </c>
      <c r="X954" s="122">
        <v>488</v>
      </c>
      <c r="Y954" s="122">
        <v>396.06169000000045</v>
      </c>
      <c r="Z954" s="122">
        <v>721</v>
      </c>
      <c r="AA954" s="122">
        <v>564</v>
      </c>
      <c r="AB954" s="122">
        <v>175</v>
      </c>
      <c r="AC954" s="122">
        <v>695.05859827655149</v>
      </c>
      <c r="AD954" s="122">
        <v>86</v>
      </c>
      <c r="AE954" s="122">
        <v>849.63999999999942</v>
      </c>
      <c r="AF954" s="122">
        <v>89.635652193577698</v>
      </c>
      <c r="AG954" s="122">
        <v>1763.9233700000004</v>
      </c>
      <c r="AH954" s="122">
        <v>333</v>
      </c>
      <c r="AI954" s="117">
        <f t="shared" si="323"/>
        <v>27992.925963173704</v>
      </c>
      <c r="AJ954" s="117">
        <f>SUM(F954:U954)</f>
        <v>19349.836842703582</v>
      </c>
      <c r="AK954" s="117">
        <f t="shared" si="325"/>
        <v>6235.5611204701163</v>
      </c>
      <c r="AL954" s="23"/>
      <c r="AM954" s="127" t="b">
        <f>IF(INDEX($AO954:$BM954,0,$F$14)=1,TRUE,FALSE)</f>
        <v>1</v>
      </c>
      <c r="AN954" s="127" t="str">
        <f>IF(AM954,A954&amp;", "&amp;B954,"")</f>
        <v>Amortisation of revaluations, 2014/15</v>
      </c>
      <c r="AO954" s="129"/>
      <c r="AP954" s="129"/>
      <c r="AQ954" s="129"/>
      <c r="AR954" s="129"/>
      <c r="AS954" s="129"/>
      <c r="AT954" s="129"/>
      <c r="AU954" s="129"/>
      <c r="AV954" s="129"/>
      <c r="AW954" s="129">
        <v>1</v>
      </c>
      <c r="AX954" s="197">
        <v>1</v>
      </c>
      <c r="AY954" s="197">
        <v>1</v>
      </c>
      <c r="AZ954" s="197">
        <v>1</v>
      </c>
      <c r="BA954" s="197"/>
      <c r="BB954" s="129"/>
      <c r="BC954" s="129"/>
      <c r="BD954" s="129"/>
      <c r="BE954" s="129"/>
      <c r="BF954" s="129"/>
      <c r="BG954" s="129"/>
      <c r="BH954" s="129"/>
      <c r="BI954" s="129"/>
      <c r="BJ954" s="129"/>
      <c r="BK954" s="129"/>
      <c r="BL954" s="129"/>
      <c r="BM954" s="197">
        <v>1</v>
      </c>
    </row>
    <row r="955" spans="1:65" x14ac:dyDescent="0.25">
      <c r="A955" s="121"/>
      <c r="B955" s="121"/>
      <c r="C955" s="172"/>
      <c r="D955" s="25"/>
      <c r="E955" s="25"/>
      <c r="F955" s="25"/>
      <c r="G955" s="25"/>
      <c r="H955" s="25"/>
      <c r="I955" s="25"/>
      <c r="J955" s="25"/>
      <c r="K955" s="25"/>
      <c r="L955" s="25"/>
      <c r="M955" s="26"/>
      <c r="N955" s="26"/>
      <c r="O955" s="26"/>
      <c r="P955" s="26"/>
      <c r="Q955" s="26"/>
      <c r="R955" s="26"/>
      <c r="S955" s="26"/>
      <c r="T955" s="26"/>
      <c r="U955" s="26"/>
      <c r="V955" s="25"/>
      <c r="W955" s="23"/>
      <c r="X955" s="23"/>
      <c r="Y955" s="23"/>
      <c r="Z955" s="23"/>
      <c r="AA955" s="23"/>
      <c r="AB955" s="23"/>
      <c r="AC955" s="23"/>
      <c r="AD955" s="23"/>
      <c r="AE955" s="23"/>
      <c r="AF955" s="23"/>
      <c r="AG955" s="23"/>
      <c r="AH955" s="23"/>
      <c r="AI955" s="54"/>
      <c r="AJ955" s="54"/>
      <c r="AK955" s="54"/>
      <c r="AL955" s="23"/>
      <c r="AM955" s="127"/>
      <c r="AN955" s="127"/>
      <c r="AO955" s="129"/>
      <c r="AP955" s="129"/>
      <c r="AQ955" s="129"/>
      <c r="AR955" s="129"/>
      <c r="AS955" s="129"/>
      <c r="AT955" s="129"/>
      <c r="AU955" s="129"/>
      <c r="AV955" s="129"/>
      <c r="AW955" s="129"/>
      <c r="AX955" s="197"/>
      <c r="AY955" s="197"/>
      <c r="AZ955" s="197"/>
      <c r="BA955" s="197"/>
      <c r="BB955" s="129"/>
      <c r="BC955" s="129"/>
      <c r="BD955" s="129"/>
      <c r="BE955" s="129"/>
      <c r="BF955" s="129"/>
      <c r="BG955" s="129"/>
      <c r="BH955" s="129"/>
      <c r="BI955" s="129"/>
      <c r="BJ955" s="129"/>
      <c r="BK955" s="129"/>
      <c r="BL955" s="129"/>
      <c r="BM955" s="197"/>
    </row>
    <row r="956" spans="1:65" x14ac:dyDescent="0.25">
      <c r="A956" s="121"/>
      <c r="B956" s="121"/>
      <c r="C956" s="172"/>
      <c r="D956" s="46"/>
      <c r="E956" s="46"/>
      <c r="F956" s="54"/>
      <c r="G956" s="54"/>
      <c r="H956" s="54"/>
      <c r="I956" s="54"/>
      <c r="J956" s="54"/>
      <c r="K956" s="54"/>
      <c r="L956" s="54"/>
      <c r="M956" s="54"/>
      <c r="N956" s="54"/>
      <c r="O956" s="54"/>
      <c r="P956" s="54"/>
      <c r="Q956" s="54"/>
      <c r="R956" s="54"/>
      <c r="S956" s="54"/>
      <c r="T956" s="54"/>
      <c r="U956" s="54"/>
      <c r="V956" s="54"/>
      <c r="W956" s="55"/>
      <c r="X956" s="55"/>
      <c r="Y956" s="55"/>
      <c r="Z956" s="55"/>
      <c r="AA956" s="55"/>
      <c r="AB956" s="55"/>
      <c r="AC956" s="55"/>
      <c r="AD956" s="55"/>
      <c r="AE956" s="55"/>
      <c r="AF956" s="55"/>
      <c r="AG956" s="55"/>
      <c r="AH956" s="55"/>
      <c r="AI956" s="54"/>
      <c r="AJ956" s="54"/>
      <c r="AK956" s="54"/>
      <c r="AL956" s="23"/>
      <c r="AM956" s="127"/>
      <c r="AN956" s="127"/>
      <c r="AO956" s="129"/>
      <c r="AP956" s="129"/>
      <c r="AQ956" s="129"/>
      <c r="AR956" s="129"/>
      <c r="AS956" s="129"/>
      <c r="AT956" s="129"/>
      <c r="AU956" s="129"/>
      <c r="AV956" s="129"/>
      <c r="AW956" s="129"/>
      <c r="AX956" s="197"/>
      <c r="AY956" s="197"/>
      <c r="AZ956" s="197"/>
      <c r="BA956" s="197"/>
      <c r="BB956" s="129"/>
      <c r="BC956" s="129"/>
      <c r="BD956" s="129"/>
      <c r="BE956" s="129"/>
      <c r="BF956" s="129"/>
      <c r="BG956" s="129"/>
      <c r="BH956" s="129"/>
      <c r="BI956" s="129"/>
      <c r="BJ956" s="129"/>
      <c r="BK956" s="129"/>
      <c r="BL956" s="129"/>
      <c r="BM956" s="197"/>
    </row>
    <row r="957" spans="1:65" x14ac:dyDescent="0.25">
      <c r="A957" s="121" t="s">
        <v>95</v>
      </c>
      <c r="B957" s="121" t="s">
        <v>23</v>
      </c>
      <c r="C957" s="172" t="s">
        <v>222</v>
      </c>
      <c r="D957" s="161">
        <v>1</v>
      </c>
      <c r="E957" s="29" t="str">
        <f>INDEX(ra_ScName,MATCH(D957,ra_ScNumber,0))</f>
        <v>Expected nominal return (incl forecast asset revaluations)</v>
      </c>
      <c r="F957" s="54"/>
      <c r="G957" s="54"/>
      <c r="H957" s="54"/>
      <c r="I957" s="54"/>
      <c r="J957" s="54"/>
      <c r="K957" s="54"/>
      <c r="L957" s="54"/>
      <c r="M957" s="54"/>
      <c r="N957" s="54"/>
      <c r="O957" s="54"/>
      <c r="P957" s="54"/>
      <c r="Q957" s="54"/>
      <c r="R957" s="54"/>
      <c r="S957" s="54"/>
      <c r="T957" s="54"/>
      <c r="U957" s="54"/>
      <c r="V957" s="54"/>
      <c r="W957" s="54"/>
      <c r="X957" s="54"/>
      <c r="Y957" s="54"/>
      <c r="Z957" s="54"/>
      <c r="AA957" s="54"/>
      <c r="AB957" s="54"/>
      <c r="AC957" s="54"/>
      <c r="AD957" s="54"/>
      <c r="AE957" s="54"/>
      <c r="AF957" s="54"/>
      <c r="AG957" s="54"/>
      <c r="AH957" s="54"/>
      <c r="AI957" s="117">
        <f t="shared" si="323"/>
        <v>0</v>
      </c>
      <c r="AJ957" s="117">
        <f>SUM(F957:U957)</f>
        <v>0</v>
      </c>
      <c r="AK957" s="117">
        <f t="shared" si="325"/>
        <v>0</v>
      </c>
      <c r="AL957" s="23"/>
      <c r="AM957" s="127" t="b">
        <f>IF(INDEX($AO957:$BM957,0,$F$14)=1,TRUE,FALSE)</f>
        <v>0</v>
      </c>
      <c r="AN957" s="127" t="str">
        <f>IF(AM957,A957&amp;", "&amp;B957,"")</f>
        <v/>
      </c>
      <c r="AO957" s="129">
        <v>1</v>
      </c>
      <c r="AP957" s="129">
        <v>1</v>
      </c>
      <c r="AQ957" s="129">
        <v>1</v>
      </c>
      <c r="AR957" s="129">
        <v>1</v>
      </c>
      <c r="AS957" s="129">
        <v>1</v>
      </c>
      <c r="AT957" s="129">
        <v>1</v>
      </c>
      <c r="AU957" s="129">
        <v>1</v>
      </c>
      <c r="AV957" s="129">
        <v>1</v>
      </c>
      <c r="AW957" s="129"/>
      <c r="AX957" s="197"/>
      <c r="AY957" s="197"/>
      <c r="AZ957" s="197"/>
      <c r="BA957" s="197">
        <v>1</v>
      </c>
      <c r="BB957" s="129">
        <v>1</v>
      </c>
      <c r="BC957" s="129">
        <v>1</v>
      </c>
      <c r="BD957" s="129">
        <v>1</v>
      </c>
      <c r="BE957" s="129">
        <v>1</v>
      </c>
      <c r="BF957" s="129">
        <v>1</v>
      </c>
      <c r="BG957" s="129">
        <v>1</v>
      </c>
      <c r="BH957" s="129">
        <v>1</v>
      </c>
      <c r="BI957" s="129">
        <v>1</v>
      </c>
      <c r="BJ957" s="129">
        <v>1</v>
      </c>
      <c r="BK957" s="129">
        <v>1</v>
      </c>
      <c r="BL957" s="129">
        <v>1</v>
      </c>
      <c r="BM957" s="197"/>
    </row>
    <row r="958" spans="1:65" x14ac:dyDescent="0.25">
      <c r="A958" s="121" t="s">
        <v>95</v>
      </c>
      <c r="B958" s="121" t="s">
        <v>24</v>
      </c>
      <c r="C958" s="172" t="s">
        <v>222</v>
      </c>
      <c r="D958" s="161">
        <v>1</v>
      </c>
      <c r="E958" s="29" t="str">
        <f>INDEX(ra_ScName,MATCH(D958,ra_ScNumber,0))</f>
        <v>Expected nominal return (incl forecast asset revaluations)</v>
      </c>
      <c r="F958" s="54"/>
      <c r="G958" s="54"/>
      <c r="H958" s="54"/>
      <c r="I958" s="54"/>
      <c r="J958" s="54"/>
      <c r="K958" s="54"/>
      <c r="L958" s="54"/>
      <c r="M958" s="54"/>
      <c r="N958" s="54"/>
      <c r="O958" s="54"/>
      <c r="P958" s="54"/>
      <c r="Q958" s="54"/>
      <c r="R958" s="54"/>
      <c r="S958" s="54"/>
      <c r="T958" s="54"/>
      <c r="U958" s="54"/>
      <c r="V958" s="54"/>
      <c r="W958" s="54"/>
      <c r="X958" s="54"/>
      <c r="Y958" s="54"/>
      <c r="Z958" s="54"/>
      <c r="AA958" s="54"/>
      <c r="AB958" s="54"/>
      <c r="AC958" s="54"/>
      <c r="AD958" s="54"/>
      <c r="AE958" s="54"/>
      <c r="AF958" s="54"/>
      <c r="AG958" s="54"/>
      <c r="AH958" s="54"/>
      <c r="AI958" s="117">
        <f t="shared" si="323"/>
        <v>0</v>
      </c>
      <c r="AJ958" s="117">
        <f>SUM(F958:U958)</f>
        <v>0</v>
      </c>
      <c r="AK958" s="117">
        <f t="shared" si="325"/>
        <v>0</v>
      </c>
      <c r="AL958" s="23"/>
      <c r="AM958" s="127" t="b">
        <f>IF(INDEX($AO958:$BM958,0,$F$14)=1,TRUE,FALSE)</f>
        <v>0</v>
      </c>
      <c r="AN958" s="127" t="str">
        <f>IF(AM958,A958&amp;", "&amp;B958,"")</f>
        <v/>
      </c>
      <c r="AO958" s="129">
        <v>1</v>
      </c>
      <c r="AP958" s="129">
        <v>1</v>
      </c>
      <c r="AQ958" s="129">
        <v>1</v>
      </c>
      <c r="AR958" s="129">
        <v>1</v>
      </c>
      <c r="AS958" s="129">
        <v>1</v>
      </c>
      <c r="AT958" s="129">
        <v>1</v>
      </c>
      <c r="AU958" s="129">
        <v>1</v>
      </c>
      <c r="AV958" s="129">
        <v>1</v>
      </c>
      <c r="AW958" s="129"/>
      <c r="AX958" s="197"/>
      <c r="AY958" s="197"/>
      <c r="AZ958" s="197"/>
      <c r="BA958" s="197">
        <v>1</v>
      </c>
      <c r="BB958" s="129">
        <v>1</v>
      </c>
      <c r="BC958" s="129">
        <v>1</v>
      </c>
      <c r="BD958" s="129">
        <v>1</v>
      </c>
      <c r="BE958" s="129">
        <v>1</v>
      </c>
      <c r="BF958" s="129">
        <v>1</v>
      </c>
      <c r="BG958" s="129">
        <v>1</v>
      </c>
      <c r="BH958" s="129">
        <v>1</v>
      </c>
      <c r="BI958" s="129">
        <v>1</v>
      </c>
      <c r="BJ958" s="129">
        <v>1</v>
      </c>
      <c r="BK958" s="129">
        <v>1</v>
      </c>
      <c r="BL958" s="129">
        <v>1</v>
      </c>
      <c r="BM958" s="197"/>
    </row>
    <row r="959" spans="1:65" x14ac:dyDescent="0.25">
      <c r="A959" s="121" t="s">
        <v>95</v>
      </c>
      <c r="B959" s="121" t="s">
        <v>25</v>
      </c>
      <c r="C959" s="172" t="s">
        <v>222</v>
      </c>
      <c r="D959" s="161">
        <v>1</v>
      </c>
      <c r="E959" s="29" t="str">
        <f>INDEX(ra_ScName,MATCH(D959,ra_ScNumber,0))</f>
        <v>Expected nominal return (incl forecast asset revaluations)</v>
      </c>
      <c r="F959" s="54"/>
      <c r="G959" s="54"/>
      <c r="H959" s="54"/>
      <c r="I959" s="54"/>
      <c r="J959" s="54"/>
      <c r="K959" s="54"/>
      <c r="L959" s="54"/>
      <c r="M959" s="54"/>
      <c r="N959" s="54"/>
      <c r="O959" s="54"/>
      <c r="P959" s="54"/>
      <c r="Q959" s="54"/>
      <c r="R959" s="54"/>
      <c r="S959" s="54"/>
      <c r="T959" s="54"/>
      <c r="U959" s="54"/>
      <c r="V959" s="54"/>
      <c r="W959" s="54"/>
      <c r="X959" s="54"/>
      <c r="Y959" s="54"/>
      <c r="Z959" s="54"/>
      <c r="AA959" s="54"/>
      <c r="AB959" s="54"/>
      <c r="AC959" s="54"/>
      <c r="AD959" s="54"/>
      <c r="AE959" s="54"/>
      <c r="AF959" s="54"/>
      <c r="AG959" s="54"/>
      <c r="AH959" s="54"/>
      <c r="AI959" s="117">
        <f t="shared" si="323"/>
        <v>0</v>
      </c>
      <c r="AJ959" s="117">
        <f>SUM(F959:U959)</f>
        <v>0</v>
      </c>
      <c r="AK959" s="117">
        <f t="shared" si="325"/>
        <v>0</v>
      </c>
      <c r="AL959" s="23"/>
      <c r="AM959" s="127" t="b">
        <f>IF(INDEX($AO959:$BM959,0,$F$14)=1,TRUE,FALSE)</f>
        <v>0</v>
      </c>
      <c r="AN959" s="127" t="str">
        <f>IF(AM959,A959&amp;", "&amp;B959,"")</f>
        <v/>
      </c>
      <c r="AO959" s="129">
        <v>1</v>
      </c>
      <c r="AP959" s="129">
        <v>1</v>
      </c>
      <c r="AQ959" s="129">
        <v>1</v>
      </c>
      <c r="AR959" s="129">
        <v>1</v>
      </c>
      <c r="AS959" s="129">
        <v>1</v>
      </c>
      <c r="AT959" s="129">
        <v>1</v>
      </c>
      <c r="AU959" s="129">
        <v>1</v>
      </c>
      <c r="AV959" s="129">
        <v>1</v>
      </c>
      <c r="AW959" s="129"/>
      <c r="AX959" s="197"/>
      <c r="AY959" s="197"/>
      <c r="AZ959" s="197"/>
      <c r="BA959" s="197">
        <v>1</v>
      </c>
      <c r="BB959" s="129">
        <v>1</v>
      </c>
      <c r="BC959" s="129">
        <v>1</v>
      </c>
      <c r="BD959" s="129">
        <v>1</v>
      </c>
      <c r="BE959" s="129">
        <v>1</v>
      </c>
      <c r="BF959" s="129">
        <v>1</v>
      </c>
      <c r="BG959" s="129">
        <v>1</v>
      </c>
      <c r="BH959" s="129">
        <v>1</v>
      </c>
      <c r="BI959" s="129">
        <v>1</v>
      </c>
      <c r="BJ959" s="129">
        <v>1</v>
      </c>
      <c r="BK959" s="129">
        <v>1</v>
      </c>
      <c r="BL959" s="129">
        <v>1</v>
      </c>
      <c r="BM959" s="197"/>
    </row>
    <row r="960" spans="1:65" x14ac:dyDescent="0.25">
      <c r="A960" s="121" t="s">
        <v>95</v>
      </c>
      <c r="B960" s="121" t="s">
        <v>26</v>
      </c>
      <c r="C960" s="172" t="s">
        <v>222</v>
      </c>
      <c r="D960" s="161">
        <v>1</v>
      </c>
      <c r="E960" s="29" t="str">
        <f>INDEX(ra_ScName,MATCH(D960,ra_ScNumber,0))</f>
        <v>Expected nominal return (incl forecast asset revaluations)</v>
      </c>
      <c r="F960" s="54"/>
      <c r="G960" s="54"/>
      <c r="H960" s="54"/>
      <c r="I960" s="54"/>
      <c r="J960" s="54"/>
      <c r="K960" s="54"/>
      <c r="L960" s="54"/>
      <c r="M960" s="54"/>
      <c r="N960" s="54"/>
      <c r="O960" s="54"/>
      <c r="P960" s="54"/>
      <c r="Q960" s="54"/>
      <c r="R960" s="54"/>
      <c r="S960" s="54"/>
      <c r="T960" s="54"/>
      <c r="U960" s="54"/>
      <c r="V960" s="54"/>
      <c r="W960" s="54"/>
      <c r="X960" s="54"/>
      <c r="Y960" s="54"/>
      <c r="Z960" s="54"/>
      <c r="AA960" s="54"/>
      <c r="AB960" s="54"/>
      <c r="AC960" s="54"/>
      <c r="AD960" s="54"/>
      <c r="AE960" s="54"/>
      <c r="AF960" s="54"/>
      <c r="AG960" s="54"/>
      <c r="AH960" s="54"/>
      <c r="AI960" s="117">
        <f t="shared" si="323"/>
        <v>0</v>
      </c>
      <c r="AJ960" s="117">
        <f>SUM(F960:U960)</f>
        <v>0</v>
      </c>
      <c r="AK960" s="117">
        <f t="shared" si="325"/>
        <v>0</v>
      </c>
      <c r="AL960" s="23"/>
      <c r="AM960" s="127" t="b">
        <f>IF(INDEX($AO960:$BM960,0,$F$14)=1,TRUE,FALSE)</f>
        <v>0</v>
      </c>
      <c r="AN960" s="127" t="str">
        <f>IF(AM960,A960&amp;", "&amp;B960,"")</f>
        <v/>
      </c>
      <c r="AO960" s="129">
        <v>1</v>
      </c>
      <c r="AP960" s="129">
        <v>1</v>
      </c>
      <c r="AQ960" s="129">
        <v>1</v>
      </c>
      <c r="AR960" s="129">
        <v>1</v>
      </c>
      <c r="AS960" s="129">
        <v>1</v>
      </c>
      <c r="AT960" s="129">
        <v>1</v>
      </c>
      <c r="AU960" s="129">
        <v>1</v>
      </c>
      <c r="AV960" s="129">
        <v>1</v>
      </c>
      <c r="AW960" s="129"/>
      <c r="AX960" s="197"/>
      <c r="AY960" s="197"/>
      <c r="AZ960" s="197"/>
      <c r="BA960" s="197">
        <v>1</v>
      </c>
      <c r="BB960" s="129">
        <v>1</v>
      </c>
      <c r="BC960" s="129">
        <v>1</v>
      </c>
      <c r="BD960" s="129">
        <v>1</v>
      </c>
      <c r="BE960" s="129">
        <v>1</v>
      </c>
      <c r="BF960" s="129">
        <v>1</v>
      </c>
      <c r="BG960" s="129">
        <v>1</v>
      </c>
      <c r="BH960" s="129">
        <v>1</v>
      </c>
      <c r="BI960" s="129">
        <v>1</v>
      </c>
      <c r="BJ960" s="129">
        <v>1</v>
      </c>
      <c r="BK960" s="129">
        <v>1</v>
      </c>
      <c r="BL960" s="129">
        <v>1</v>
      </c>
      <c r="BM960" s="197"/>
    </row>
    <row r="961" spans="1:65" x14ac:dyDescent="0.25">
      <c r="A961" s="121" t="s">
        <v>95</v>
      </c>
      <c r="B961" s="121" t="s">
        <v>27</v>
      </c>
      <c r="C961" s="172" t="s">
        <v>222</v>
      </c>
      <c r="D961" s="161">
        <v>1</v>
      </c>
      <c r="E961" s="29" t="str">
        <f>INDEX(ra_ScName,MATCH(D961,ra_ScNumber,0))</f>
        <v>Expected nominal return (incl forecast asset revaluations)</v>
      </c>
      <c r="F961" s="54"/>
      <c r="G961" s="54"/>
      <c r="H961" s="54"/>
      <c r="I961" s="54"/>
      <c r="J961" s="54"/>
      <c r="K961" s="54"/>
      <c r="L961" s="54"/>
      <c r="M961" s="54"/>
      <c r="N961" s="54"/>
      <c r="O961" s="54"/>
      <c r="P961" s="54"/>
      <c r="Q961" s="54"/>
      <c r="R961" s="54"/>
      <c r="S961" s="54"/>
      <c r="T961" s="54"/>
      <c r="U961" s="54"/>
      <c r="V961" s="54"/>
      <c r="W961" s="54"/>
      <c r="X961" s="54"/>
      <c r="Y961" s="54"/>
      <c r="Z961" s="54"/>
      <c r="AA961" s="54"/>
      <c r="AB961" s="54"/>
      <c r="AC961" s="54"/>
      <c r="AD961" s="54"/>
      <c r="AE961" s="54"/>
      <c r="AF961" s="54"/>
      <c r="AG961" s="54"/>
      <c r="AH961" s="54"/>
      <c r="AI961" s="117">
        <f t="shared" si="323"/>
        <v>0</v>
      </c>
      <c r="AJ961" s="117">
        <f>SUM(F961:U961)</f>
        <v>0</v>
      </c>
      <c r="AK961" s="117">
        <f t="shared" si="325"/>
        <v>0</v>
      </c>
      <c r="AL961" s="23"/>
      <c r="AM961" s="127" t="b">
        <f>IF(INDEX($AO961:$BM961,0,$F$14)=1,TRUE,FALSE)</f>
        <v>0</v>
      </c>
      <c r="AN961" s="127" t="str">
        <f>IF(AM961,A961&amp;", "&amp;B961,"")</f>
        <v/>
      </c>
      <c r="AO961" s="129">
        <v>1</v>
      </c>
      <c r="AP961" s="129">
        <v>1</v>
      </c>
      <c r="AQ961" s="129">
        <v>1</v>
      </c>
      <c r="AR961" s="129">
        <v>1</v>
      </c>
      <c r="AS961" s="129">
        <v>1</v>
      </c>
      <c r="AT961" s="129">
        <v>1</v>
      </c>
      <c r="AU961" s="129">
        <v>1</v>
      </c>
      <c r="AV961" s="129">
        <v>1</v>
      </c>
      <c r="AW961" s="129"/>
      <c r="AX961" s="197"/>
      <c r="AY961" s="197"/>
      <c r="AZ961" s="197"/>
      <c r="BA961" s="197">
        <v>1</v>
      </c>
      <c r="BB961" s="129">
        <v>1</v>
      </c>
      <c r="BC961" s="129">
        <v>1</v>
      </c>
      <c r="BD961" s="129">
        <v>1</v>
      </c>
      <c r="BE961" s="129">
        <v>1</v>
      </c>
      <c r="BF961" s="129">
        <v>1</v>
      </c>
      <c r="BG961" s="129">
        <v>1</v>
      </c>
      <c r="BH961" s="129">
        <v>1</v>
      </c>
      <c r="BI961" s="129">
        <v>1</v>
      </c>
      <c r="BJ961" s="129">
        <v>1</v>
      </c>
      <c r="BK961" s="129">
        <v>1</v>
      </c>
      <c r="BL961" s="129">
        <v>1</v>
      </c>
      <c r="BM961" s="197"/>
    </row>
    <row r="962" spans="1:65" x14ac:dyDescent="0.25">
      <c r="A962" s="121"/>
      <c r="B962" s="121"/>
      <c r="C962" s="172"/>
      <c r="D962" s="25"/>
      <c r="E962" s="25"/>
      <c r="F962" s="25"/>
      <c r="G962" s="25"/>
      <c r="H962" s="25"/>
      <c r="I962" s="25"/>
      <c r="J962" s="25"/>
      <c r="K962" s="25"/>
      <c r="L962" s="25"/>
      <c r="M962" s="26"/>
      <c r="N962" s="26"/>
      <c r="O962" s="26"/>
      <c r="P962" s="26"/>
      <c r="Q962" s="26"/>
      <c r="R962" s="26"/>
      <c r="S962" s="26"/>
      <c r="T962" s="26"/>
      <c r="U962" s="26"/>
      <c r="V962" s="25"/>
      <c r="W962" s="23"/>
      <c r="X962" s="23"/>
      <c r="Y962" s="23"/>
      <c r="Z962" s="23"/>
      <c r="AA962" s="23"/>
      <c r="AB962" s="23"/>
      <c r="AC962" s="23"/>
      <c r="AD962" s="23"/>
      <c r="AE962" s="23"/>
      <c r="AF962" s="23"/>
      <c r="AG962" s="23"/>
      <c r="AH962" s="23"/>
      <c r="AI962" s="54"/>
      <c r="AJ962" s="54"/>
      <c r="AK962" s="54"/>
      <c r="AL962" s="23"/>
      <c r="AM962" s="127"/>
      <c r="AN962" s="127"/>
      <c r="AO962" s="129"/>
      <c r="AP962" s="129"/>
      <c r="AQ962" s="129"/>
      <c r="AR962" s="129"/>
      <c r="AS962" s="129"/>
      <c r="AT962" s="129"/>
      <c r="AU962" s="129"/>
      <c r="AV962" s="129"/>
      <c r="AW962" s="129"/>
      <c r="AX962" s="197"/>
      <c r="AY962" s="197"/>
      <c r="AZ962" s="197"/>
      <c r="BA962" s="197"/>
      <c r="BB962" s="129"/>
      <c r="BC962" s="129"/>
      <c r="BD962" s="129"/>
      <c r="BE962" s="129"/>
      <c r="BF962" s="129"/>
      <c r="BG962" s="129"/>
      <c r="BH962" s="129"/>
      <c r="BI962" s="129"/>
      <c r="BJ962" s="129"/>
      <c r="BK962" s="129"/>
      <c r="BL962" s="129"/>
      <c r="BM962" s="197"/>
    </row>
    <row r="963" spans="1:65" x14ac:dyDescent="0.25">
      <c r="A963" s="121"/>
      <c r="B963" s="121"/>
      <c r="C963" s="172"/>
      <c r="D963" s="46"/>
      <c r="E963" s="46"/>
      <c r="F963" s="54"/>
      <c r="G963" s="54"/>
      <c r="H963" s="54"/>
      <c r="I963" s="54"/>
      <c r="J963" s="54"/>
      <c r="K963" s="54"/>
      <c r="L963" s="54"/>
      <c r="M963" s="54"/>
      <c r="N963" s="54"/>
      <c r="O963" s="54"/>
      <c r="P963" s="54"/>
      <c r="Q963" s="54"/>
      <c r="R963" s="54"/>
      <c r="S963" s="54"/>
      <c r="T963" s="54"/>
      <c r="U963" s="54"/>
      <c r="V963" s="54"/>
      <c r="W963" s="55"/>
      <c r="X963" s="55"/>
      <c r="Y963" s="55"/>
      <c r="Z963" s="55"/>
      <c r="AA963" s="55"/>
      <c r="AB963" s="55"/>
      <c r="AC963" s="55"/>
      <c r="AD963" s="55"/>
      <c r="AE963" s="55"/>
      <c r="AF963" s="55"/>
      <c r="AG963" s="55"/>
      <c r="AH963" s="55"/>
      <c r="AI963" s="54"/>
      <c r="AJ963" s="54"/>
      <c r="AK963" s="54"/>
      <c r="AL963" s="23"/>
      <c r="AM963" s="127"/>
      <c r="AN963" s="127"/>
      <c r="AO963" s="129"/>
      <c r="AP963" s="129"/>
      <c r="AQ963" s="129"/>
      <c r="AR963" s="129"/>
      <c r="AS963" s="129"/>
      <c r="AT963" s="129"/>
      <c r="AU963" s="129"/>
      <c r="AV963" s="129"/>
      <c r="AW963" s="129"/>
      <c r="AX963" s="197"/>
      <c r="AY963" s="197"/>
      <c r="AZ963" s="197"/>
      <c r="BA963" s="197"/>
      <c r="BB963" s="129"/>
      <c r="BC963" s="129"/>
      <c r="BD963" s="129"/>
      <c r="BE963" s="129"/>
      <c r="BF963" s="129"/>
      <c r="BG963" s="129"/>
      <c r="BH963" s="129"/>
      <c r="BI963" s="129"/>
      <c r="BJ963" s="129"/>
      <c r="BK963" s="129"/>
      <c r="BL963" s="129"/>
      <c r="BM963" s="197"/>
    </row>
    <row r="964" spans="1:65" x14ac:dyDescent="0.25">
      <c r="A964" s="121" t="s">
        <v>95</v>
      </c>
      <c r="B964" s="121" t="s">
        <v>23</v>
      </c>
      <c r="C964" s="186" t="s">
        <v>222</v>
      </c>
      <c r="D964" s="161">
        <v>10</v>
      </c>
      <c r="E964" s="29" t="str">
        <f>INDEX(ra_ScName,MATCH(D964,ra_ScNumber,0))</f>
        <v>Disclosed nominal return (incl actual asset revaluations)</v>
      </c>
      <c r="F964" s="122">
        <v>0</v>
      </c>
      <c r="G964" s="122">
        <v>0</v>
      </c>
      <c r="H964" s="122">
        <v>0</v>
      </c>
      <c r="I964" s="122">
        <v>0</v>
      </c>
      <c r="J964" s="122">
        <v>0</v>
      </c>
      <c r="K964" s="122">
        <v>0</v>
      </c>
      <c r="L964" s="122">
        <v>0</v>
      </c>
      <c r="M964" s="122">
        <v>0</v>
      </c>
      <c r="N964" s="122">
        <v>0</v>
      </c>
      <c r="O964" s="122">
        <v>0</v>
      </c>
      <c r="P964" s="122">
        <v>0</v>
      </c>
      <c r="Q964" s="122">
        <v>0</v>
      </c>
      <c r="R964" s="122">
        <v>0</v>
      </c>
      <c r="S964" s="122">
        <v>0</v>
      </c>
      <c r="T964" s="122">
        <v>0</v>
      </c>
      <c r="U964" s="122">
        <v>0</v>
      </c>
      <c r="V964" s="122">
        <v>0</v>
      </c>
      <c r="W964" s="122">
        <v>0</v>
      </c>
      <c r="X964" s="122">
        <v>0</v>
      </c>
      <c r="Y964" s="122">
        <v>0</v>
      </c>
      <c r="Z964" s="122">
        <v>0</v>
      </c>
      <c r="AA964" s="122">
        <v>0</v>
      </c>
      <c r="AB964" s="122">
        <v>0</v>
      </c>
      <c r="AC964" s="122">
        <v>0</v>
      </c>
      <c r="AD964" s="122">
        <v>0</v>
      </c>
      <c r="AE964" s="122">
        <v>0</v>
      </c>
      <c r="AF964" s="122">
        <v>0</v>
      </c>
      <c r="AG964" s="122">
        <v>0</v>
      </c>
      <c r="AH964" s="122">
        <v>0</v>
      </c>
      <c r="AI964" s="117">
        <f t="shared" si="323"/>
        <v>0</v>
      </c>
      <c r="AJ964" s="117">
        <f>SUM(F964:U964)</f>
        <v>0</v>
      </c>
      <c r="AK964" s="117">
        <f t="shared" si="325"/>
        <v>0</v>
      </c>
      <c r="AL964" s="23"/>
      <c r="AM964" s="127" t="b">
        <f>IF(INDEX($AO964:$BM964,0,$F$14)=1,TRUE,FALSE)</f>
        <v>1</v>
      </c>
      <c r="AN964" s="127" t="str">
        <f>IF(AM964,A964&amp;", "&amp;B964,"")</f>
        <v>Income included in regulatory profit / (loss) before tax but not taxable, 2010/11</v>
      </c>
      <c r="AO964" s="129"/>
      <c r="AP964" s="129"/>
      <c r="AQ964" s="129"/>
      <c r="AR964" s="129"/>
      <c r="AS964" s="129"/>
      <c r="AT964" s="129"/>
      <c r="AU964" s="129"/>
      <c r="AV964" s="129"/>
      <c r="AW964" s="129">
        <v>1</v>
      </c>
      <c r="AX964" s="197">
        <v>1</v>
      </c>
      <c r="AY964" s="197">
        <v>1</v>
      </c>
      <c r="AZ964" s="197">
        <v>1</v>
      </c>
      <c r="BA964" s="197"/>
      <c r="BB964" s="129"/>
      <c r="BC964" s="129"/>
      <c r="BD964" s="129"/>
      <c r="BE964" s="129"/>
      <c r="BF964" s="129"/>
      <c r="BG964" s="129"/>
      <c r="BH964" s="129"/>
      <c r="BI964" s="129"/>
      <c r="BJ964" s="129"/>
      <c r="BK964" s="129"/>
      <c r="BL964" s="129"/>
      <c r="BM964" s="197">
        <v>1</v>
      </c>
    </row>
    <row r="965" spans="1:65" x14ac:dyDescent="0.25">
      <c r="A965" s="121" t="s">
        <v>95</v>
      </c>
      <c r="B965" s="121" t="s">
        <v>24</v>
      </c>
      <c r="C965" s="172" t="s">
        <v>209</v>
      </c>
      <c r="D965" s="161">
        <v>10</v>
      </c>
      <c r="E965" s="29" t="str">
        <f>INDEX(ra_ScName,MATCH(D965,ra_ScNumber,0))</f>
        <v>Disclosed nominal return (incl actual asset revaluations)</v>
      </c>
      <c r="F965" s="95">
        <v>2047</v>
      </c>
      <c r="G965" s="122">
        <v>0</v>
      </c>
      <c r="H965" s="122">
        <v>0</v>
      </c>
      <c r="I965" s="122">
        <v>0</v>
      </c>
      <c r="J965" s="122">
        <v>0</v>
      </c>
      <c r="K965" s="122">
        <v>0</v>
      </c>
      <c r="L965" s="122">
        <v>0</v>
      </c>
      <c r="M965" s="122">
        <v>0</v>
      </c>
      <c r="N965" s="122">
        <v>0</v>
      </c>
      <c r="O965" s="122">
        <v>0</v>
      </c>
      <c r="P965" s="122">
        <v>0</v>
      </c>
      <c r="Q965" s="122">
        <v>0</v>
      </c>
      <c r="R965" s="122">
        <v>0</v>
      </c>
      <c r="S965" s="122">
        <v>0</v>
      </c>
      <c r="T965" s="122">
        <v>0</v>
      </c>
      <c r="U965" s="122">
        <v>0</v>
      </c>
      <c r="V965" s="122">
        <v>0</v>
      </c>
      <c r="W965" s="122">
        <v>0</v>
      </c>
      <c r="X965" s="122">
        <v>0</v>
      </c>
      <c r="Y965" s="122">
        <v>0</v>
      </c>
      <c r="Z965" s="122">
        <v>0</v>
      </c>
      <c r="AA965" s="122">
        <v>0</v>
      </c>
      <c r="AB965" s="122">
        <v>0</v>
      </c>
      <c r="AC965" s="122">
        <v>0</v>
      </c>
      <c r="AD965" s="122">
        <v>0</v>
      </c>
      <c r="AE965" s="122">
        <v>0</v>
      </c>
      <c r="AF965" s="122">
        <v>0</v>
      </c>
      <c r="AG965" s="122">
        <v>0</v>
      </c>
      <c r="AH965" s="122">
        <v>0</v>
      </c>
      <c r="AI965" s="117">
        <f t="shared" si="323"/>
        <v>2047</v>
      </c>
      <c r="AJ965" s="117">
        <f>SUM(F965:U965)</f>
        <v>2047</v>
      </c>
      <c r="AK965" s="117">
        <f t="shared" si="325"/>
        <v>0</v>
      </c>
      <c r="AL965" s="23"/>
      <c r="AM965" s="127" t="b">
        <f>IF(INDEX($AO965:$BM965,0,$F$14)=1,TRUE,FALSE)</f>
        <v>1</v>
      </c>
      <c r="AN965" s="127" t="str">
        <f>IF(AM965,A965&amp;", "&amp;B965,"")</f>
        <v>Income included in regulatory profit / (loss) before tax but not taxable, 2011/12</v>
      </c>
      <c r="AO965" s="129"/>
      <c r="AP965" s="129"/>
      <c r="AQ965" s="129"/>
      <c r="AR965" s="129"/>
      <c r="AS965" s="129"/>
      <c r="AT965" s="129"/>
      <c r="AU965" s="129"/>
      <c r="AV965" s="129"/>
      <c r="AW965" s="129">
        <v>1</v>
      </c>
      <c r="AX965" s="197">
        <v>1</v>
      </c>
      <c r="AY965" s="197">
        <v>1</v>
      </c>
      <c r="AZ965" s="197">
        <v>1</v>
      </c>
      <c r="BA965" s="197"/>
      <c r="BB965" s="129"/>
      <c r="BC965" s="129"/>
      <c r="BD965" s="129"/>
      <c r="BE965" s="129"/>
      <c r="BF965" s="129"/>
      <c r="BG965" s="129"/>
      <c r="BH965" s="129"/>
      <c r="BI965" s="129"/>
      <c r="BJ965" s="129"/>
      <c r="BK965" s="129"/>
      <c r="BL965" s="129"/>
      <c r="BM965" s="197">
        <v>1</v>
      </c>
    </row>
    <row r="966" spans="1:65" x14ac:dyDescent="0.25">
      <c r="A966" s="121" t="s">
        <v>95</v>
      </c>
      <c r="B966" s="121" t="s">
        <v>25</v>
      </c>
      <c r="C966" s="172" t="s">
        <v>219</v>
      </c>
      <c r="D966" s="161">
        <v>10</v>
      </c>
      <c r="E966" s="29" t="str">
        <f>INDEX(ra_ScName,MATCH(D966,ra_ScNumber,0))</f>
        <v>Disclosed nominal return (incl actual asset revaluations)</v>
      </c>
      <c r="F966" s="122">
        <v>0</v>
      </c>
      <c r="G966" s="122">
        <v>0</v>
      </c>
      <c r="H966" s="122">
        <v>0</v>
      </c>
      <c r="I966" s="122">
        <v>0</v>
      </c>
      <c r="J966" s="122">
        <v>0</v>
      </c>
      <c r="K966" s="122">
        <v>0</v>
      </c>
      <c r="L966" s="122">
        <v>0</v>
      </c>
      <c r="M966" s="122">
        <v>0</v>
      </c>
      <c r="N966" s="122">
        <v>0</v>
      </c>
      <c r="O966" s="122">
        <v>0</v>
      </c>
      <c r="P966" s="122">
        <v>0</v>
      </c>
      <c r="Q966" s="122">
        <v>0</v>
      </c>
      <c r="R966" s="122">
        <v>0</v>
      </c>
      <c r="S966" s="122">
        <v>0</v>
      </c>
      <c r="T966" s="122">
        <v>14</v>
      </c>
      <c r="U966" s="122">
        <v>0</v>
      </c>
      <c r="V966" s="122">
        <v>1076.3040000000001</v>
      </c>
      <c r="W966" s="122">
        <v>0</v>
      </c>
      <c r="X966" s="122">
        <v>0</v>
      </c>
      <c r="Y966" s="122">
        <v>0</v>
      </c>
      <c r="Z966" s="122">
        <v>0</v>
      </c>
      <c r="AA966" s="122">
        <v>0</v>
      </c>
      <c r="AB966" s="122">
        <v>0</v>
      </c>
      <c r="AC966" s="122">
        <v>0</v>
      </c>
      <c r="AD966" s="122">
        <v>0</v>
      </c>
      <c r="AE966" s="122">
        <v>0</v>
      </c>
      <c r="AF966" s="122">
        <v>0</v>
      </c>
      <c r="AG966" s="122">
        <v>29.384520000000002</v>
      </c>
      <c r="AH966" s="122">
        <v>0</v>
      </c>
      <c r="AI966" s="117">
        <f t="shared" si="323"/>
        <v>1119.6885200000002</v>
      </c>
      <c r="AJ966" s="117">
        <f>SUM(F966:U966)</f>
        <v>14</v>
      </c>
      <c r="AK966" s="117">
        <f t="shared" si="325"/>
        <v>29.384520000000002</v>
      </c>
      <c r="AL966" s="23"/>
      <c r="AM966" s="127" t="b">
        <f>IF(INDEX($AO966:$BM966,0,$F$14)=1,TRUE,FALSE)</f>
        <v>1</v>
      </c>
      <c r="AN966" s="127" t="str">
        <f>IF(AM966,A966&amp;", "&amp;B966,"")</f>
        <v>Income included in regulatory profit / (loss) before tax but not taxable, 2012/13</v>
      </c>
      <c r="AO966" s="129"/>
      <c r="AP966" s="129"/>
      <c r="AQ966" s="129"/>
      <c r="AR966" s="129"/>
      <c r="AS966" s="129"/>
      <c r="AT966" s="129"/>
      <c r="AU966" s="129"/>
      <c r="AV966" s="129"/>
      <c r="AW966" s="129">
        <v>1</v>
      </c>
      <c r="AX966" s="197">
        <v>1</v>
      </c>
      <c r="AY966" s="197">
        <v>1</v>
      </c>
      <c r="AZ966" s="197">
        <v>1</v>
      </c>
      <c r="BA966" s="197"/>
      <c r="BB966" s="129"/>
      <c r="BC966" s="129"/>
      <c r="BD966" s="129"/>
      <c r="BE966" s="129"/>
      <c r="BF966" s="129"/>
      <c r="BG966" s="129"/>
      <c r="BH966" s="129"/>
      <c r="BI966" s="129"/>
      <c r="BJ966" s="129"/>
      <c r="BK966" s="129"/>
      <c r="BL966" s="129"/>
      <c r="BM966" s="197">
        <v>1</v>
      </c>
    </row>
    <row r="967" spans="1:65" x14ac:dyDescent="0.25">
      <c r="A967" s="121" t="s">
        <v>95</v>
      </c>
      <c r="B967" s="121" t="s">
        <v>26</v>
      </c>
      <c r="C967" s="172" t="s">
        <v>219</v>
      </c>
      <c r="D967" s="161">
        <v>10</v>
      </c>
      <c r="E967" s="29" t="str">
        <f>INDEX(ra_ScName,MATCH(D967,ra_ScNumber,0))</f>
        <v>Disclosed nominal return (incl actual asset revaluations)</v>
      </c>
      <c r="F967" s="122">
        <v>2347</v>
      </c>
      <c r="G967" s="122">
        <v>0</v>
      </c>
      <c r="H967" s="122">
        <v>0</v>
      </c>
      <c r="I967" s="122">
        <v>0</v>
      </c>
      <c r="J967" s="122">
        <v>0</v>
      </c>
      <c r="K967" s="122">
        <v>0</v>
      </c>
      <c r="L967" s="122">
        <v>0</v>
      </c>
      <c r="M967" s="122">
        <v>0</v>
      </c>
      <c r="N967" s="122">
        <v>0</v>
      </c>
      <c r="O967" s="122">
        <v>0</v>
      </c>
      <c r="P967" s="122">
        <v>0</v>
      </c>
      <c r="Q967" s="122">
        <v>0</v>
      </c>
      <c r="R967" s="122">
        <v>0</v>
      </c>
      <c r="S967" s="122">
        <v>0</v>
      </c>
      <c r="T967" s="122">
        <v>22</v>
      </c>
      <c r="U967" s="122">
        <v>0</v>
      </c>
      <c r="V967" s="122">
        <v>4954</v>
      </c>
      <c r="W967" s="122">
        <v>0</v>
      </c>
      <c r="X967" s="122">
        <v>0</v>
      </c>
      <c r="Y967" s="122">
        <v>0</v>
      </c>
      <c r="Z967" s="122">
        <v>3104</v>
      </c>
      <c r="AA967" s="122">
        <v>0</v>
      </c>
      <c r="AB967" s="122">
        <v>0</v>
      </c>
      <c r="AC967" s="122">
        <v>0</v>
      </c>
      <c r="AD967" s="122">
        <v>0</v>
      </c>
      <c r="AE967" s="122">
        <v>0</v>
      </c>
      <c r="AF967" s="122">
        <v>0</v>
      </c>
      <c r="AG967" s="122">
        <v>31.947895313024212</v>
      </c>
      <c r="AH967" s="122">
        <v>0</v>
      </c>
      <c r="AI967" s="117">
        <f t="shared" si="323"/>
        <v>10458.947895313024</v>
      </c>
      <c r="AJ967" s="117">
        <f>SUM(F967:U967)</f>
        <v>2369</v>
      </c>
      <c r="AK967" s="117">
        <f t="shared" si="325"/>
        <v>3135.9478953130242</v>
      </c>
      <c r="AL967" s="23"/>
      <c r="AM967" s="127" t="b">
        <f>IF(INDEX($AO967:$BM967,0,$F$14)=1,TRUE,FALSE)</f>
        <v>1</v>
      </c>
      <c r="AN967" s="127" t="str">
        <f>IF(AM967,A967&amp;", "&amp;B967,"")</f>
        <v>Income included in regulatory profit / (loss) before tax but not taxable, 2013/14</v>
      </c>
      <c r="AO967" s="129"/>
      <c r="AP967" s="129"/>
      <c r="AQ967" s="129"/>
      <c r="AR967" s="129"/>
      <c r="AS967" s="129"/>
      <c r="AT967" s="129"/>
      <c r="AU967" s="129"/>
      <c r="AV967" s="129"/>
      <c r="AW967" s="129">
        <v>1</v>
      </c>
      <c r="AX967" s="197">
        <v>1</v>
      </c>
      <c r="AY967" s="197">
        <v>1</v>
      </c>
      <c r="AZ967" s="197">
        <v>1</v>
      </c>
      <c r="BA967" s="197"/>
      <c r="BB967" s="129"/>
      <c r="BC967" s="129"/>
      <c r="BD967" s="129"/>
      <c r="BE967" s="129"/>
      <c r="BF967" s="129"/>
      <c r="BG967" s="129"/>
      <c r="BH967" s="129"/>
      <c r="BI967" s="129"/>
      <c r="BJ967" s="129"/>
      <c r="BK967" s="129"/>
      <c r="BL967" s="129"/>
      <c r="BM967" s="197">
        <v>1</v>
      </c>
    </row>
    <row r="968" spans="1:65" x14ac:dyDescent="0.25">
      <c r="A968" s="121" t="s">
        <v>95</v>
      </c>
      <c r="B968" s="121" t="s">
        <v>27</v>
      </c>
      <c r="C968" s="172" t="s">
        <v>219</v>
      </c>
      <c r="D968" s="161">
        <v>10</v>
      </c>
      <c r="E968" s="29" t="str">
        <f>INDEX(ra_ScName,MATCH(D968,ra_ScNumber,0))</f>
        <v>Disclosed nominal return (incl actual asset revaluations)</v>
      </c>
      <c r="F968" s="122">
        <v>0</v>
      </c>
      <c r="G968" s="122">
        <v>0</v>
      </c>
      <c r="H968" s="122">
        <v>0</v>
      </c>
      <c r="I968" s="122">
        <v>0</v>
      </c>
      <c r="J968" s="122">
        <v>1.9399269825272858</v>
      </c>
      <c r="K968" s="122">
        <v>0</v>
      </c>
      <c r="L968" s="122">
        <v>0</v>
      </c>
      <c r="M968" s="122">
        <v>0</v>
      </c>
      <c r="N968" s="122">
        <v>-0.13087248320621825</v>
      </c>
      <c r="O968" s="122">
        <v>0</v>
      </c>
      <c r="P968" s="122">
        <v>0</v>
      </c>
      <c r="Q968" s="122">
        <v>0</v>
      </c>
      <c r="R968" s="122">
        <v>0</v>
      </c>
      <c r="S968" s="122">
        <v>0</v>
      </c>
      <c r="T968" s="122">
        <v>0</v>
      </c>
      <c r="U968" s="122">
        <v>0</v>
      </c>
      <c r="V968" s="122">
        <v>11337.388000000001</v>
      </c>
      <c r="W968" s="122">
        <v>0</v>
      </c>
      <c r="X968" s="122">
        <v>0</v>
      </c>
      <c r="Y968" s="122">
        <v>0</v>
      </c>
      <c r="Z968" s="122">
        <v>0</v>
      </c>
      <c r="AA968" s="122">
        <v>0</v>
      </c>
      <c r="AB968" s="122">
        <v>0</v>
      </c>
      <c r="AC968" s="122">
        <v>0</v>
      </c>
      <c r="AD968" s="122">
        <v>0</v>
      </c>
      <c r="AE968" s="122">
        <v>0</v>
      </c>
      <c r="AF968" s="122">
        <v>0</v>
      </c>
      <c r="AG968" s="122">
        <v>0</v>
      </c>
      <c r="AH968" s="122">
        <v>0</v>
      </c>
      <c r="AI968" s="117">
        <f t="shared" si="323"/>
        <v>11339.197054499322</v>
      </c>
      <c r="AJ968" s="117">
        <f>SUM(F968:U968)</f>
        <v>1.8090544993210675</v>
      </c>
      <c r="AK968" s="117">
        <f t="shared" si="325"/>
        <v>0</v>
      </c>
      <c r="AL968" s="23"/>
      <c r="AM968" s="127" t="b">
        <f>IF(INDEX($AO968:$BM968,0,$F$14)=1,TRUE,FALSE)</f>
        <v>1</v>
      </c>
      <c r="AN968" s="127" t="str">
        <f>IF(AM968,A968&amp;", "&amp;B968,"")</f>
        <v>Income included in regulatory profit / (loss) before tax but not taxable, 2014/15</v>
      </c>
      <c r="AO968" s="129"/>
      <c r="AP968" s="129"/>
      <c r="AQ968" s="129"/>
      <c r="AR968" s="129"/>
      <c r="AS968" s="129"/>
      <c r="AT968" s="129"/>
      <c r="AU968" s="129"/>
      <c r="AV968" s="129"/>
      <c r="AW968" s="129">
        <v>1</v>
      </c>
      <c r="AX968" s="197">
        <v>1</v>
      </c>
      <c r="AY968" s="197">
        <v>1</v>
      </c>
      <c r="AZ968" s="197">
        <v>1</v>
      </c>
      <c r="BA968" s="197"/>
      <c r="BB968" s="129"/>
      <c r="BC968" s="129"/>
      <c r="BD968" s="129"/>
      <c r="BE968" s="129"/>
      <c r="BF968" s="129"/>
      <c r="BG968" s="129"/>
      <c r="BH968" s="129"/>
      <c r="BI968" s="129"/>
      <c r="BJ968" s="129"/>
      <c r="BK968" s="129"/>
      <c r="BL968" s="129"/>
      <c r="BM968" s="197">
        <v>1</v>
      </c>
    </row>
    <row r="969" spans="1:65" x14ac:dyDescent="0.25">
      <c r="A969" s="121"/>
      <c r="B969" s="121"/>
      <c r="C969" s="172"/>
      <c r="D969" s="25"/>
      <c r="E969" s="25"/>
      <c r="F969" s="25"/>
      <c r="G969" s="25"/>
      <c r="H969" s="25"/>
      <c r="I969" s="25"/>
      <c r="J969" s="25"/>
      <c r="K969" s="25"/>
      <c r="L969" s="25"/>
      <c r="M969" s="26"/>
      <c r="N969" s="26"/>
      <c r="O969" s="26"/>
      <c r="P969" s="26"/>
      <c r="Q969" s="26"/>
      <c r="R969" s="26"/>
      <c r="S969" s="26"/>
      <c r="T969" s="26"/>
      <c r="U969" s="26"/>
      <c r="V969" s="25"/>
      <c r="W969" s="23"/>
      <c r="X969" s="23"/>
      <c r="Y969" s="23"/>
      <c r="Z969" s="23"/>
      <c r="AA969" s="23"/>
      <c r="AB969" s="23"/>
      <c r="AC969" s="23"/>
      <c r="AD969" s="23"/>
      <c r="AE969" s="23"/>
      <c r="AF969" s="23"/>
      <c r="AG969" s="23"/>
      <c r="AH969" s="23"/>
      <c r="AI969" s="54"/>
      <c r="AJ969" s="54"/>
      <c r="AK969" s="54"/>
      <c r="AL969" s="23"/>
      <c r="AM969" s="127"/>
      <c r="AN969" s="127"/>
      <c r="AO969" s="129"/>
      <c r="AP969" s="129"/>
      <c r="AQ969" s="129"/>
      <c r="AR969" s="129"/>
      <c r="AS969" s="129"/>
      <c r="AT969" s="129"/>
      <c r="AU969" s="129"/>
      <c r="AV969" s="129"/>
      <c r="AW969" s="129"/>
      <c r="AX969" s="197"/>
      <c r="AY969" s="197"/>
      <c r="AZ969" s="197"/>
      <c r="BA969" s="197"/>
      <c r="BB969" s="129"/>
      <c r="BC969" s="129"/>
      <c r="BD969" s="129"/>
      <c r="BE969" s="129"/>
      <c r="BF969" s="129"/>
      <c r="BG969" s="129"/>
      <c r="BH969" s="129"/>
      <c r="BI969" s="129"/>
      <c r="BJ969" s="129"/>
      <c r="BK969" s="129"/>
      <c r="BL969" s="129"/>
      <c r="BM969" s="197"/>
    </row>
    <row r="970" spans="1:65" x14ac:dyDescent="0.25">
      <c r="A970" s="121"/>
      <c r="B970" s="121"/>
      <c r="C970" s="172"/>
      <c r="D970" s="46"/>
      <c r="E970" s="46"/>
      <c r="F970" s="54"/>
      <c r="G970" s="54"/>
      <c r="H970" s="54"/>
      <c r="I970" s="54"/>
      <c r="J970" s="54"/>
      <c r="K970" s="54"/>
      <c r="L970" s="54"/>
      <c r="M970" s="54"/>
      <c r="N970" s="54"/>
      <c r="O970" s="54"/>
      <c r="P970" s="54"/>
      <c r="Q970" s="54"/>
      <c r="R970" s="54"/>
      <c r="S970" s="54"/>
      <c r="T970" s="54"/>
      <c r="U970" s="54"/>
      <c r="V970" s="54"/>
      <c r="W970" s="55"/>
      <c r="X970" s="55"/>
      <c r="Y970" s="55"/>
      <c r="Z970" s="55"/>
      <c r="AA970" s="55"/>
      <c r="AB970" s="55"/>
      <c r="AC970" s="55"/>
      <c r="AD970" s="55"/>
      <c r="AE970" s="55"/>
      <c r="AF970" s="55"/>
      <c r="AG970" s="55"/>
      <c r="AH970" s="55"/>
      <c r="AI970" s="54"/>
      <c r="AJ970" s="54"/>
      <c r="AK970" s="54"/>
      <c r="AL970" s="23"/>
      <c r="AM970" s="127"/>
      <c r="AN970" s="127"/>
      <c r="AO970" s="129"/>
      <c r="AP970" s="129"/>
      <c r="AQ970" s="129"/>
      <c r="AR970" s="129"/>
      <c r="AS970" s="129"/>
      <c r="AT970" s="129"/>
      <c r="AU970" s="129"/>
      <c r="AV970" s="129"/>
      <c r="AW970" s="129"/>
      <c r="AX970" s="197"/>
      <c r="AY970" s="197"/>
      <c r="AZ970" s="197"/>
      <c r="BA970" s="197"/>
      <c r="BB970" s="129"/>
      <c r="BC970" s="129"/>
      <c r="BD970" s="129"/>
      <c r="BE970" s="129"/>
      <c r="BF970" s="129"/>
      <c r="BG970" s="129"/>
      <c r="BH970" s="129"/>
      <c r="BI970" s="129"/>
      <c r="BJ970" s="129"/>
      <c r="BK970" s="129"/>
      <c r="BL970" s="129"/>
      <c r="BM970" s="197"/>
    </row>
    <row r="971" spans="1:65" x14ac:dyDescent="0.25">
      <c r="A971" s="121" t="s">
        <v>96</v>
      </c>
      <c r="B971" s="121" t="s">
        <v>23</v>
      </c>
      <c r="C971" s="172" t="s">
        <v>222</v>
      </c>
      <c r="D971" s="161">
        <v>1</v>
      </c>
      <c r="E971" s="29" t="str">
        <f>INDEX(ra_ScName,MATCH(D971,ra_ScNumber,0))</f>
        <v>Expected nominal return (incl forecast asset revaluations)</v>
      </c>
      <c r="F971" s="54"/>
      <c r="G971" s="54"/>
      <c r="H971" s="54"/>
      <c r="I971" s="54"/>
      <c r="J971" s="54"/>
      <c r="K971" s="54"/>
      <c r="L971" s="54"/>
      <c r="M971" s="54"/>
      <c r="N971" s="54"/>
      <c r="O971" s="54"/>
      <c r="P971" s="54"/>
      <c r="Q971" s="54"/>
      <c r="R971" s="54"/>
      <c r="S971" s="54"/>
      <c r="T971" s="54"/>
      <c r="U971" s="54"/>
      <c r="V971" s="54"/>
      <c r="W971" s="54"/>
      <c r="X971" s="54"/>
      <c r="Y971" s="54"/>
      <c r="Z971" s="54"/>
      <c r="AA971" s="54"/>
      <c r="AB971" s="54"/>
      <c r="AC971" s="54"/>
      <c r="AD971" s="54"/>
      <c r="AE971" s="54"/>
      <c r="AF971" s="54"/>
      <c r="AG971" s="54"/>
      <c r="AH971" s="54"/>
      <c r="AI971" s="117">
        <f t="shared" si="323"/>
        <v>0</v>
      </c>
      <c r="AJ971" s="117">
        <f>SUM(F971:U971)</f>
        <v>0</v>
      </c>
      <c r="AK971" s="117">
        <f t="shared" si="325"/>
        <v>0</v>
      </c>
      <c r="AL971" s="23"/>
      <c r="AM971" s="127" t="b">
        <f>IF(INDEX($AO971:$BM971,0,$F$14)=1,TRUE,FALSE)</f>
        <v>0</v>
      </c>
      <c r="AN971" s="127" t="str">
        <f>IF(AM971,A971&amp;", "&amp;B971,"")</f>
        <v/>
      </c>
      <c r="AO971" s="129">
        <v>1</v>
      </c>
      <c r="AP971" s="129">
        <v>1</v>
      </c>
      <c r="AQ971" s="129">
        <v>1</v>
      </c>
      <c r="AR971" s="129">
        <v>1</v>
      </c>
      <c r="AS971" s="129">
        <v>1</v>
      </c>
      <c r="AT971" s="129">
        <v>1</v>
      </c>
      <c r="AU971" s="129">
        <v>1</v>
      </c>
      <c r="AV971" s="129">
        <v>1</v>
      </c>
      <c r="AW971" s="129"/>
      <c r="AX971" s="197"/>
      <c r="AY971" s="197"/>
      <c r="AZ971" s="197"/>
      <c r="BA971" s="197">
        <v>1</v>
      </c>
      <c r="BB971" s="129">
        <v>1</v>
      </c>
      <c r="BC971" s="129">
        <v>1</v>
      </c>
      <c r="BD971" s="129">
        <v>1</v>
      </c>
      <c r="BE971" s="129">
        <v>1</v>
      </c>
      <c r="BF971" s="129">
        <v>1</v>
      </c>
      <c r="BG971" s="129">
        <v>1</v>
      </c>
      <c r="BH971" s="129">
        <v>1</v>
      </c>
      <c r="BI971" s="129">
        <v>1</v>
      </c>
      <c r="BJ971" s="129">
        <v>1</v>
      </c>
      <c r="BK971" s="129">
        <v>1</v>
      </c>
      <c r="BL971" s="129"/>
      <c r="BM971" s="197"/>
    </row>
    <row r="972" spans="1:65" x14ac:dyDescent="0.25">
      <c r="A972" s="121" t="s">
        <v>96</v>
      </c>
      <c r="B972" s="121" t="s">
        <v>24</v>
      </c>
      <c r="C972" s="172" t="s">
        <v>222</v>
      </c>
      <c r="D972" s="161">
        <v>1</v>
      </c>
      <c r="E972" s="29" t="str">
        <f>INDEX(ra_ScName,MATCH(D972,ra_ScNumber,0))</f>
        <v>Expected nominal return (incl forecast asset revaluations)</v>
      </c>
      <c r="F972" s="54"/>
      <c r="G972" s="54"/>
      <c r="H972" s="54"/>
      <c r="I972" s="54"/>
      <c r="J972" s="54"/>
      <c r="K972" s="54"/>
      <c r="L972" s="54"/>
      <c r="M972" s="54"/>
      <c r="N972" s="54"/>
      <c r="O972" s="54"/>
      <c r="P972" s="54"/>
      <c r="Q972" s="54"/>
      <c r="R972" s="54"/>
      <c r="S972" s="54"/>
      <c r="T972" s="54"/>
      <c r="U972" s="54"/>
      <c r="V972" s="54"/>
      <c r="W972" s="54"/>
      <c r="X972" s="54"/>
      <c r="Y972" s="54"/>
      <c r="Z972" s="54"/>
      <c r="AA972" s="54"/>
      <c r="AB972" s="54"/>
      <c r="AC972" s="54"/>
      <c r="AD972" s="54"/>
      <c r="AE972" s="54"/>
      <c r="AF972" s="54"/>
      <c r="AG972" s="54"/>
      <c r="AH972" s="54"/>
      <c r="AI972" s="117">
        <f t="shared" si="323"/>
        <v>0</v>
      </c>
      <c r="AJ972" s="117">
        <f>SUM(F972:U972)</f>
        <v>0</v>
      </c>
      <c r="AK972" s="117">
        <f t="shared" si="325"/>
        <v>0</v>
      </c>
      <c r="AL972" s="23"/>
      <c r="AM972" s="127" t="b">
        <f>IF(INDEX($AO972:$BM972,0,$F$14)=1,TRUE,FALSE)</f>
        <v>0</v>
      </c>
      <c r="AN972" s="127" t="str">
        <f>IF(AM972,A972&amp;", "&amp;B972,"")</f>
        <v/>
      </c>
      <c r="AO972" s="129">
        <v>1</v>
      </c>
      <c r="AP972" s="129">
        <v>1</v>
      </c>
      <c r="AQ972" s="129">
        <v>1</v>
      </c>
      <c r="AR972" s="129">
        <v>1</v>
      </c>
      <c r="AS972" s="129">
        <v>1</v>
      </c>
      <c r="AT972" s="129">
        <v>1</v>
      </c>
      <c r="AU972" s="129">
        <v>1</v>
      </c>
      <c r="AV972" s="129">
        <v>1</v>
      </c>
      <c r="AW972" s="129"/>
      <c r="AX972" s="197"/>
      <c r="AY972" s="197"/>
      <c r="AZ972" s="197"/>
      <c r="BA972" s="197">
        <v>1</v>
      </c>
      <c r="BB972" s="129">
        <v>1</v>
      </c>
      <c r="BC972" s="129">
        <v>1</v>
      </c>
      <c r="BD972" s="129">
        <v>1</v>
      </c>
      <c r="BE972" s="129">
        <v>1</v>
      </c>
      <c r="BF972" s="129">
        <v>1</v>
      </c>
      <c r="BG972" s="129">
        <v>1</v>
      </c>
      <c r="BH972" s="129">
        <v>1</v>
      </c>
      <c r="BI972" s="129">
        <v>1</v>
      </c>
      <c r="BJ972" s="129">
        <v>1</v>
      </c>
      <c r="BK972" s="129">
        <v>1</v>
      </c>
      <c r="BL972" s="129"/>
      <c r="BM972" s="197"/>
    </row>
    <row r="973" spans="1:65" x14ac:dyDescent="0.25">
      <c r="A973" s="121" t="s">
        <v>96</v>
      </c>
      <c r="B973" s="121" t="s">
        <v>25</v>
      </c>
      <c r="C973" s="172" t="s">
        <v>222</v>
      </c>
      <c r="D973" s="161">
        <v>1</v>
      </c>
      <c r="E973" s="29" t="str">
        <f>INDEX(ra_ScName,MATCH(D973,ra_ScNumber,0))</f>
        <v>Expected nominal return (incl forecast asset revaluations)</v>
      </c>
      <c r="F973" s="54"/>
      <c r="G973" s="54"/>
      <c r="H973" s="54"/>
      <c r="I973" s="54"/>
      <c r="J973" s="54"/>
      <c r="K973" s="54"/>
      <c r="L973" s="54"/>
      <c r="M973" s="54"/>
      <c r="N973" s="54"/>
      <c r="O973" s="54"/>
      <c r="P973" s="54"/>
      <c r="Q973" s="54"/>
      <c r="R973" s="54"/>
      <c r="S973" s="54"/>
      <c r="T973" s="54"/>
      <c r="U973" s="54"/>
      <c r="V973" s="54"/>
      <c r="W973" s="54"/>
      <c r="X973" s="54"/>
      <c r="Y973" s="54"/>
      <c r="Z973" s="54"/>
      <c r="AA973" s="54"/>
      <c r="AB973" s="54"/>
      <c r="AC973" s="54"/>
      <c r="AD973" s="54"/>
      <c r="AE973" s="54"/>
      <c r="AF973" s="54"/>
      <c r="AG973" s="54"/>
      <c r="AH973" s="54"/>
      <c r="AI973" s="117">
        <f t="shared" si="323"/>
        <v>0</v>
      </c>
      <c r="AJ973" s="117">
        <f>SUM(F973:U973)</f>
        <v>0</v>
      </c>
      <c r="AK973" s="117">
        <f t="shared" si="325"/>
        <v>0</v>
      </c>
      <c r="AL973" s="23"/>
      <c r="AM973" s="127" t="b">
        <f>IF(INDEX($AO973:$BM973,0,$F$14)=1,TRUE,FALSE)</f>
        <v>0</v>
      </c>
      <c r="AN973" s="127" t="str">
        <f>IF(AM973,A973&amp;", "&amp;B973,"")</f>
        <v/>
      </c>
      <c r="AO973" s="129">
        <v>1</v>
      </c>
      <c r="AP973" s="129">
        <v>1</v>
      </c>
      <c r="AQ973" s="129">
        <v>1</v>
      </c>
      <c r="AR973" s="129">
        <v>1</v>
      </c>
      <c r="AS973" s="129">
        <v>1</v>
      </c>
      <c r="AT973" s="129">
        <v>1</v>
      </c>
      <c r="AU973" s="129">
        <v>1</v>
      </c>
      <c r="AV973" s="129">
        <v>1</v>
      </c>
      <c r="AW973" s="129"/>
      <c r="AX973" s="197"/>
      <c r="AY973" s="197"/>
      <c r="AZ973" s="197"/>
      <c r="BA973" s="197">
        <v>1</v>
      </c>
      <c r="BB973" s="129">
        <v>1</v>
      </c>
      <c r="BC973" s="129">
        <v>1</v>
      </c>
      <c r="BD973" s="129">
        <v>1</v>
      </c>
      <c r="BE973" s="129">
        <v>1</v>
      </c>
      <c r="BF973" s="129">
        <v>1</v>
      </c>
      <c r="BG973" s="129">
        <v>1</v>
      </c>
      <c r="BH973" s="129">
        <v>1</v>
      </c>
      <c r="BI973" s="129">
        <v>1</v>
      </c>
      <c r="BJ973" s="129">
        <v>1</v>
      </c>
      <c r="BK973" s="129">
        <v>1</v>
      </c>
      <c r="BL973" s="129"/>
      <c r="BM973" s="197"/>
    </row>
    <row r="974" spans="1:65" x14ac:dyDescent="0.25">
      <c r="A974" s="121" t="s">
        <v>96</v>
      </c>
      <c r="B974" s="121" t="s">
        <v>26</v>
      </c>
      <c r="C974" s="172" t="s">
        <v>222</v>
      </c>
      <c r="D974" s="161">
        <v>1</v>
      </c>
      <c r="E974" s="29" t="str">
        <f>INDEX(ra_ScName,MATCH(D974,ra_ScNumber,0))</f>
        <v>Expected nominal return (incl forecast asset revaluations)</v>
      </c>
      <c r="F974" s="54"/>
      <c r="G974" s="54"/>
      <c r="H974" s="54"/>
      <c r="I974" s="54"/>
      <c r="J974" s="54"/>
      <c r="K974" s="54"/>
      <c r="L974" s="54"/>
      <c r="M974" s="54"/>
      <c r="N974" s="54"/>
      <c r="O974" s="54"/>
      <c r="P974" s="54"/>
      <c r="Q974" s="54"/>
      <c r="R974" s="54"/>
      <c r="S974" s="54"/>
      <c r="T974" s="54"/>
      <c r="U974" s="54"/>
      <c r="V974" s="54"/>
      <c r="W974" s="54"/>
      <c r="X974" s="54"/>
      <c r="Y974" s="54"/>
      <c r="Z974" s="54"/>
      <c r="AA974" s="54"/>
      <c r="AB974" s="54"/>
      <c r="AC974" s="54"/>
      <c r="AD974" s="54"/>
      <c r="AE974" s="54"/>
      <c r="AF974" s="54"/>
      <c r="AG974" s="54"/>
      <c r="AH974" s="54"/>
      <c r="AI974" s="117">
        <f t="shared" si="323"/>
        <v>0</v>
      </c>
      <c r="AJ974" s="117">
        <f>SUM(F974:U974)</f>
        <v>0</v>
      </c>
      <c r="AK974" s="117">
        <f t="shared" si="325"/>
        <v>0</v>
      </c>
      <c r="AL974" s="23"/>
      <c r="AM974" s="127" t="b">
        <f>IF(INDEX($AO974:$BM974,0,$F$14)=1,TRUE,FALSE)</f>
        <v>0</v>
      </c>
      <c r="AN974" s="127" t="str">
        <f>IF(AM974,A974&amp;", "&amp;B974,"")</f>
        <v/>
      </c>
      <c r="AO974" s="129">
        <v>1</v>
      </c>
      <c r="AP974" s="129">
        <v>1</v>
      </c>
      <c r="AQ974" s="129">
        <v>1</v>
      </c>
      <c r="AR974" s="129">
        <v>1</v>
      </c>
      <c r="AS974" s="129">
        <v>1</v>
      </c>
      <c r="AT974" s="129">
        <v>1</v>
      </c>
      <c r="AU974" s="129">
        <v>1</v>
      </c>
      <c r="AV974" s="129">
        <v>1</v>
      </c>
      <c r="AW974" s="129"/>
      <c r="AX974" s="197"/>
      <c r="AY974" s="197"/>
      <c r="AZ974" s="197"/>
      <c r="BA974" s="197">
        <v>1</v>
      </c>
      <c r="BB974" s="129">
        <v>1</v>
      </c>
      <c r="BC974" s="129">
        <v>1</v>
      </c>
      <c r="BD974" s="129">
        <v>1</v>
      </c>
      <c r="BE974" s="129">
        <v>1</v>
      </c>
      <c r="BF974" s="129">
        <v>1</v>
      </c>
      <c r="BG974" s="129">
        <v>1</v>
      </c>
      <c r="BH974" s="129">
        <v>1</v>
      </c>
      <c r="BI974" s="129">
        <v>1</v>
      </c>
      <c r="BJ974" s="129">
        <v>1</v>
      </c>
      <c r="BK974" s="129">
        <v>1</v>
      </c>
      <c r="BL974" s="129"/>
      <c r="BM974" s="197"/>
    </row>
    <row r="975" spans="1:65" x14ac:dyDescent="0.25">
      <c r="A975" s="121" t="s">
        <v>96</v>
      </c>
      <c r="B975" s="121" t="s">
        <v>27</v>
      </c>
      <c r="C975" s="172" t="s">
        <v>222</v>
      </c>
      <c r="D975" s="161">
        <v>1</v>
      </c>
      <c r="E975" s="29" t="str">
        <f>INDEX(ra_ScName,MATCH(D975,ra_ScNumber,0))</f>
        <v>Expected nominal return (incl forecast asset revaluations)</v>
      </c>
      <c r="F975" s="54"/>
      <c r="G975" s="54"/>
      <c r="H975" s="54"/>
      <c r="I975" s="54"/>
      <c r="J975" s="54"/>
      <c r="K975" s="54"/>
      <c r="L975" s="54"/>
      <c r="M975" s="54"/>
      <c r="N975" s="54"/>
      <c r="O975" s="54"/>
      <c r="P975" s="54"/>
      <c r="Q975" s="54"/>
      <c r="R975" s="54"/>
      <c r="S975" s="54"/>
      <c r="T975" s="54"/>
      <c r="U975" s="54"/>
      <c r="V975" s="54"/>
      <c r="W975" s="54"/>
      <c r="X975" s="54"/>
      <c r="Y975" s="54"/>
      <c r="Z975" s="54"/>
      <c r="AA975" s="54"/>
      <c r="AB975" s="54"/>
      <c r="AC975" s="54"/>
      <c r="AD975" s="54"/>
      <c r="AE975" s="54"/>
      <c r="AF975" s="54"/>
      <c r="AG975" s="54"/>
      <c r="AH975" s="54"/>
      <c r="AI975" s="117">
        <f t="shared" si="323"/>
        <v>0</v>
      </c>
      <c r="AJ975" s="117">
        <f>SUM(F975:U975)</f>
        <v>0</v>
      </c>
      <c r="AK975" s="117">
        <f t="shared" si="325"/>
        <v>0</v>
      </c>
      <c r="AL975" s="23"/>
      <c r="AM975" s="127" t="b">
        <f>IF(INDEX($AO975:$BM975,0,$F$14)=1,TRUE,FALSE)</f>
        <v>0</v>
      </c>
      <c r="AN975" s="127" t="str">
        <f>IF(AM975,A975&amp;", "&amp;B975,"")</f>
        <v/>
      </c>
      <c r="AO975" s="129">
        <v>1</v>
      </c>
      <c r="AP975" s="129">
        <v>1</v>
      </c>
      <c r="AQ975" s="129">
        <v>1</v>
      </c>
      <c r="AR975" s="129">
        <v>1</v>
      </c>
      <c r="AS975" s="129">
        <v>1</v>
      </c>
      <c r="AT975" s="129">
        <v>1</v>
      </c>
      <c r="AU975" s="129">
        <v>1</v>
      </c>
      <c r="AV975" s="129">
        <v>1</v>
      </c>
      <c r="AW975" s="129"/>
      <c r="AX975" s="197"/>
      <c r="AY975" s="197"/>
      <c r="AZ975" s="197"/>
      <c r="BA975" s="197">
        <v>1</v>
      </c>
      <c r="BB975" s="129">
        <v>1</v>
      </c>
      <c r="BC975" s="129">
        <v>1</v>
      </c>
      <c r="BD975" s="129">
        <v>1</v>
      </c>
      <c r="BE975" s="129">
        <v>1</v>
      </c>
      <c r="BF975" s="129">
        <v>1</v>
      </c>
      <c r="BG975" s="129">
        <v>1</v>
      </c>
      <c r="BH975" s="129">
        <v>1</v>
      </c>
      <c r="BI975" s="129">
        <v>1</v>
      </c>
      <c r="BJ975" s="129">
        <v>1</v>
      </c>
      <c r="BK975" s="129">
        <v>1</v>
      </c>
      <c r="BL975" s="129"/>
      <c r="BM975" s="197"/>
    </row>
    <row r="976" spans="1:65" x14ac:dyDescent="0.25">
      <c r="A976" s="121"/>
      <c r="B976" s="121"/>
      <c r="C976" s="172"/>
      <c r="D976" s="25"/>
      <c r="E976" s="25"/>
      <c r="F976" s="25"/>
      <c r="G976" s="25"/>
      <c r="H976" s="25"/>
      <c r="I976" s="25"/>
      <c r="J976" s="25"/>
      <c r="K976" s="25"/>
      <c r="L976" s="25"/>
      <c r="M976" s="26"/>
      <c r="N976" s="26"/>
      <c r="O976" s="26"/>
      <c r="P976" s="26"/>
      <c r="Q976" s="26"/>
      <c r="R976" s="26"/>
      <c r="S976" s="26"/>
      <c r="T976" s="26"/>
      <c r="U976" s="26"/>
      <c r="V976" s="25"/>
      <c r="W976" s="23"/>
      <c r="X976" s="23"/>
      <c r="Y976" s="23"/>
      <c r="Z976" s="23"/>
      <c r="AA976" s="23"/>
      <c r="AB976" s="23"/>
      <c r="AC976" s="23"/>
      <c r="AD976" s="23"/>
      <c r="AE976" s="23"/>
      <c r="AF976" s="23"/>
      <c r="AG976" s="23"/>
      <c r="AH976" s="23"/>
      <c r="AI976" s="54"/>
      <c r="AJ976" s="54"/>
      <c r="AK976" s="54"/>
      <c r="AL976" s="23"/>
      <c r="AM976" s="127"/>
      <c r="AN976" s="127"/>
      <c r="AO976" s="129"/>
      <c r="AP976" s="129"/>
      <c r="AQ976" s="129"/>
      <c r="AR976" s="129"/>
      <c r="AS976" s="129"/>
      <c r="AT976" s="129"/>
      <c r="AU976" s="129"/>
      <c r="AV976" s="129"/>
      <c r="AW976" s="129"/>
      <c r="AX976" s="197"/>
      <c r="AY976" s="197"/>
      <c r="AZ976" s="197"/>
      <c r="BA976" s="197"/>
      <c r="BB976" s="129"/>
      <c r="BC976" s="129"/>
      <c r="BD976" s="129"/>
      <c r="BE976" s="129"/>
      <c r="BF976" s="129"/>
      <c r="BG976" s="129"/>
      <c r="BH976" s="129"/>
      <c r="BI976" s="129"/>
      <c r="BJ976" s="129"/>
      <c r="BK976" s="129"/>
      <c r="BL976" s="129"/>
      <c r="BM976" s="197"/>
    </row>
    <row r="977" spans="1:65" x14ac:dyDescent="0.25">
      <c r="A977" s="121"/>
      <c r="B977" s="121"/>
      <c r="C977" s="172"/>
      <c r="D977" s="46"/>
      <c r="E977" s="46"/>
      <c r="F977" s="54"/>
      <c r="G977" s="54"/>
      <c r="H977" s="54"/>
      <c r="I977" s="54"/>
      <c r="J977" s="54"/>
      <c r="K977" s="54"/>
      <c r="L977" s="54"/>
      <c r="M977" s="54"/>
      <c r="N977" s="54"/>
      <c r="O977" s="54"/>
      <c r="P977" s="54"/>
      <c r="Q977" s="54"/>
      <c r="R977" s="54"/>
      <c r="S977" s="54"/>
      <c r="T977" s="54"/>
      <c r="U977" s="54"/>
      <c r="V977" s="54"/>
      <c r="W977" s="55"/>
      <c r="X977" s="55"/>
      <c r="Y977" s="55"/>
      <c r="Z977" s="55"/>
      <c r="AA977" s="55"/>
      <c r="AB977" s="55"/>
      <c r="AC977" s="55"/>
      <c r="AD977" s="55"/>
      <c r="AE977" s="55"/>
      <c r="AF977" s="55"/>
      <c r="AG977" s="55"/>
      <c r="AH977" s="55"/>
      <c r="AI977" s="54"/>
      <c r="AJ977" s="54"/>
      <c r="AK977" s="54"/>
      <c r="AL977" s="23"/>
      <c r="AM977" s="127"/>
      <c r="AN977" s="127"/>
      <c r="AO977" s="129"/>
      <c r="AP977" s="129"/>
      <c r="AQ977" s="129"/>
      <c r="AR977" s="129"/>
      <c r="AS977" s="129"/>
      <c r="AT977" s="129"/>
      <c r="AU977" s="129"/>
      <c r="AV977" s="129"/>
      <c r="AW977" s="129"/>
      <c r="AX977" s="197"/>
      <c r="AY977" s="197"/>
      <c r="AZ977" s="197"/>
      <c r="BA977" s="197"/>
      <c r="BB977" s="129"/>
      <c r="BC977" s="129"/>
      <c r="BD977" s="129"/>
      <c r="BE977" s="129"/>
      <c r="BF977" s="129"/>
      <c r="BG977" s="129"/>
      <c r="BH977" s="129"/>
      <c r="BI977" s="129"/>
      <c r="BJ977" s="129"/>
      <c r="BK977" s="129"/>
      <c r="BL977" s="129"/>
      <c r="BM977" s="197"/>
    </row>
    <row r="978" spans="1:65" x14ac:dyDescent="0.25">
      <c r="A978" s="121" t="s">
        <v>96</v>
      </c>
      <c r="B978" s="121" t="s">
        <v>23</v>
      </c>
      <c r="C978" s="172" t="s">
        <v>352</v>
      </c>
      <c r="D978" s="161">
        <v>24</v>
      </c>
      <c r="E978" s="29" t="str">
        <f>INDEX(ra_ScName,MATCH(D978,ra_ScNumber,0))</f>
        <v>Discretionary rebates</v>
      </c>
      <c r="F978" s="122">
        <v>0</v>
      </c>
      <c r="G978" s="122">
        <v>0</v>
      </c>
      <c r="H978" s="122">
        <v>851.68427630202223</v>
      </c>
      <c r="I978" s="122">
        <v>0</v>
      </c>
      <c r="J978" s="122">
        <v>3941.2306584572339</v>
      </c>
      <c r="K978" s="122">
        <v>0</v>
      </c>
      <c r="L978" s="122">
        <v>0</v>
      </c>
      <c r="M978" s="122">
        <v>0</v>
      </c>
      <c r="N978" s="122">
        <v>9236.2695088934506</v>
      </c>
      <c r="O978" s="122">
        <v>0</v>
      </c>
      <c r="P978" s="122">
        <v>0</v>
      </c>
      <c r="Q978" s="122">
        <v>0</v>
      </c>
      <c r="R978" s="122">
        <v>0</v>
      </c>
      <c r="S978" s="122">
        <v>0</v>
      </c>
      <c r="T978" s="122">
        <v>0</v>
      </c>
      <c r="U978" s="122">
        <v>0</v>
      </c>
      <c r="V978" s="122">
        <v>0</v>
      </c>
      <c r="W978" s="122">
        <v>0</v>
      </c>
      <c r="X978" s="122">
        <v>6021.8273730750052</v>
      </c>
      <c r="Y978" s="122">
        <v>6694.1557488714825</v>
      </c>
      <c r="Z978" s="122">
        <v>8047.6689701195319</v>
      </c>
      <c r="AA978" s="122">
        <v>0</v>
      </c>
      <c r="AB978" s="122">
        <v>725.65484774184574</v>
      </c>
      <c r="AC978" s="122">
        <v>4206.1106263259544</v>
      </c>
      <c r="AD978" s="122">
        <v>1357.7337327771547</v>
      </c>
      <c r="AE978" s="122">
        <v>6447.2871110521637</v>
      </c>
      <c r="AF978" s="122">
        <v>1962.006461805767</v>
      </c>
      <c r="AG978" s="122">
        <v>2814.884935338328</v>
      </c>
      <c r="AH978" s="122">
        <v>1542.9596745369879</v>
      </c>
      <c r="AI978" s="117">
        <f t="shared" si="323"/>
        <v>53849.47392529693</v>
      </c>
      <c r="AJ978" s="117">
        <f>SUM(F978:U978)</f>
        <v>14029.184443652706</v>
      </c>
      <c r="AK978" s="117">
        <f t="shared" si="325"/>
        <v>39820.28948164422</v>
      </c>
      <c r="AL978" s="23"/>
      <c r="AM978" s="127" t="b">
        <f>IF(INDEX($AO978:$BM978,0,$F$14)=1,TRUE,FALSE)</f>
        <v>1</v>
      </c>
      <c r="AN978" s="127" t="str">
        <f>IF(AM978,A978&amp;", "&amp;B978,"")</f>
        <v>Discretionary discounts and consumer rebates, 2010/11</v>
      </c>
      <c r="AO978" s="129"/>
      <c r="AP978" s="129"/>
      <c r="AQ978" s="129"/>
      <c r="AR978" s="129"/>
      <c r="AS978" s="129"/>
      <c r="AT978" s="129"/>
      <c r="AU978" s="129"/>
      <c r="AV978" s="129"/>
      <c r="AW978" s="129">
        <v>1</v>
      </c>
      <c r="AX978" s="197">
        <v>1</v>
      </c>
      <c r="AY978" s="197">
        <v>1</v>
      </c>
      <c r="AZ978" s="197">
        <v>1</v>
      </c>
      <c r="BA978" s="197"/>
      <c r="BB978" s="129"/>
      <c r="BC978" s="129"/>
      <c r="BD978" s="129"/>
      <c r="BE978" s="129"/>
      <c r="BF978" s="129"/>
      <c r="BG978" s="129"/>
      <c r="BH978" s="129"/>
      <c r="BI978" s="129"/>
      <c r="BJ978" s="129"/>
      <c r="BK978" s="129"/>
      <c r="BL978" s="129">
        <v>1</v>
      </c>
      <c r="BM978" s="197">
        <v>1</v>
      </c>
    </row>
    <row r="979" spans="1:65" x14ac:dyDescent="0.25">
      <c r="A979" s="121" t="s">
        <v>96</v>
      </c>
      <c r="B979" s="121" t="s">
        <v>24</v>
      </c>
      <c r="C979" s="172" t="s">
        <v>352</v>
      </c>
      <c r="D979" s="161">
        <v>24</v>
      </c>
      <c r="E979" s="29" t="str">
        <f>INDEX(ra_ScName,MATCH(D979,ra_ScNumber,0))</f>
        <v>Discretionary rebates</v>
      </c>
      <c r="F979" s="122">
        <v>0</v>
      </c>
      <c r="G979" s="122">
        <v>0</v>
      </c>
      <c r="H979" s="122">
        <v>879.73886630707432</v>
      </c>
      <c r="I979" s="122">
        <v>0</v>
      </c>
      <c r="J979" s="122">
        <v>4071.0553051190795</v>
      </c>
      <c r="K979" s="122">
        <v>0</v>
      </c>
      <c r="L979" s="122">
        <v>0</v>
      </c>
      <c r="M979" s="122">
        <v>0</v>
      </c>
      <c r="N979" s="122">
        <v>9540.513418823617</v>
      </c>
      <c r="O979" s="122">
        <v>0</v>
      </c>
      <c r="P979" s="122">
        <v>0</v>
      </c>
      <c r="Q979" s="122">
        <v>0</v>
      </c>
      <c r="R979" s="122">
        <v>0</v>
      </c>
      <c r="S979" s="122">
        <v>0</v>
      </c>
      <c r="T979" s="122">
        <v>0</v>
      </c>
      <c r="U979" s="122">
        <v>0</v>
      </c>
      <c r="V979" s="122">
        <v>0</v>
      </c>
      <c r="W979" s="122">
        <v>0</v>
      </c>
      <c r="X979" s="122">
        <v>6220.1871440999557</v>
      </c>
      <c r="Y979" s="122">
        <v>6914.6621033858337</v>
      </c>
      <c r="Z979" s="122">
        <v>8312.7602248664025</v>
      </c>
      <c r="AA979" s="122">
        <v>0</v>
      </c>
      <c r="AB979" s="122">
        <v>749.55801210102527</v>
      </c>
      <c r="AC979" s="122">
        <v>4344.66045332267</v>
      </c>
      <c r="AD979" s="122">
        <v>1402.4576572042679</v>
      </c>
      <c r="AE979" s="122">
        <v>6659.6615807685494</v>
      </c>
      <c r="AF979" s="122">
        <v>2026.6352079324649</v>
      </c>
      <c r="AG979" s="122">
        <v>2907.6076084810106</v>
      </c>
      <c r="AH979" s="122">
        <v>1593.7849653964302</v>
      </c>
      <c r="AI979" s="117">
        <f t="shared" si="323"/>
        <v>55623.282547808383</v>
      </c>
      <c r="AJ979" s="117">
        <f>SUM(F979:U979)</f>
        <v>14491.307590249771</v>
      </c>
      <c r="AK979" s="117">
        <f t="shared" si="325"/>
        <v>41131.97495755861</v>
      </c>
      <c r="AL979" s="23"/>
      <c r="AM979" s="127" t="b">
        <f>IF(INDEX($AO979:$BM979,0,$F$14)=1,TRUE,FALSE)</f>
        <v>1</v>
      </c>
      <c r="AN979" s="127" t="str">
        <f>IF(AM979,A979&amp;", "&amp;B979,"")</f>
        <v>Discretionary discounts and consumer rebates, 2011/12</v>
      </c>
      <c r="AO979" s="129"/>
      <c r="AP979" s="129"/>
      <c r="AQ979" s="129"/>
      <c r="AR979" s="129"/>
      <c r="AS979" s="129"/>
      <c r="AT979" s="129"/>
      <c r="AU979" s="129"/>
      <c r="AV979" s="129"/>
      <c r="AW979" s="129">
        <v>1</v>
      </c>
      <c r="AX979" s="197">
        <v>1</v>
      </c>
      <c r="AY979" s="197">
        <v>1</v>
      </c>
      <c r="AZ979" s="197">
        <v>1</v>
      </c>
      <c r="BA979" s="197"/>
      <c r="BB979" s="129"/>
      <c r="BC979" s="129"/>
      <c r="BD979" s="129"/>
      <c r="BE979" s="129"/>
      <c r="BF979" s="129"/>
      <c r="BG979" s="129"/>
      <c r="BH979" s="129"/>
      <c r="BI979" s="129"/>
      <c r="BJ979" s="129"/>
      <c r="BK979" s="129"/>
      <c r="BL979" s="129">
        <v>1</v>
      </c>
      <c r="BM979" s="197">
        <v>1</v>
      </c>
    </row>
    <row r="980" spans="1:65" x14ac:dyDescent="0.25">
      <c r="A980" s="121" t="s">
        <v>96</v>
      </c>
      <c r="B980" s="121" t="s">
        <v>25</v>
      </c>
      <c r="C980" s="172" t="s">
        <v>219</v>
      </c>
      <c r="D980" s="161">
        <v>24</v>
      </c>
      <c r="E980" s="29" t="str">
        <f>INDEX(ra_ScName,MATCH(D980,ra_ScNumber,0))</f>
        <v>Discretionary rebates</v>
      </c>
      <c r="F980" s="122">
        <v>0</v>
      </c>
      <c r="G980" s="122">
        <v>0</v>
      </c>
      <c r="H980" s="122">
        <v>652</v>
      </c>
      <c r="I980" s="122">
        <v>0</v>
      </c>
      <c r="J980" s="122">
        <v>4015</v>
      </c>
      <c r="K980" s="122">
        <v>0</v>
      </c>
      <c r="L980" s="122">
        <v>0</v>
      </c>
      <c r="M980" s="122">
        <v>0</v>
      </c>
      <c r="N980" s="122">
        <v>9770</v>
      </c>
      <c r="O980" s="122">
        <v>0</v>
      </c>
      <c r="P980" s="122">
        <v>0</v>
      </c>
      <c r="Q980" s="122">
        <v>0</v>
      </c>
      <c r="R980" s="122">
        <v>0</v>
      </c>
      <c r="S980" s="122">
        <v>0</v>
      </c>
      <c r="T980" s="122">
        <v>0</v>
      </c>
      <c r="U980" s="122">
        <v>0</v>
      </c>
      <c r="V980" s="122">
        <v>0</v>
      </c>
      <c r="W980" s="122">
        <v>0</v>
      </c>
      <c r="X980" s="122">
        <v>6376.6790000000001</v>
      </c>
      <c r="Y980" s="122">
        <v>6947</v>
      </c>
      <c r="Z980" s="122">
        <v>8251</v>
      </c>
      <c r="AA980" s="122">
        <v>0</v>
      </c>
      <c r="AB980" s="122">
        <v>1051</v>
      </c>
      <c r="AC980" s="122">
        <v>4706</v>
      </c>
      <c r="AD980" s="122">
        <v>1463</v>
      </c>
      <c r="AE980" s="122">
        <v>6952.3789999999999</v>
      </c>
      <c r="AF980" s="122">
        <v>2501.6086799999998</v>
      </c>
      <c r="AG980" s="122">
        <v>6336.4788550600424</v>
      </c>
      <c r="AH980" s="122">
        <v>997</v>
      </c>
      <c r="AI980" s="117">
        <f t="shared" si="323"/>
        <v>60019.145535060044</v>
      </c>
      <c r="AJ980" s="117">
        <f>SUM(F980:U980)</f>
        <v>14437</v>
      </c>
      <c r="AK980" s="117">
        <f t="shared" si="325"/>
        <v>45582.145535060037</v>
      </c>
      <c r="AL980" s="23"/>
      <c r="AM980" s="127" t="b">
        <f>IF(INDEX($AO980:$BM980,0,$F$14)=1,TRUE,FALSE)</f>
        <v>1</v>
      </c>
      <c r="AN980" s="127" t="str">
        <f>IF(AM980,A980&amp;", "&amp;B980,"")</f>
        <v>Discretionary discounts and consumer rebates, 2012/13</v>
      </c>
      <c r="AO980" s="129"/>
      <c r="AP980" s="129"/>
      <c r="AQ980" s="129"/>
      <c r="AR980" s="129"/>
      <c r="AS980" s="129"/>
      <c r="AT980" s="129"/>
      <c r="AU980" s="129"/>
      <c r="AV980" s="129"/>
      <c r="AW980" s="129">
        <v>1</v>
      </c>
      <c r="AX980" s="197">
        <v>1</v>
      </c>
      <c r="AY980" s="197">
        <v>1</v>
      </c>
      <c r="AZ980" s="197">
        <v>1</v>
      </c>
      <c r="BA980" s="197"/>
      <c r="BB980" s="129"/>
      <c r="BC980" s="129"/>
      <c r="BD980" s="129"/>
      <c r="BE980" s="129"/>
      <c r="BF980" s="129"/>
      <c r="BG980" s="129"/>
      <c r="BH980" s="129"/>
      <c r="BI980" s="129"/>
      <c r="BJ980" s="129"/>
      <c r="BK980" s="129"/>
      <c r="BL980" s="129">
        <v>1</v>
      </c>
      <c r="BM980" s="197">
        <v>1</v>
      </c>
    </row>
    <row r="981" spans="1:65" x14ac:dyDescent="0.25">
      <c r="A981" s="121" t="s">
        <v>96</v>
      </c>
      <c r="B981" s="121" t="s">
        <v>26</v>
      </c>
      <c r="C981" s="172" t="s">
        <v>219</v>
      </c>
      <c r="D981" s="161">
        <v>24</v>
      </c>
      <c r="E981" s="29" t="str">
        <f>INDEX(ra_ScName,MATCH(D981,ra_ScNumber,0))</f>
        <v>Discretionary rebates</v>
      </c>
      <c r="F981" s="122">
        <v>0</v>
      </c>
      <c r="G981" s="122">
        <v>0</v>
      </c>
      <c r="H981" s="122">
        <v>999</v>
      </c>
      <c r="I981" s="122">
        <v>0</v>
      </c>
      <c r="J981" s="122">
        <v>4198.2809699999998</v>
      </c>
      <c r="K981" s="122">
        <v>0</v>
      </c>
      <c r="L981" s="122">
        <v>0</v>
      </c>
      <c r="M981" s="122">
        <v>0</v>
      </c>
      <c r="N981" s="122">
        <v>9948</v>
      </c>
      <c r="O981" s="122">
        <v>0</v>
      </c>
      <c r="P981" s="122">
        <v>0</v>
      </c>
      <c r="Q981" s="122">
        <v>0</v>
      </c>
      <c r="R981" s="122">
        <v>0</v>
      </c>
      <c r="S981" s="122">
        <v>0</v>
      </c>
      <c r="T981" s="122">
        <v>0</v>
      </c>
      <c r="U981" s="122">
        <v>0</v>
      </c>
      <c r="V981" s="122">
        <v>0</v>
      </c>
      <c r="W981" s="122">
        <v>0</v>
      </c>
      <c r="X981" s="122">
        <v>6512.6301199999998</v>
      </c>
      <c r="Y981" s="122">
        <v>7628.2359999999999</v>
      </c>
      <c r="Z981" s="122">
        <v>8447</v>
      </c>
      <c r="AA981" s="122">
        <v>0</v>
      </c>
      <c r="AB981" s="122">
        <v>657</v>
      </c>
      <c r="AC981" s="122">
        <v>4676</v>
      </c>
      <c r="AD981" s="122">
        <v>1493</v>
      </c>
      <c r="AE981" s="122">
        <v>6950</v>
      </c>
      <c r="AF981" s="122">
        <v>2485.7049999999999</v>
      </c>
      <c r="AG981" s="122">
        <v>2060.0115872719252</v>
      </c>
      <c r="AH981" s="122">
        <v>1991</v>
      </c>
      <c r="AI981" s="117">
        <f t="shared" si="323"/>
        <v>58045.863677271926</v>
      </c>
      <c r="AJ981" s="117">
        <f>SUM(F981:U981)</f>
        <v>15145.28097</v>
      </c>
      <c r="AK981" s="117">
        <f t="shared" si="325"/>
        <v>42900.582707271926</v>
      </c>
      <c r="AL981" s="23"/>
      <c r="AM981" s="127" t="b">
        <f>IF(INDEX($AO981:$BM981,0,$F$14)=1,TRUE,FALSE)</f>
        <v>1</v>
      </c>
      <c r="AN981" s="127" t="str">
        <f>IF(AM981,A981&amp;", "&amp;B981,"")</f>
        <v>Discretionary discounts and consumer rebates, 2013/14</v>
      </c>
      <c r="AO981" s="129"/>
      <c r="AP981" s="129"/>
      <c r="AQ981" s="129"/>
      <c r="AR981" s="129"/>
      <c r="AS981" s="129"/>
      <c r="AT981" s="129"/>
      <c r="AU981" s="129"/>
      <c r="AV981" s="129"/>
      <c r="AW981" s="129">
        <v>1</v>
      </c>
      <c r="AX981" s="197">
        <v>1</v>
      </c>
      <c r="AY981" s="197">
        <v>1</v>
      </c>
      <c r="AZ981" s="197">
        <v>1</v>
      </c>
      <c r="BA981" s="197"/>
      <c r="BB981" s="129"/>
      <c r="BC981" s="129"/>
      <c r="BD981" s="129"/>
      <c r="BE981" s="129"/>
      <c r="BF981" s="129"/>
      <c r="BG981" s="129"/>
      <c r="BH981" s="129"/>
      <c r="BI981" s="129"/>
      <c r="BJ981" s="129"/>
      <c r="BK981" s="129"/>
      <c r="BL981" s="129">
        <v>1</v>
      </c>
      <c r="BM981" s="197">
        <v>1</v>
      </c>
    </row>
    <row r="982" spans="1:65" x14ac:dyDescent="0.25">
      <c r="A982" s="121" t="s">
        <v>96</v>
      </c>
      <c r="B982" s="121" t="s">
        <v>27</v>
      </c>
      <c r="C982" s="172" t="s">
        <v>219</v>
      </c>
      <c r="D982" s="161">
        <v>24</v>
      </c>
      <c r="E982" s="29" t="str">
        <f>INDEX(ra_ScName,MATCH(D982,ra_ScNumber,0))</f>
        <v>Discretionary rebates</v>
      </c>
      <c r="F982" s="122">
        <v>0</v>
      </c>
      <c r="G982" s="122">
        <v>0</v>
      </c>
      <c r="H982" s="122">
        <v>1092</v>
      </c>
      <c r="I982" s="122">
        <v>0</v>
      </c>
      <c r="J982" s="122">
        <v>4497.7853399999995</v>
      </c>
      <c r="K982" s="122">
        <v>0</v>
      </c>
      <c r="L982" s="122">
        <v>0</v>
      </c>
      <c r="M982" s="122">
        <v>0</v>
      </c>
      <c r="N982" s="122">
        <v>10079</v>
      </c>
      <c r="O982" s="122">
        <v>0</v>
      </c>
      <c r="P982" s="122">
        <v>0</v>
      </c>
      <c r="Q982" s="122">
        <v>0</v>
      </c>
      <c r="R982" s="122">
        <v>0</v>
      </c>
      <c r="S982" s="122">
        <v>0</v>
      </c>
      <c r="T982" s="122">
        <v>0</v>
      </c>
      <c r="U982" s="122">
        <v>0</v>
      </c>
      <c r="V982" s="122">
        <v>0</v>
      </c>
      <c r="W982" s="122">
        <v>0</v>
      </c>
      <c r="X982" s="122">
        <v>6538</v>
      </c>
      <c r="Y982" s="122">
        <v>7021.4139999999998</v>
      </c>
      <c r="Z982" s="122">
        <v>9257</v>
      </c>
      <c r="AA982" s="122">
        <v>0</v>
      </c>
      <c r="AB982" s="122">
        <v>638</v>
      </c>
      <c r="AC982" s="122">
        <v>4194</v>
      </c>
      <c r="AD982" s="122">
        <v>1425</v>
      </c>
      <c r="AE982" s="122">
        <v>6900</v>
      </c>
      <c r="AF982" s="122">
        <v>1354.568</v>
      </c>
      <c r="AG982" s="122">
        <v>747.85807000027967</v>
      </c>
      <c r="AH982" s="122">
        <v>1979</v>
      </c>
      <c r="AI982" s="117">
        <f t="shared" si="323"/>
        <v>55723.625410000277</v>
      </c>
      <c r="AJ982" s="117">
        <f>SUM(F982:U982)</f>
        <v>15668.785339999999</v>
      </c>
      <c r="AK982" s="117">
        <f t="shared" si="325"/>
        <v>40054.840070000282</v>
      </c>
      <c r="AL982" s="23"/>
      <c r="AM982" s="127" t="b">
        <f>IF(INDEX($AO982:$BM982,0,$F$14)=1,TRUE,FALSE)</f>
        <v>1</v>
      </c>
      <c r="AN982" s="127" t="str">
        <f>IF(AM982,A982&amp;", "&amp;B982,"")</f>
        <v>Discretionary discounts and consumer rebates, 2014/15</v>
      </c>
      <c r="AO982" s="129"/>
      <c r="AP982" s="129"/>
      <c r="AQ982" s="129"/>
      <c r="AR982" s="129"/>
      <c r="AS982" s="129"/>
      <c r="AT982" s="129"/>
      <c r="AU982" s="129"/>
      <c r="AV982" s="129"/>
      <c r="AW982" s="129">
        <v>1</v>
      </c>
      <c r="AX982" s="197">
        <v>1</v>
      </c>
      <c r="AY982" s="197">
        <v>1</v>
      </c>
      <c r="AZ982" s="197">
        <v>1</v>
      </c>
      <c r="BA982" s="197"/>
      <c r="BB982" s="129"/>
      <c r="BC982" s="129"/>
      <c r="BD982" s="129"/>
      <c r="BE982" s="129"/>
      <c r="BF982" s="129"/>
      <c r="BG982" s="129"/>
      <c r="BH982" s="129"/>
      <c r="BI982" s="129"/>
      <c r="BJ982" s="129"/>
      <c r="BK982" s="129"/>
      <c r="BL982" s="129">
        <v>1</v>
      </c>
      <c r="BM982" s="197">
        <v>1</v>
      </c>
    </row>
    <row r="983" spans="1:65" x14ac:dyDescent="0.25">
      <c r="A983" s="121"/>
      <c r="B983" s="121"/>
      <c r="C983" s="172"/>
      <c r="D983" s="25"/>
      <c r="E983" s="25"/>
      <c r="F983" s="25"/>
      <c r="G983" s="25"/>
      <c r="H983" s="25"/>
      <c r="I983" s="25"/>
      <c r="J983" s="25"/>
      <c r="K983" s="25"/>
      <c r="L983" s="25"/>
      <c r="M983" s="26"/>
      <c r="N983" s="26"/>
      <c r="O983" s="26"/>
      <c r="P983" s="26"/>
      <c r="Q983" s="26"/>
      <c r="R983" s="26"/>
      <c r="S983" s="26"/>
      <c r="T983" s="26"/>
      <c r="U983" s="26"/>
      <c r="V983" s="25"/>
      <c r="W983" s="23"/>
      <c r="X983" s="23"/>
      <c r="Y983" s="23"/>
      <c r="Z983" s="23"/>
      <c r="AA983" s="23"/>
      <c r="AB983" s="23"/>
      <c r="AC983" s="23"/>
      <c r="AD983" s="23"/>
      <c r="AE983" s="23"/>
      <c r="AF983" s="23"/>
      <c r="AG983" s="23"/>
      <c r="AH983" s="23"/>
      <c r="AI983" s="54"/>
      <c r="AJ983" s="54"/>
      <c r="AK983" s="54"/>
      <c r="AL983" s="23"/>
      <c r="AM983" s="127"/>
      <c r="AN983" s="127"/>
      <c r="AO983" s="129"/>
      <c r="AP983" s="129"/>
      <c r="AQ983" s="129"/>
      <c r="AR983" s="129"/>
      <c r="AS983" s="129"/>
      <c r="AT983" s="129"/>
      <c r="AU983" s="129"/>
      <c r="AV983" s="129"/>
      <c r="AW983" s="129"/>
      <c r="AX983" s="197"/>
      <c r="AY983" s="197"/>
      <c r="AZ983" s="197"/>
      <c r="BA983" s="197"/>
      <c r="BB983" s="129"/>
      <c r="BC983" s="129"/>
      <c r="BD983" s="129"/>
      <c r="BE983" s="129"/>
      <c r="BF983" s="129"/>
      <c r="BG983" s="129"/>
      <c r="BH983" s="129"/>
      <c r="BI983" s="129"/>
      <c r="BJ983" s="129"/>
      <c r="BK983" s="129"/>
      <c r="BL983" s="129"/>
      <c r="BM983" s="197"/>
    </row>
    <row r="984" spans="1:65" x14ac:dyDescent="0.25">
      <c r="A984" s="121"/>
      <c r="B984" s="121"/>
      <c r="C984" s="172"/>
      <c r="D984" s="46"/>
      <c r="E984" s="46"/>
      <c r="F984" s="54"/>
      <c r="G984" s="54"/>
      <c r="H984" s="54"/>
      <c r="I984" s="54"/>
      <c r="J984" s="54"/>
      <c r="K984" s="54"/>
      <c r="L984" s="54"/>
      <c r="M984" s="54"/>
      <c r="N984" s="54"/>
      <c r="O984" s="54"/>
      <c r="P984" s="54"/>
      <c r="Q984" s="54"/>
      <c r="R984" s="54"/>
      <c r="S984" s="54"/>
      <c r="T984" s="54"/>
      <c r="U984" s="54"/>
      <c r="V984" s="54"/>
      <c r="W984" s="55"/>
      <c r="X984" s="55"/>
      <c r="Y984" s="55"/>
      <c r="Z984" s="55"/>
      <c r="AA984" s="55"/>
      <c r="AB984" s="55"/>
      <c r="AC984" s="55"/>
      <c r="AD984" s="55"/>
      <c r="AE984" s="55"/>
      <c r="AF984" s="55"/>
      <c r="AG984" s="55"/>
      <c r="AH984" s="55"/>
      <c r="AI984" s="54"/>
      <c r="AJ984" s="54"/>
      <c r="AK984" s="54"/>
      <c r="AL984" s="23"/>
      <c r="AM984" s="127"/>
      <c r="AN984" s="127"/>
      <c r="AO984" s="129"/>
      <c r="AP984" s="129"/>
      <c r="AQ984" s="129"/>
      <c r="AR984" s="129"/>
      <c r="AS984" s="129"/>
      <c r="AT984" s="129"/>
      <c r="AU984" s="129"/>
      <c r="AV984" s="129"/>
      <c r="AW984" s="129"/>
      <c r="AX984" s="197"/>
      <c r="AY984" s="197"/>
      <c r="AZ984" s="197"/>
      <c r="BA984" s="197"/>
      <c r="BB984" s="129"/>
      <c r="BC984" s="129"/>
      <c r="BD984" s="129"/>
      <c r="BE984" s="129"/>
      <c r="BF984" s="129"/>
      <c r="BG984" s="129"/>
      <c r="BH984" s="129"/>
      <c r="BI984" s="129"/>
      <c r="BJ984" s="129"/>
      <c r="BK984" s="129"/>
      <c r="BL984" s="129"/>
      <c r="BM984" s="197"/>
    </row>
    <row r="985" spans="1:65" x14ac:dyDescent="0.25">
      <c r="A985" s="121" t="s">
        <v>97</v>
      </c>
      <c r="B985" s="121" t="s">
        <v>23</v>
      </c>
      <c r="C985" s="172" t="s">
        <v>222</v>
      </c>
      <c r="D985" s="161">
        <v>1</v>
      </c>
      <c r="E985" s="29" t="str">
        <f>INDEX(ra_ScName,MATCH(D985,ra_ScNumber,0))</f>
        <v>Expected nominal return (incl forecast asset revaluations)</v>
      </c>
      <c r="F985" s="54"/>
      <c r="G985" s="54"/>
      <c r="H985" s="54"/>
      <c r="I985" s="54"/>
      <c r="J985" s="54"/>
      <c r="K985" s="54"/>
      <c r="L985" s="54"/>
      <c r="M985" s="54"/>
      <c r="N985" s="54"/>
      <c r="O985" s="54"/>
      <c r="P985" s="54"/>
      <c r="Q985" s="54"/>
      <c r="R985" s="54"/>
      <c r="S985" s="54"/>
      <c r="T985" s="54"/>
      <c r="U985" s="54"/>
      <c r="V985" s="54"/>
      <c r="W985" s="54"/>
      <c r="X985" s="54"/>
      <c r="Y985" s="54"/>
      <c r="Z985" s="54"/>
      <c r="AA985" s="54"/>
      <c r="AB985" s="54"/>
      <c r="AC985" s="54"/>
      <c r="AD985" s="54"/>
      <c r="AE985" s="54"/>
      <c r="AF985" s="54"/>
      <c r="AG985" s="54"/>
      <c r="AH985" s="54"/>
      <c r="AI985" s="117">
        <f t="shared" si="323"/>
        <v>0</v>
      </c>
      <c r="AJ985" s="117">
        <f>SUM(F985:U985)</f>
        <v>0</v>
      </c>
      <c r="AK985" s="117">
        <f t="shared" si="325"/>
        <v>0</v>
      </c>
      <c r="AL985" s="23"/>
      <c r="AM985" s="127" t="b">
        <f>IF(INDEX($AO985:$BM985,0,$F$14)=1,TRUE,FALSE)</f>
        <v>0</v>
      </c>
      <c r="AN985" s="127" t="str">
        <f>IF(AM985,A985&amp;", "&amp;B985,"")</f>
        <v/>
      </c>
      <c r="AO985" s="129">
        <v>1</v>
      </c>
      <c r="AP985" s="129">
        <v>1</v>
      </c>
      <c r="AQ985" s="129">
        <v>1</v>
      </c>
      <c r="AR985" s="129">
        <v>1</v>
      </c>
      <c r="AS985" s="129">
        <v>1</v>
      </c>
      <c r="AT985" s="129">
        <v>1</v>
      </c>
      <c r="AU985" s="129">
        <v>1</v>
      </c>
      <c r="AV985" s="129">
        <v>1</v>
      </c>
      <c r="AW985" s="129"/>
      <c r="AX985" s="197"/>
      <c r="AY985" s="197"/>
      <c r="AZ985" s="197"/>
      <c r="BA985" s="197">
        <v>1</v>
      </c>
      <c r="BB985" s="129">
        <v>1</v>
      </c>
      <c r="BC985" s="129">
        <v>1</v>
      </c>
      <c r="BD985" s="129">
        <v>1</v>
      </c>
      <c r="BE985" s="129">
        <v>1</v>
      </c>
      <c r="BF985" s="129">
        <v>1</v>
      </c>
      <c r="BG985" s="129">
        <v>1</v>
      </c>
      <c r="BH985" s="129">
        <v>1</v>
      </c>
      <c r="BI985" s="129">
        <v>1</v>
      </c>
      <c r="BJ985" s="129">
        <v>1</v>
      </c>
      <c r="BK985" s="129">
        <v>1</v>
      </c>
      <c r="BL985" s="129">
        <v>1</v>
      </c>
      <c r="BM985" s="197"/>
    </row>
    <row r="986" spans="1:65" x14ac:dyDescent="0.25">
      <c r="A986" s="121" t="s">
        <v>97</v>
      </c>
      <c r="B986" s="121" t="s">
        <v>24</v>
      </c>
      <c r="C986" s="172" t="s">
        <v>222</v>
      </c>
      <c r="D986" s="161">
        <v>1</v>
      </c>
      <c r="E986" s="29" t="str">
        <f>INDEX(ra_ScName,MATCH(D986,ra_ScNumber,0))</f>
        <v>Expected nominal return (incl forecast asset revaluations)</v>
      </c>
      <c r="F986" s="54"/>
      <c r="G986" s="54"/>
      <c r="H986" s="54"/>
      <c r="I986" s="54"/>
      <c r="J986" s="54"/>
      <c r="K986" s="54"/>
      <c r="L986" s="54"/>
      <c r="M986" s="54"/>
      <c r="N986" s="54"/>
      <c r="O986" s="54"/>
      <c r="P986" s="54"/>
      <c r="Q986" s="54"/>
      <c r="R986" s="54"/>
      <c r="S986" s="54"/>
      <c r="T986" s="54"/>
      <c r="U986" s="54"/>
      <c r="V986" s="54"/>
      <c r="W986" s="54"/>
      <c r="X986" s="54"/>
      <c r="Y986" s="54"/>
      <c r="Z986" s="54"/>
      <c r="AA986" s="54"/>
      <c r="AB986" s="54"/>
      <c r="AC986" s="54"/>
      <c r="AD986" s="54"/>
      <c r="AE986" s="54"/>
      <c r="AF986" s="54"/>
      <c r="AG986" s="54"/>
      <c r="AH986" s="54"/>
      <c r="AI986" s="117">
        <f t="shared" si="323"/>
        <v>0</v>
      </c>
      <c r="AJ986" s="117">
        <f>SUM(F986:U986)</f>
        <v>0</v>
      </c>
      <c r="AK986" s="117">
        <f t="shared" si="325"/>
        <v>0</v>
      </c>
      <c r="AL986" s="23"/>
      <c r="AM986" s="127" t="b">
        <f>IF(INDEX($AO986:$BM986,0,$F$14)=1,TRUE,FALSE)</f>
        <v>0</v>
      </c>
      <c r="AN986" s="127" t="str">
        <f>IF(AM986,A986&amp;", "&amp;B986,"")</f>
        <v/>
      </c>
      <c r="AO986" s="129">
        <v>1</v>
      </c>
      <c r="AP986" s="129">
        <v>1</v>
      </c>
      <c r="AQ986" s="129">
        <v>1</v>
      </c>
      <c r="AR986" s="129">
        <v>1</v>
      </c>
      <c r="AS986" s="129">
        <v>1</v>
      </c>
      <c r="AT986" s="129">
        <v>1</v>
      </c>
      <c r="AU986" s="129">
        <v>1</v>
      </c>
      <c r="AV986" s="129">
        <v>1</v>
      </c>
      <c r="AW986" s="129"/>
      <c r="AX986" s="197"/>
      <c r="AY986" s="197"/>
      <c r="AZ986" s="197"/>
      <c r="BA986" s="197">
        <v>1</v>
      </c>
      <c r="BB986" s="129">
        <v>1</v>
      </c>
      <c r="BC986" s="129">
        <v>1</v>
      </c>
      <c r="BD986" s="129">
        <v>1</v>
      </c>
      <c r="BE986" s="129">
        <v>1</v>
      </c>
      <c r="BF986" s="129">
        <v>1</v>
      </c>
      <c r="BG986" s="129">
        <v>1</v>
      </c>
      <c r="BH986" s="129">
        <v>1</v>
      </c>
      <c r="BI986" s="129">
        <v>1</v>
      </c>
      <c r="BJ986" s="129">
        <v>1</v>
      </c>
      <c r="BK986" s="129">
        <v>1</v>
      </c>
      <c r="BL986" s="129">
        <v>1</v>
      </c>
      <c r="BM986" s="197"/>
    </row>
    <row r="987" spans="1:65" x14ac:dyDescent="0.25">
      <c r="A987" s="121" t="s">
        <v>97</v>
      </c>
      <c r="B987" s="121" t="s">
        <v>25</v>
      </c>
      <c r="C987" s="172" t="s">
        <v>222</v>
      </c>
      <c r="D987" s="161">
        <v>1</v>
      </c>
      <c r="E987" s="29" t="str">
        <f>INDEX(ra_ScName,MATCH(D987,ra_ScNumber,0))</f>
        <v>Expected nominal return (incl forecast asset revaluations)</v>
      </c>
      <c r="F987" s="54"/>
      <c r="G987" s="54"/>
      <c r="H987" s="54"/>
      <c r="I987" s="54"/>
      <c r="J987" s="54"/>
      <c r="K987" s="54"/>
      <c r="L987" s="54"/>
      <c r="M987" s="54"/>
      <c r="N987" s="54"/>
      <c r="O987" s="54"/>
      <c r="P987" s="54"/>
      <c r="Q987" s="54"/>
      <c r="R987" s="54"/>
      <c r="S987" s="54"/>
      <c r="T987" s="54"/>
      <c r="U987" s="54"/>
      <c r="V987" s="54"/>
      <c r="W987" s="54"/>
      <c r="X987" s="54"/>
      <c r="Y987" s="54"/>
      <c r="Z987" s="54"/>
      <c r="AA987" s="54"/>
      <c r="AB987" s="54"/>
      <c r="AC987" s="54"/>
      <c r="AD987" s="54"/>
      <c r="AE987" s="54"/>
      <c r="AF987" s="54"/>
      <c r="AG987" s="54"/>
      <c r="AH987" s="54"/>
      <c r="AI987" s="117">
        <f t="shared" si="323"/>
        <v>0</v>
      </c>
      <c r="AJ987" s="117">
        <f>SUM(F987:U987)</f>
        <v>0</v>
      </c>
      <c r="AK987" s="117">
        <f t="shared" si="325"/>
        <v>0</v>
      </c>
      <c r="AL987" s="23"/>
      <c r="AM987" s="127" t="b">
        <f>IF(INDEX($AO987:$BM987,0,$F$14)=1,TRUE,FALSE)</f>
        <v>0</v>
      </c>
      <c r="AN987" s="127" t="str">
        <f>IF(AM987,A987&amp;", "&amp;B987,"")</f>
        <v/>
      </c>
      <c r="AO987" s="129">
        <v>1</v>
      </c>
      <c r="AP987" s="129">
        <v>1</v>
      </c>
      <c r="AQ987" s="129">
        <v>1</v>
      </c>
      <c r="AR987" s="129">
        <v>1</v>
      </c>
      <c r="AS987" s="129">
        <v>1</v>
      </c>
      <c r="AT987" s="129">
        <v>1</v>
      </c>
      <c r="AU987" s="129">
        <v>1</v>
      </c>
      <c r="AV987" s="129">
        <v>1</v>
      </c>
      <c r="AW987" s="129"/>
      <c r="AX987" s="197"/>
      <c r="AY987" s="197"/>
      <c r="AZ987" s="197"/>
      <c r="BA987" s="197">
        <v>1</v>
      </c>
      <c r="BB987" s="129">
        <v>1</v>
      </c>
      <c r="BC987" s="129">
        <v>1</v>
      </c>
      <c r="BD987" s="129">
        <v>1</v>
      </c>
      <c r="BE987" s="129">
        <v>1</v>
      </c>
      <c r="BF987" s="129">
        <v>1</v>
      </c>
      <c r="BG987" s="129">
        <v>1</v>
      </c>
      <c r="BH987" s="129">
        <v>1</v>
      </c>
      <c r="BI987" s="129">
        <v>1</v>
      </c>
      <c r="BJ987" s="129">
        <v>1</v>
      </c>
      <c r="BK987" s="129">
        <v>1</v>
      </c>
      <c r="BL987" s="129">
        <v>1</v>
      </c>
      <c r="BM987" s="197"/>
    </row>
    <row r="988" spans="1:65" x14ac:dyDescent="0.25">
      <c r="A988" s="121" t="s">
        <v>97</v>
      </c>
      <c r="B988" s="121" t="s">
        <v>26</v>
      </c>
      <c r="C988" s="172" t="s">
        <v>222</v>
      </c>
      <c r="D988" s="161">
        <v>1</v>
      </c>
      <c r="E988" s="29" t="str">
        <f>INDEX(ra_ScName,MATCH(D988,ra_ScNumber,0))</f>
        <v>Expected nominal return (incl forecast asset revaluations)</v>
      </c>
      <c r="F988" s="54"/>
      <c r="G988" s="54"/>
      <c r="H988" s="54"/>
      <c r="I988" s="54"/>
      <c r="J988" s="54"/>
      <c r="K988" s="54"/>
      <c r="L988" s="54"/>
      <c r="M988" s="54"/>
      <c r="N988" s="54"/>
      <c r="O988" s="54"/>
      <c r="P988" s="54"/>
      <c r="Q988" s="54"/>
      <c r="R988" s="54"/>
      <c r="S988" s="54"/>
      <c r="T988" s="54"/>
      <c r="U988" s="54"/>
      <c r="V988" s="54"/>
      <c r="W988" s="54"/>
      <c r="X988" s="54"/>
      <c r="Y988" s="54"/>
      <c r="Z988" s="54"/>
      <c r="AA988" s="54"/>
      <c r="AB988" s="54"/>
      <c r="AC988" s="54"/>
      <c r="AD988" s="54"/>
      <c r="AE988" s="54"/>
      <c r="AF988" s="54"/>
      <c r="AG988" s="54"/>
      <c r="AH988" s="54"/>
      <c r="AI988" s="117">
        <f t="shared" si="323"/>
        <v>0</v>
      </c>
      <c r="AJ988" s="117">
        <f>SUM(F988:U988)</f>
        <v>0</v>
      </c>
      <c r="AK988" s="117">
        <f t="shared" si="325"/>
        <v>0</v>
      </c>
      <c r="AL988" s="23"/>
      <c r="AM988" s="127" t="b">
        <f>IF(INDEX($AO988:$BM988,0,$F$14)=1,TRUE,FALSE)</f>
        <v>0</v>
      </c>
      <c r="AN988" s="127" t="str">
        <f>IF(AM988,A988&amp;", "&amp;B988,"")</f>
        <v/>
      </c>
      <c r="AO988" s="129">
        <v>1</v>
      </c>
      <c r="AP988" s="129">
        <v>1</v>
      </c>
      <c r="AQ988" s="129">
        <v>1</v>
      </c>
      <c r="AR988" s="129">
        <v>1</v>
      </c>
      <c r="AS988" s="129">
        <v>1</v>
      </c>
      <c r="AT988" s="129">
        <v>1</v>
      </c>
      <c r="AU988" s="129">
        <v>1</v>
      </c>
      <c r="AV988" s="129">
        <v>1</v>
      </c>
      <c r="AW988" s="129"/>
      <c r="AX988" s="197"/>
      <c r="AY988" s="197"/>
      <c r="AZ988" s="197"/>
      <c r="BA988" s="197">
        <v>1</v>
      </c>
      <c r="BB988" s="129">
        <v>1</v>
      </c>
      <c r="BC988" s="129">
        <v>1</v>
      </c>
      <c r="BD988" s="129">
        <v>1</v>
      </c>
      <c r="BE988" s="129">
        <v>1</v>
      </c>
      <c r="BF988" s="129">
        <v>1</v>
      </c>
      <c r="BG988" s="129">
        <v>1</v>
      </c>
      <c r="BH988" s="129">
        <v>1</v>
      </c>
      <c r="BI988" s="129">
        <v>1</v>
      </c>
      <c r="BJ988" s="129">
        <v>1</v>
      </c>
      <c r="BK988" s="129">
        <v>1</v>
      </c>
      <c r="BL988" s="129">
        <v>1</v>
      </c>
      <c r="BM988" s="197"/>
    </row>
    <row r="989" spans="1:65" x14ac:dyDescent="0.25">
      <c r="A989" s="121" t="s">
        <v>97</v>
      </c>
      <c r="B989" s="121" t="s">
        <v>27</v>
      </c>
      <c r="C989" s="172" t="s">
        <v>222</v>
      </c>
      <c r="D989" s="161">
        <v>1</v>
      </c>
      <c r="E989" s="29" t="str">
        <f>INDEX(ra_ScName,MATCH(D989,ra_ScNumber,0))</f>
        <v>Expected nominal return (incl forecast asset revaluations)</v>
      </c>
      <c r="F989" s="54"/>
      <c r="G989" s="54"/>
      <c r="H989" s="54"/>
      <c r="I989" s="54"/>
      <c r="J989" s="54"/>
      <c r="K989" s="54"/>
      <c r="L989" s="54"/>
      <c r="M989" s="54"/>
      <c r="N989" s="54"/>
      <c r="O989" s="54"/>
      <c r="P989" s="54"/>
      <c r="Q989" s="54"/>
      <c r="R989" s="54"/>
      <c r="S989" s="54"/>
      <c r="T989" s="54"/>
      <c r="U989" s="54"/>
      <c r="V989" s="54"/>
      <c r="W989" s="54"/>
      <c r="X989" s="54"/>
      <c r="Y989" s="54"/>
      <c r="Z989" s="54"/>
      <c r="AA989" s="54"/>
      <c r="AB989" s="54"/>
      <c r="AC989" s="54"/>
      <c r="AD989" s="54"/>
      <c r="AE989" s="54"/>
      <c r="AF989" s="54"/>
      <c r="AG989" s="54"/>
      <c r="AH989" s="54"/>
      <c r="AI989" s="117">
        <f t="shared" si="323"/>
        <v>0</v>
      </c>
      <c r="AJ989" s="117">
        <f>SUM(F989:U989)</f>
        <v>0</v>
      </c>
      <c r="AK989" s="117">
        <f t="shared" si="325"/>
        <v>0</v>
      </c>
      <c r="AL989" s="23"/>
      <c r="AM989" s="127" t="b">
        <f>IF(INDEX($AO989:$BM989,0,$F$14)=1,TRUE,FALSE)</f>
        <v>0</v>
      </c>
      <c r="AN989" s="127" t="str">
        <f>IF(AM989,A989&amp;", "&amp;B989,"")</f>
        <v/>
      </c>
      <c r="AO989" s="129">
        <v>1</v>
      </c>
      <c r="AP989" s="129">
        <v>1</v>
      </c>
      <c r="AQ989" s="129">
        <v>1</v>
      </c>
      <c r="AR989" s="129">
        <v>1</v>
      </c>
      <c r="AS989" s="129">
        <v>1</v>
      </c>
      <c r="AT989" s="129">
        <v>1</v>
      </c>
      <c r="AU989" s="129">
        <v>1</v>
      </c>
      <c r="AV989" s="129">
        <v>1</v>
      </c>
      <c r="AW989" s="129"/>
      <c r="AX989" s="197"/>
      <c r="AY989" s="197"/>
      <c r="AZ989" s="197"/>
      <c r="BA989" s="197">
        <v>1</v>
      </c>
      <c r="BB989" s="129">
        <v>1</v>
      </c>
      <c r="BC989" s="129">
        <v>1</v>
      </c>
      <c r="BD989" s="129">
        <v>1</v>
      </c>
      <c r="BE989" s="129">
        <v>1</v>
      </c>
      <c r="BF989" s="129">
        <v>1</v>
      </c>
      <c r="BG989" s="129">
        <v>1</v>
      </c>
      <c r="BH989" s="129">
        <v>1</v>
      </c>
      <c r="BI989" s="129">
        <v>1</v>
      </c>
      <c r="BJ989" s="129">
        <v>1</v>
      </c>
      <c r="BK989" s="129">
        <v>1</v>
      </c>
      <c r="BL989" s="129">
        <v>1</v>
      </c>
      <c r="BM989" s="197"/>
    </row>
    <row r="990" spans="1:65" x14ac:dyDescent="0.25">
      <c r="A990" s="49"/>
      <c r="B990" s="121"/>
      <c r="C990" s="172"/>
      <c r="D990" s="25"/>
      <c r="E990" s="25"/>
      <c r="F990" s="25"/>
      <c r="G990" s="25"/>
      <c r="H990" s="25"/>
      <c r="I990" s="25"/>
      <c r="J990" s="25"/>
      <c r="K990" s="25"/>
      <c r="L990" s="25"/>
      <c r="M990" s="26"/>
      <c r="N990" s="26"/>
      <c r="O990" s="26"/>
      <c r="P990" s="26"/>
      <c r="Q990" s="26"/>
      <c r="R990" s="26"/>
      <c r="S990" s="26"/>
      <c r="T990" s="26"/>
      <c r="U990" s="26"/>
      <c r="V990" s="25"/>
      <c r="W990" s="23"/>
      <c r="X990" s="23"/>
      <c r="Y990" s="23"/>
      <c r="Z990" s="23"/>
      <c r="AA990" s="23"/>
      <c r="AB990" s="23"/>
      <c r="AC990" s="23"/>
      <c r="AD990" s="23"/>
      <c r="AE990" s="23"/>
      <c r="AF990" s="23"/>
      <c r="AG990" s="23"/>
      <c r="AH990" s="23"/>
      <c r="AI990" s="54"/>
      <c r="AJ990" s="54"/>
      <c r="AK990" s="54"/>
      <c r="AL990" s="23"/>
      <c r="AM990" s="127"/>
      <c r="AN990" s="127"/>
      <c r="AO990" s="129"/>
      <c r="AP990" s="129"/>
      <c r="AQ990" s="129"/>
      <c r="AR990" s="129"/>
      <c r="AS990" s="129"/>
      <c r="AT990" s="129"/>
      <c r="AU990" s="129"/>
      <c r="AV990" s="129"/>
      <c r="AW990" s="129"/>
      <c r="AX990" s="197"/>
      <c r="AY990" s="197"/>
      <c r="AZ990" s="197"/>
      <c r="BA990" s="197"/>
      <c r="BB990" s="129"/>
      <c r="BC990" s="129"/>
      <c r="BD990" s="129"/>
      <c r="BE990" s="129"/>
      <c r="BF990" s="129"/>
      <c r="BG990" s="129"/>
      <c r="BH990" s="129"/>
      <c r="BI990" s="129"/>
      <c r="BJ990" s="129"/>
      <c r="BK990" s="129"/>
      <c r="BL990" s="129"/>
      <c r="BM990" s="197"/>
    </row>
    <row r="991" spans="1:65" x14ac:dyDescent="0.25">
      <c r="A991" s="121"/>
      <c r="B991" s="121"/>
      <c r="C991" s="172"/>
      <c r="D991" s="46"/>
      <c r="E991" s="46"/>
      <c r="F991" s="54"/>
      <c r="G991" s="54"/>
      <c r="H991" s="54"/>
      <c r="I991" s="54"/>
      <c r="J991" s="54"/>
      <c r="K991" s="54"/>
      <c r="L991" s="54"/>
      <c r="M991" s="54"/>
      <c r="N991" s="54"/>
      <c r="O991" s="54"/>
      <c r="P991" s="54"/>
      <c r="Q991" s="54"/>
      <c r="R991" s="54"/>
      <c r="S991" s="54"/>
      <c r="T991" s="54"/>
      <c r="U991" s="54"/>
      <c r="V991" s="54"/>
      <c r="W991" s="55"/>
      <c r="X991" s="55"/>
      <c r="Y991" s="55"/>
      <c r="Z991" s="55"/>
      <c r="AA991" s="55"/>
      <c r="AB991" s="55"/>
      <c r="AC991" s="55"/>
      <c r="AD991" s="55"/>
      <c r="AE991" s="55"/>
      <c r="AF991" s="55"/>
      <c r="AG991" s="55"/>
      <c r="AH991" s="55"/>
      <c r="AI991" s="54"/>
      <c r="AJ991" s="54"/>
      <c r="AK991" s="54"/>
      <c r="AL991" s="23"/>
      <c r="AM991" s="127"/>
      <c r="AN991" s="127"/>
      <c r="AO991" s="129"/>
      <c r="AP991" s="129"/>
      <c r="AQ991" s="129"/>
      <c r="AR991" s="129"/>
      <c r="AS991" s="129"/>
      <c r="AT991" s="129"/>
      <c r="AU991" s="129"/>
      <c r="AV991" s="129"/>
      <c r="AW991" s="129"/>
      <c r="AX991" s="197"/>
      <c r="AY991" s="197"/>
      <c r="AZ991" s="197"/>
      <c r="BA991" s="197"/>
      <c r="BB991" s="129"/>
      <c r="BC991" s="129"/>
      <c r="BD991" s="129"/>
      <c r="BE991" s="129"/>
      <c r="BF991" s="129"/>
      <c r="BG991" s="129"/>
      <c r="BH991" s="129"/>
      <c r="BI991" s="129"/>
      <c r="BJ991" s="129"/>
      <c r="BK991" s="129"/>
      <c r="BL991" s="129"/>
      <c r="BM991" s="197"/>
    </row>
    <row r="992" spans="1:65" x14ac:dyDescent="0.25">
      <c r="A992" s="121" t="s">
        <v>97</v>
      </c>
      <c r="B992" s="121" t="s">
        <v>23</v>
      </c>
      <c r="C992" s="172" t="s">
        <v>352</v>
      </c>
      <c r="D992" s="161">
        <v>10</v>
      </c>
      <c r="E992" s="29" t="str">
        <f>INDEX(ra_ScName,MATCH(D992,ra_ScNumber,0))</f>
        <v>Disclosed nominal return (incl actual asset revaluations)</v>
      </c>
      <c r="F992" s="122">
        <v>0</v>
      </c>
      <c r="G992" s="122">
        <v>0</v>
      </c>
      <c r="H992" s="122">
        <v>0</v>
      </c>
      <c r="I992" s="122">
        <v>3680.5117568860624</v>
      </c>
      <c r="J992" s="122">
        <v>0</v>
      </c>
      <c r="K992" s="122">
        <v>10.883627025270389</v>
      </c>
      <c r="L992" s="122">
        <v>0</v>
      </c>
      <c r="M992" s="122">
        <v>0</v>
      </c>
      <c r="N992" s="122">
        <v>8.9649330159897538</v>
      </c>
      <c r="O992" s="122">
        <v>7.1068529815801842</v>
      </c>
      <c r="P992" s="122">
        <v>-24.864096250234198</v>
      </c>
      <c r="Q992" s="122">
        <v>0</v>
      </c>
      <c r="R992" s="122">
        <v>0</v>
      </c>
      <c r="S992" s="122">
        <v>0</v>
      </c>
      <c r="T992" s="122">
        <v>0</v>
      </c>
      <c r="U992" s="122">
        <v>0</v>
      </c>
      <c r="V992" s="122">
        <v>225.72990712256086</v>
      </c>
      <c r="W992" s="122">
        <v>0</v>
      </c>
      <c r="X992" s="122">
        <v>-8.1885083073053586</v>
      </c>
      <c r="Y992" s="122">
        <v>1071.0619889738371</v>
      </c>
      <c r="Z992" s="122">
        <v>0</v>
      </c>
      <c r="AA992" s="122">
        <v>294.54534192325872</v>
      </c>
      <c r="AB992" s="122">
        <v>0</v>
      </c>
      <c r="AC992" s="122">
        <v>0</v>
      </c>
      <c r="AD992" s="122">
        <v>0</v>
      </c>
      <c r="AE992" s="122">
        <v>16.475355023425003</v>
      </c>
      <c r="AF992" s="122">
        <v>0</v>
      </c>
      <c r="AG992" s="122">
        <v>0</v>
      </c>
      <c r="AH992" s="122">
        <v>89.920310667782431</v>
      </c>
      <c r="AI992" s="117">
        <f t="shared" si="323"/>
        <v>5372.1474690622281</v>
      </c>
      <c r="AJ992" s="117">
        <f>SUM(F992:U992)</f>
        <v>3682.6030736586686</v>
      </c>
      <c r="AK992" s="117">
        <f t="shared" si="325"/>
        <v>1463.8144882809979</v>
      </c>
      <c r="AL992" s="23"/>
      <c r="AM992" s="127" t="b">
        <f>IF(INDEX($AO992:$BM992,0,$F$14)=1,TRUE,FALSE)</f>
        <v>1</v>
      </c>
      <c r="AN992" s="127" t="str">
        <f>IF(AM992,A992&amp;", "&amp;B992,"")</f>
        <v>Expenditure or loss deductible but not in regulatory profit / (loss) before tax**, 2010/11</v>
      </c>
      <c r="AO992" s="129"/>
      <c r="AP992" s="129"/>
      <c r="AQ992" s="129"/>
      <c r="AR992" s="129"/>
      <c r="AS992" s="129"/>
      <c r="AT992" s="129"/>
      <c r="AU992" s="129"/>
      <c r="AV992" s="129"/>
      <c r="AW992" s="129">
        <v>1</v>
      </c>
      <c r="AX992" s="197">
        <v>1</v>
      </c>
      <c r="AY992" s="197">
        <v>1</v>
      </c>
      <c r="AZ992" s="197">
        <v>1</v>
      </c>
      <c r="BA992" s="197"/>
      <c r="BB992" s="129"/>
      <c r="BC992" s="129"/>
      <c r="BD992" s="129"/>
      <c r="BE992" s="129"/>
      <c r="BF992" s="129"/>
      <c r="BG992" s="129"/>
      <c r="BH992" s="129"/>
      <c r="BI992" s="129"/>
      <c r="BJ992" s="129"/>
      <c r="BK992" s="129"/>
      <c r="BL992" s="129"/>
      <c r="BM992" s="197">
        <v>1</v>
      </c>
    </row>
    <row r="993" spans="1:65" x14ac:dyDescent="0.25">
      <c r="A993" s="121" t="s">
        <v>97</v>
      </c>
      <c r="B993" s="121" t="s">
        <v>24</v>
      </c>
      <c r="C993" s="172" t="s">
        <v>352</v>
      </c>
      <c r="D993" s="161">
        <v>10</v>
      </c>
      <c r="E993" s="29" t="str">
        <f>INDEX(ra_ScName,MATCH(D993,ra_ScNumber,0))</f>
        <v>Disclosed nominal return (incl actual asset revaluations)</v>
      </c>
      <c r="F993" s="122">
        <v>0</v>
      </c>
      <c r="G993" s="122">
        <v>0</v>
      </c>
      <c r="H993" s="122">
        <v>0</v>
      </c>
      <c r="I993" s="122">
        <v>3801.7482892740295</v>
      </c>
      <c r="J993" s="122">
        <v>0</v>
      </c>
      <c r="K993" s="122">
        <v>11.24213510444689</v>
      </c>
      <c r="L993" s="122">
        <v>0</v>
      </c>
      <c r="M993" s="122">
        <v>0</v>
      </c>
      <c r="N993" s="122">
        <v>9.2602390668169274</v>
      </c>
      <c r="O993" s="122">
        <v>7.3409536362149197</v>
      </c>
      <c r="P993" s="122">
        <v>-25.683122790415517</v>
      </c>
      <c r="Q993" s="122">
        <v>0</v>
      </c>
      <c r="R993" s="122">
        <v>0</v>
      </c>
      <c r="S993" s="122">
        <v>0</v>
      </c>
      <c r="T993" s="122">
        <v>0</v>
      </c>
      <c r="U993" s="122">
        <v>0</v>
      </c>
      <c r="V993" s="122">
        <v>233.16547940258289</v>
      </c>
      <c r="W993" s="122">
        <v>0</v>
      </c>
      <c r="X993" s="122">
        <v>-8.458238828000038</v>
      </c>
      <c r="Y993" s="122">
        <v>1106.3429091537009</v>
      </c>
      <c r="Z993" s="122">
        <v>0</v>
      </c>
      <c r="AA993" s="122">
        <v>304.24770350897927</v>
      </c>
      <c r="AB993" s="122">
        <v>0</v>
      </c>
      <c r="AC993" s="122">
        <v>0</v>
      </c>
      <c r="AD993" s="122">
        <v>0</v>
      </c>
      <c r="AE993" s="122">
        <v>17.018055344695181</v>
      </c>
      <c r="AF993" s="122">
        <v>0</v>
      </c>
      <c r="AG993" s="122">
        <v>0</v>
      </c>
      <c r="AH993" s="122">
        <v>92.882297308964667</v>
      </c>
      <c r="AI993" s="117">
        <f t="shared" si="323"/>
        <v>5549.1067001820165</v>
      </c>
      <c r="AJ993" s="117">
        <f>SUM(F993:U993)</f>
        <v>3803.9084942910931</v>
      </c>
      <c r="AK993" s="117">
        <f t="shared" si="325"/>
        <v>1512.0327264883399</v>
      </c>
      <c r="AL993" s="23"/>
      <c r="AM993" s="127" t="b">
        <f>IF(INDEX($AO993:$BM993,0,$F$14)=1,TRUE,FALSE)</f>
        <v>1</v>
      </c>
      <c r="AN993" s="127" t="str">
        <f>IF(AM993,A993&amp;", "&amp;B993,"")</f>
        <v>Expenditure or loss deductible but not in regulatory profit / (loss) before tax**, 2011/12</v>
      </c>
      <c r="AO993" s="129"/>
      <c r="AP993" s="129"/>
      <c r="AQ993" s="129"/>
      <c r="AR993" s="129"/>
      <c r="AS993" s="129"/>
      <c r="AT993" s="129"/>
      <c r="AU993" s="129"/>
      <c r="AV993" s="129"/>
      <c r="AW993" s="129">
        <v>1</v>
      </c>
      <c r="AX993" s="197">
        <v>1</v>
      </c>
      <c r="AY993" s="197">
        <v>1</v>
      </c>
      <c r="AZ993" s="197">
        <v>1</v>
      </c>
      <c r="BA993" s="197"/>
      <c r="BB993" s="129"/>
      <c r="BC993" s="129"/>
      <c r="BD993" s="129"/>
      <c r="BE993" s="129"/>
      <c r="BF993" s="129"/>
      <c r="BG993" s="129"/>
      <c r="BH993" s="129"/>
      <c r="BI993" s="129"/>
      <c r="BJ993" s="129"/>
      <c r="BK993" s="129"/>
      <c r="BL993" s="129"/>
      <c r="BM993" s="197">
        <v>1</v>
      </c>
    </row>
    <row r="994" spans="1:65" x14ac:dyDescent="0.25">
      <c r="A994" s="121" t="s">
        <v>97</v>
      </c>
      <c r="B994" s="121" t="s">
        <v>25</v>
      </c>
      <c r="C994" s="172" t="s">
        <v>219</v>
      </c>
      <c r="D994" s="161">
        <v>10</v>
      </c>
      <c r="E994" s="29" t="str">
        <f>INDEX(ra_ScName,MATCH(D994,ra_ScNumber,0))</f>
        <v>Disclosed nominal return (incl actual asset revaluations)</v>
      </c>
      <c r="F994" s="122">
        <v>0</v>
      </c>
      <c r="G994" s="122">
        <v>0</v>
      </c>
      <c r="H994" s="122">
        <v>0</v>
      </c>
      <c r="I994" s="122">
        <v>4784.6181877814597</v>
      </c>
      <c r="J994" s="122">
        <v>0</v>
      </c>
      <c r="K994" s="122">
        <v>25.794</v>
      </c>
      <c r="L994" s="122">
        <v>0</v>
      </c>
      <c r="M994" s="122">
        <v>0</v>
      </c>
      <c r="N994" s="122">
        <v>9</v>
      </c>
      <c r="O994" s="122">
        <v>23.196000000000002</v>
      </c>
      <c r="P994" s="122">
        <v>0</v>
      </c>
      <c r="Q994" s="122">
        <v>0</v>
      </c>
      <c r="R994" s="122">
        <v>0</v>
      </c>
      <c r="S994" s="122">
        <v>0</v>
      </c>
      <c r="T994" s="122">
        <v>0</v>
      </c>
      <c r="U994" s="122">
        <v>0</v>
      </c>
      <c r="V994" s="122">
        <v>99.638999999999996</v>
      </c>
      <c r="W994" s="122">
        <v>0</v>
      </c>
      <c r="X994" s="122">
        <v>-9.769320000000274</v>
      </c>
      <c r="Y994" s="122">
        <v>3491.357</v>
      </c>
      <c r="Z994" s="122">
        <v>0</v>
      </c>
      <c r="AA994" s="122">
        <v>0</v>
      </c>
      <c r="AB994" s="122">
        <v>0</v>
      </c>
      <c r="AC994" s="122">
        <v>0</v>
      </c>
      <c r="AD994" s="122">
        <v>0</v>
      </c>
      <c r="AE994" s="122">
        <v>18.690999999999999</v>
      </c>
      <c r="AF994" s="122">
        <v>0</v>
      </c>
      <c r="AG994" s="122">
        <v>0</v>
      </c>
      <c r="AH994" s="122">
        <v>90</v>
      </c>
      <c r="AI994" s="117">
        <f t="shared" si="323"/>
        <v>8532.52586778146</v>
      </c>
      <c r="AJ994" s="117">
        <f>SUM(F994:U994)</f>
        <v>4842.6081877814595</v>
      </c>
      <c r="AK994" s="117">
        <f t="shared" si="325"/>
        <v>3590.2786799999994</v>
      </c>
      <c r="AL994" s="23"/>
      <c r="AM994" s="127" t="b">
        <f>IF(INDEX($AO994:$BM994,0,$F$14)=1,TRUE,FALSE)</f>
        <v>1</v>
      </c>
      <c r="AN994" s="127" t="str">
        <f>IF(AM994,A994&amp;", "&amp;B994,"")</f>
        <v>Expenditure or loss deductible but not in regulatory profit / (loss) before tax**, 2012/13</v>
      </c>
      <c r="AO994" s="129"/>
      <c r="AP994" s="129"/>
      <c r="AQ994" s="129"/>
      <c r="AR994" s="129"/>
      <c r="AS994" s="129"/>
      <c r="AT994" s="129"/>
      <c r="AU994" s="129"/>
      <c r="AV994" s="129"/>
      <c r="AW994" s="129">
        <v>1</v>
      </c>
      <c r="AX994" s="197">
        <v>1</v>
      </c>
      <c r="AY994" s="197">
        <v>1</v>
      </c>
      <c r="AZ994" s="197">
        <v>1</v>
      </c>
      <c r="BA994" s="197"/>
      <c r="BB994" s="129"/>
      <c r="BC994" s="129"/>
      <c r="BD994" s="129"/>
      <c r="BE994" s="129"/>
      <c r="BF994" s="129"/>
      <c r="BG994" s="129"/>
      <c r="BH994" s="129"/>
      <c r="BI994" s="129"/>
      <c r="BJ994" s="129"/>
      <c r="BK994" s="129"/>
      <c r="BL994" s="129"/>
      <c r="BM994" s="197">
        <v>1</v>
      </c>
    </row>
    <row r="995" spans="1:65" x14ac:dyDescent="0.25">
      <c r="A995" s="121" t="s">
        <v>97</v>
      </c>
      <c r="B995" s="121" t="s">
        <v>26</v>
      </c>
      <c r="C995" s="172" t="s">
        <v>219</v>
      </c>
      <c r="D995" s="161">
        <v>10</v>
      </c>
      <c r="E995" s="29" t="str">
        <f>INDEX(ra_ScName,MATCH(D995,ra_ScNumber,0))</f>
        <v>Disclosed nominal return (incl actual asset revaluations)</v>
      </c>
      <c r="F995" s="122">
        <v>0</v>
      </c>
      <c r="G995" s="122">
        <v>0</v>
      </c>
      <c r="H995" s="122">
        <v>0</v>
      </c>
      <c r="I995" s="122">
        <v>7135.2123809769446</v>
      </c>
      <c r="J995" s="122">
        <v>0</v>
      </c>
      <c r="K995" s="122">
        <v>8.3369999999999997</v>
      </c>
      <c r="L995" s="122">
        <v>0</v>
      </c>
      <c r="M995" s="122">
        <v>0</v>
      </c>
      <c r="N995" s="122">
        <v>20</v>
      </c>
      <c r="O995" s="122">
        <v>0</v>
      </c>
      <c r="P995" s="122">
        <v>-80.11</v>
      </c>
      <c r="Q995" s="122">
        <v>0</v>
      </c>
      <c r="R995" s="122">
        <v>0</v>
      </c>
      <c r="S995" s="122">
        <v>0</v>
      </c>
      <c r="T995" s="122">
        <v>0</v>
      </c>
      <c r="U995" s="122">
        <v>0</v>
      </c>
      <c r="V995" s="122">
        <v>444.8</v>
      </c>
      <c r="W995" s="122">
        <v>0</v>
      </c>
      <c r="X995" s="122">
        <v>-16.739000000000001</v>
      </c>
      <c r="Y995" s="122">
        <v>3.3620000000000001</v>
      </c>
      <c r="Z995" s="122">
        <v>0</v>
      </c>
      <c r="AA995" s="122">
        <v>949</v>
      </c>
      <c r="AB995" s="122">
        <v>0</v>
      </c>
      <c r="AC995" s="122">
        <v>0</v>
      </c>
      <c r="AD995" s="122">
        <v>0</v>
      </c>
      <c r="AE995" s="122">
        <v>1.1930000000000001</v>
      </c>
      <c r="AF995" s="122">
        <v>0</v>
      </c>
      <c r="AG995" s="122">
        <v>0</v>
      </c>
      <c r="AH995" s="122">
        <v>99</v>
      </c>
      <c r="AI995" s="117">
        <f t="shared" si="323"/>
        <v>8564.0553809769444</v>
      </c>
      <c r="AJ995" s="117">
        <f>SUM(F995:U995)</f>
        <v>7083.4393809769454</v>
      </c>
      <c r="AK995" s="117">
        <f t="shared" si="325"/>
        <v>1035.816</v>
      </c>
      <c r="AL995" s="23"/>
      <c r="AM995" s="127" t="b">
        <f>IF(INDEX($AO995:$BM995,0,$F$14)=1,TRUE,FALSE)</f>
        <v>1</v>
      </c>
      <c r="AN995" s="127" t="str">
        <f>IF(AM995,A995&amp;", "&amp;B995,"")</f>
        <v>Expenditure or loss deductible but not in regulatory profit / (loss) before tax**, 2013/14</v>
      </c>
      <c r="AO995" s="129"/>
      <c r="AP995" s="129"/>
      <c r="AQ995" s="129"/>
      <c r="AR995" s="129"/>
      <c r="AS995" s="129"/>
      <c r="AT995" s="129"/>
      <c r="AU995" s="129"/>
      <c r="AV995" s="129"/>
      <c r="AW995" s="129">
        <v>1</v>
      </c>
      <c r="AX995" s="197">
        <v>1</v>
      </c>
      <c r="AY995" s="197">
        <v>1</v>
      </c>
      <c r="AZ995" s="197">
        <v>1</v>
      </c>
      <c r="BA995" s="197"/>
      <c r="BB995" s="129"/>
      <c r="BC995" s="129"/>
      <c r="BD995" s="129"/>
      <c r="BE995" s="129"/>
      <c r="BF995" s="129"/>
      <c r="BG995" s="129"/>
      <c r="BH995" s="129"/>
      <c r="BI995" s="129"/>
      <c r="BJ995" s="129"/>
      <c r="BK995" s="129"/>
      <c r="BL995" s="129"/>
      <c r="BM995" s="197">
        <v>1</v>
      </c>
    </row>
    <row r="996" spans="1:65" x14ac:dyDescent="0.25">
      <c r="A996" s="121" t="s">
        <v>97</v>
      </c>
      <c r="B996" s="121" t="s">
        <v>27</v>
      </c>
      <c r="C996" s="172" t="s">
        <v>219</v>
      </c>
      <c r="D996" s="161">
        <v>10</v>
      </c>
      <c r="E996" s="29" t="str">
        <f>INDEX(ra_ScName,MATCH(D996,ra_ScNumber,0))</f>
        <v>Disclosed nominal return (incl actual asset revaluations)</v>
      </c>
      <c r="F996" s="122">
        <v>0</v>
      </c>
      <c r="G996" s="122">
        <v>0</v>
      </c>
      <c r="H996" s="122">
        <v>0</v>
      </c>
      <c r="I996" s="122">
        <v>0</v>
      </c>
      <c r="J996" s="122">
        <v>0</v>
      </c>
      <c r="K996" s="122">
        <v>1.256</v>
      </c>
      <c r="L996" s="122">
        <v>0</v>
      </c>
      <c r="M996" s="122">
        <v>0</v>
      </c>
      <c r="N996" s="122">
        <v>0</v>
      </c>
      <c r="O996" s="122">
        <v>0</v>
      </c>
      <c r="P996" s="122">
        <v>0</v>
      </c>
      <c r="Q996" s="122">
        <v>0</v>
      </c>
      <c r="R996" s="122">
        <v>0</v>
      </c>
      <c r="S996" s="122">
        <v>0</v>
      </c>
      <c r="T996" s="122">
        <v>0</v>
      </c>
      <c r="U996" s="122">
        <v>0</v>
      </c>
      <c r="V996" s="122">
        <v>182.547</v>
      </c>
      <c r="W996" s="122">
        <v>0</v>
      </c>
      <c r="X996" s="122">
        <v>0</v>
      </c>
      <c r="Y996" s="122">
        <v>1.0449999999999999</v>
      </c>
      <c r="Z996" s="122">
        <v>0</v>
      </c>
      <c r="AA996" s="122">
        <v>0</v>
      </c>
      <c r="AB996" s="122">
        <v>0</v>
      </c>
      <c r="AC996" s="122">
        <v>0</v>
      </c>
      <c r="AD996" s="122">
        <v>0</v>
      </c>
      <c r="AE996" s="122">
        <v>33.152000000000001</v>
      </c>
      <c r="AF996" s="122">
        <v>0</v>
      </c>
      <c r="AG996" s="122">
        <v>0</v>
      </c>
      <c r="AH996" s="122">
        <v>101</v>
      </c>
      <c r="AI996" s="117">
        <f t="shared" si="323"/>
        <v>319</v>
      </c>
      <c r="AJ996" s="117">
        <f>SUM(F996:U996)</f>
        <v>1.256</v>
      </c>
      <c r="AK996" s="117">
        <f t="shared" si="325"/>
        <v>135.197</v>
      </c>
      <c r="AL996" s="23"/>
      <c r="AM996" s="127" t="b">
        <f>IF(INDEX($AO996:$BM996,0,$F$14)=1,TRUE,FALSE)</f>
        <v>1</v>
      </c>
      <c r="AN996" s="127" t="str">
        <f>IF(AM996,A996&amp;", "&amp;B996,"")</f>
        <v>Expenditure or loss deductible but not in regulatory profit / (loss) before tax**, 2014/15</v>
      </c>
      <c r="AO996" s="129"/>
      <c r="AP996" s="129"/>
      <c r="AQ996" s="129"/>
      <c r="AR996" s="129"/>
      <c r="AS996" s="129"/>
      <c r="AT996" s="129"/>
      <c r="AU996" s="129"/>
      <c r="AV996" s="129"/>
      <c r="AW996" s="129">
        <v>1</v>
      </c>
      <c r="AX996" s="197">
        <v>1</v>
      </c>
      <c r="AY996" s="197">
        <v>1</v>
      </c>
      <c r="AZ996" s="197">
        <v>1</v>
      </c>
      <c r="BA996" s="197"/>
      <c r="BB996" s="129"/>
      <c r="BC996" s="129"/>
      <c r="BD996" s="129"/>
      <c r="BE996" s="129"/>
      <c r="BF996" s="129"/>
      <c r="BG996" s="129"/>
      <c r="BH996" s="129"/>
      <c r="BI996" s="129"/>
      <c r="BJ996" s="129"/>
      <c r="BK996" s="129"/>
      <c r="BL996" s="129"/>
      <c r="BM996" s="197">
        <v>1</v>
      </c>
    </row>
    <row r="997" spans="1:65" x14ac:dyDescent="0.25">
      <c r="A997" s="49"/>
      <c r="B997" s="121"/>
      <c r="C997" s="172"/>
      <c r="D997" s="25"/>
      <c r="E997" s="25"/>
      <c r="F997" s="25"/>
      <c r="G997" s="25"/>
      <c r="H997" s="25"/>
      <c r="I997" s="25"/>
      <c r="J997" s="25"/>
      <c r="K997" s="25"/>
      <c r="L997" s="25"/>
      <c r="M997" s="26"/>
      <c r="N997" s="26"/>
      <c r="O997" s="26"/>
      <c r="P997" s="26"/>
      <c r="Q997" s="26"/>
      <c r="R997" s="26"/>
      <c r="S997" s="26"/>
      <c r="T997" s="26"/>
      <c r="U997" s="26"/>
      <c r="V997" s="25"/>
      <c r="W997" s="23"/>
      <c r="X997" s="23"/>
      <c r="Y997" s="23"/>
      <c r="Z997" s="23"/>
      <c r="AA997" s="23"/>
      <c r="AB997" s="23"/>
      <c r="AC997" s="23"/>
      <c r="AD997" s="23"/>
      <c r="AE997" s="23"/>
      <c r="AF997" s="23"/>
      <c r="AG997" s="23"/>
      <c r="AH997" s="23"/>
      <c r="AI997" s="54"/>
      <c r="AJ997" s="54"/>
      <c r="AK997" s="54"/>
      <c r="AL997" s="23"/>
      <c r="AM997" s="127"/>
      <c r="AN997" s="127"/>
      <c r="AO997" s="129"/>
      <c r="AP997" s="129"/>
      <c r="AQ997" s="129"/>
      <c r="AR997" s="129"/>
      <c r="AS997" s="129"/>
      <c r="AT997" s="129"/>
      <c r="AU997" s="129"/>
      <c r="AV997" s="129"/>
      <c r="AW997" s="129"/>
      <c r="AX997" s="197"/>
      <c r="AY997" s="197"/>
      <c r="AZ997" s="197"/>
      <c r="BA997" s="197"/>
      <c r="BB997" s="129"/>
      <c r="BC997" s="129"/>
      <c r="BD997" s="129"/>
      <c r="BE997" s="129"/>
      <c r="BF997" s="129"/>
      <c r="BG997" s="129"/>
      <c r="BH997" s="129"/>
      <c r="BI997" s="129"/>
      <c r="BJ997" s="129"/>
      <c r="BK997" s="129"/>
      <c r="BL997" s="129"/>
      <c r="BM997" s="197"/>
    </row>
    <row r="998" spans="1:65" x14ac:dyDescent="0.25">
      <c r="A998" s="121"/>
      <c r="B998" s="121"/>
      <c r="C998" s="172"/>
      <c r="D998" s="46"/>
      <c r="E998" s="46"/>
      <c r="F998" s="54"/>
      <c r="G998" s="54"/>
      <c r="H998" s="54"/>
      <c r="I998" s="54"/>
      <c r="J998" s="54"/>
      <c r="K998" s="54"/>
      <c r="L998" s="54"/>
      <c r="M998" s="54"/>
      <c r="N998" s="54"/>
      <c r="O998" s="54"/>
      <c r="P998" s="54"/>
      <c r="Q998" s="54"/>
      <c r="R998" s="54"/>
      <c r="S998" s="54"/>
      <c r="T998" s="54"/>
      <c r="U998" s="54"/>
      <c r="V998" s="54"/>
      <c r="W998" s="55"/>
      <c r="X998" s="55"/>
      <c r="Y998" s="55"/>
      <c r="Z998" s="55"/>
      <c r="AA998" s="55"/>
      <c r="AB998" s="55"/>
      <c r="AC998" s="55"/>
      <c r="AD998" s="55"/>
      <c r="AE998" s="55"/>
      <c r="AF998" s="55"/>
      <c r="AG998" s="55"/>
      <c r="AH998" s="55"/>
      <c r="AI998" s="54"/>
      <c r="AJ998" s="54"/>
      <c r="AK998" s="54"/>
      <c r="AL998" s="23"/>
      <c r="AM998" s="127"/>
      <c r="AN998" s="127"/>
      <c r="AO998" s="129"/>
      <c r="AP998" s="129"/>
      <c r="AQ998" s="129"/>
      <c r="AR998" s="129"/>
      <c r="AS998" s="129"/>
      <c r="AT998" s="129"/>
      <c r="AU998" s="129"/>
      <c r="AV998" s="129"/>
      <c r="AW998" s="129"/>
      <c r="AX998" s="197"/>
      <c r="AY998" s="197"/>
      <c r="AZ998" s="197"/>
      <c r="BA998" s="197"/>
      <c r="BB998" s="129"/>
      <c r="BC998" s="129"/>
      <c r="BD998" s="129"/>
      <c r="BE998" s="129"/>
      <c r="BF998" s="129"/>
      <c r="BG998" s="129"/>
      <c r="BH998" s="129"/>
      <c r="BI998" s="129"/>
      <c r="BJ998" s="129"/>
      <c r="BK998" s="129"/>
      <c r="BL998" s="129"/>
      <c r="BM998" s="197"/>
    </row>
    <row r="999" spans="1:65" x14ac:dyDescent="0.25">
      <c r="A999" s="121" t="s">
        <v>436</v>
      </c>
      <c r="B999" s="121" t="s">
        <v>27</v>
      </c>
      <c r="C999" s="172" t="s">
        <v>222</v>
      </c>
      <c r="D999" s="161">
        <v>1</v>
      </c>
      <c r="E999" s="29" t="str">
        <f>INDEX(ra_ScName,MATCH(D999,ra_ScNumber,0))</f>
        <v>Expected nominal return (incl forecast asset revaluations)</v>
      </c>
      <c r="F999" s="54"/>
      <c r="G999" s="54"/>
      <c r="H999" s="54"/>
      <c r="I999" s="54"/>
      <c r="J999" s="54"/>
      <c r="K999" s="54"/>
      <c r="L999" s="54"/>
      <c r="M999" s="54"/>
      <c r="N999" s="54"/>
      <c r="O999" s="54"/>
      <c r="P999" s="54"/>
      <c r="Q999" s="54"/>
      <c r="R999" s="54"/>
      <c r="S999" s="54"/>
      <c r="T999" s="54"/>
      <c r="U999" s="54"/>
      <c r="V999" s="54"/>
      <c r="W999" s="54"/>
      <c r="X999" s="54"/>
      <c r="Y999" s="54"/>
      <c r="Z999" s="54"/>
      <c r="AA999" s="54"/>
      <c r="AB999" s="54"/>
      <c r="AC999" s="54"/>
      <c r="AD999" s="54"/>
      <c r="AE999" s="54"/>
      <c r="AF999" s="54"/>
      <c r="AG999" s="54"/>
      <c r="AH999" s="54"/>
      <c r="AI999" s="117">
        <f>SUM(F999:AH999)</f>
        <v>0</v>
      </c>
      <c r="AJ999" s="117">
        <f>SUM(F999:U999)</f>
        <v>0</v>
      </c>
      <c r="AK999" s="117">
        <f>SUM(W999:AH999)</f>
        <v>0</v>
      </c>
      <c r="AL999" s="23"/>
      <c r="AM999" s="127" t="b">
        <f>IF(INDEX($AO999:$BM999,0,$F$14)=1,TRUE,FALSE)</f>
        <v>0</v>
      </c>
      <c r="AN999" s="127" t="str">
        <f>IF(AM999,A999&amp;", "&amp;B999,"")</f>
        <v/>
      </c>
      <c r="AO999" s="129">
        <v>1</v>
      </c>
      <c r="AP999" s="129">
        <v>1</v>
      </c>
      <c r="AQ999" s="129"/>
      <c r="AR999" s="129"/>
      <c r="AS999" s="129"/>
      <c r="AT999" s="129"/>
      <c r="AU999" s="129"/>
      <c r="AV999" s="129"/>
      <c r="AW999" s="129"/>
      <c r="AX999" s="197"/>
      <c r="AY999" s="197">
        <v>1</v>
      </c>
      <c r="AZ999" s="197">
        <v>1</v>
      </c>
      <c r="BA999" s="197">
        <v>1</v>
      </c>
      <c r="BB999" s="129">
        <v>1</v>
      </c>
      <c r="BC999" s="129">
        <v>1</v>
      </c>
      <c r="BD999" s="129">
        <v>1</v>
      </c>
      <c r="BE999" s="129">
        <v>1</v>
      </c>
      <c r="BF999" s="129">
        <v>1</v>
      </c>
      <c r="BG999" s="129">
        <v>1</v>
      </c>
      <c r="BH999" s="129">
        <v>1</v>
      </c>
      <c r="BI999" s="129">
        <v>1</v>
      </c>
      <c r="BJ999" s="129">
        <v>1</v>
      </c>
      <c r="BK999" s="129">
        <v>1</v>
      </c>
      <c r="BL999" s="129"/>
      <c r="BM999" s="197"/>
    </row>
    <row r="1000" spans="1:65" x14ac:dyDescent="0.25">
      <c r="A1000" s="49"/>
      <c r="B1000" s="121"/>
      <c r="C1000" s="172"/>
      <c r="D1000" s="49"/>
      <c r="E1000" s="49"/>
      <c r="F1000" s="94"/>
      <c r="G1000" s="94"/>
      <c r="H1000" s="94"/>
      <c r="I1000" s="94"/>
      <c r="J1000" s="94"/>
      <c r="K1000" s="94"/>
      <c r="L1000" s="94"/>
      <c r="M1000" s="94"/>
      <c r="N1000" s="94"/>
      <c r="O1000" s="94"/>
      <c r="P1000" s="94"/>
      <c r="Q1000" s="94"/>
      <c r="R1000" s="94"/>
      <c r="S1000" s="94"/>
      <c r="T1000" s="94"/>
      <c r="U1000" s="94"/>
      <c r="V1000" s="94"/>
      <c r="W1000" s="94"/>
      <c r="X1000" s="94"/>
      <c r="Y1000" s="94"/>
      <c r="Z1000" s="94"/>
      <c r="AA1000" s="94"/>
      <c r="AB1000" s="94"/>
      <c r="AC1000" s="94"/>
      <c r="AD1000" s="94"/>
      <c r="AE1000" s="94"/>
      <c r="AF1000" s="94"/>
      <c r="AG1000" s="94"/>
      <c r="AH1000" s="94"/>
      <c r="AI1000" s="54"/>
      <c r="AJ1000" s="54"/>
      <c r="AK1000" s="54"/>
      <c r="AL1000" s="23"/>
      <c r="AM1000" s="127"/>
      <c r="AN1000" s="127"/>
      <c r="AO1000" s="129"/>
      <c r="AP1000" s="129"/>
      <c r="AQ1000" s="129"/>
      <c r="AR1000" s="129"/>
      <c r="AS1000" s="129"/>
      <c r="AT1000" s="129"/>
      <c r="AU1000" s="129"/>
      <c r="AV1000" s="129"/>
      <c r="AW1000" s="129"/>
      <c r="AX1000" s="197"/>
      <c r="AY1000" s="197"/>
      <c r="AZ1000" s="197"/>
      <c r="BA1000" s="197"/>
      <c r="BB1000" s="129"/>
      <c r="BC1000" s="129"/>
      <c r="BD1000" s="129"/>
      <c r="BE1000" s="129"/>
      <c r="BF1000" s="129"/>
      <c r="BG1000" s="129"/>
      <c r="BH1000" s="129"/>
      <c r="BI1000" s="129"/>
      <c r="BJ1000" s="129"/>
      <c r="BK1000" s="129"/>
      <c r="BL1000" s="129"/>
      <c r="BM1000" s="197"/>
    </row>
    <row r="1001" spans="1:65" x14ac:dyDescent="0.25">
      <c r="A1001" s="121"/>
      <c r="B1001" s="121"/>
      <c r="C1001" s="172"/>
      <c r="D1001" s="46"/>
      <c r="E1001" s="46"/>
      <c r="F1001" s="54"/>
      <c r="G1001" s="54"/>
      <c r="H1001" s="54"/>
      <c r="I1001" s="54"/>
      <c r="J1001" s="54"/>
      <c r="K1001" s="54"/>
      <c r="L1001" s="54"/>
      <c r="M1001" s="54"/>
      <c r="N1001" s="54"/>
      <c r="O1001" s="54"/>
      <c r="P1001" s="54"/>
      <c r="Q1001" s="54"/>
      <c r="R1001" s="54"/>
      <c r="S1001" s="54"/>
      <c r="T1001" s="54"/>
      <c r="U1001" s="54"/>
      <c r="V1001" s="54"/>
      <c r="W1001" s="55"/>
      <c r="X1001" s="55"/>
      <c r="Y1001" s="55"/>
      <c r="Z1001" s="55"/>
      <c r="AA1001" s="55"/>
      <c r="AB1001" s="55"/>
      <c r="AC1001" s="55"/>
      <c r="AD1001" s="55"/>
      <c r="AE1001" s="55"/>
      <c r="AF1001" s="55"/>
      <c r="AG1001" s="55"/>
      <c r="AH1001" s="55"/>
      <c r="AI1001" s="54"/>
      <c r="AJ1001" s="54"/>
      <c r="AK1001" s="54"/>
      <c r="AL1001" s="23"/>
      <c r="AM1001" s="127"/>
      <c r="AN1001" s="127"/>
      <c r="AO1001" s="129"/>
      <c r="AP1001" s="129"/>
      <c r="AQ1001" s="129"/>
      <c r="AR1001" s="129"/>
      <c r="AS1001" s="129"/>
      <c r="AT1001" s="129"/>
      <c r="AU1001" s="129"/>
      <c r="AV1001" s="129"/>
      <c r="AW1001" s="129"/>
      <c r="AX1001" s="197"/>
      <c r="AY1001" s="197"/>
      <c r="AZ1001" s="197"/>
      <c r="BA1001" s="197"/>
      <c r="BB1001" s="129"/>
      <c r="BC1001" s="129"/>
      <c r="BD1001" s="129"/>
      <c r="BE1001" s="129"/>
      <c r="BF1001" s="129"/>
      <c r="BG1001" s="129"/>
      <c r="BH1001" s="129"/>
      <c r="BI1001" s="129"/>
      <c r="BJ1001" s="129"/>
      <c r="BK1001" s="129"/>
      <c r="BL1001" s="129"/>
      <c r="BM1001" s="197"/>
    </row>
    <row r="1002" spans="1:65" x14ac:dyDescent="0.25">
      <c r="A1002" s="170" t="s">
        <v>398</v>
      </c>
      <c r="B1002" s="171" t="s">
        <v>23</v>
      </c>
      <c r="C1002" s="172" t="s">
        <v>222</v>
      </c>
      <c r="D1002" s="161">
        <v>10</v>
      </c>
      <c r="E1002" s="29" t="str">
        <f>INDEX(ra_ScName,MATCH(D1002,ra_ScNumber,0))</f>
        <v>Disclosed nominal return (incl actual asset revaluations)</v>
      </c>
      <c r="F1002" s="122">
        <v>0</v>
      </c>
      <c r="G1002" s="122">
        <v>0</v>
      </c>
      <c r="H1002" s="122">
        <v>0</v>
      </c>
      <c r="I1002" s="122">
        <v>0</v>
      </c>
      <c r="J1002" s="122">
        <v>0</v>
      </c>
      <c r="K1002" s="122">
        <v>0</v>
      </c>
      <c r="L1002" s="122">
        <v>0</v>
      </c>
      <c r="M1002" s="122">
        <v>0</v>
      </c>
      <c r="N1002" s="122">
        <v>0</v>
      </c>
      <c r="O1002" s="122">
        <v>0</v>
      </c>
      <c r="P1002" s="122">
        <v>0</v>
      </c>
      <c r="Q1002" s="122">
        <v>0</v>
      </c>
      <c r="R1002" s="122">
        <v>0</v>
      </c>
      <c r="S1002" s="122">
        <v>0</v>
      </c>
      <c r="T1002" s="122">
        <v>0</v>
      </c>
      <c r="U1002" s="122">
        <v>0</v>
      </c>
      <c r="V1002" s="122">
        <v>0</v>
      </c>
      <c r="W1002" s="122">
        <v>0</v>
      </c>
      <c r="X1002" s="122">
        <v>0</v>
      </c>
      <c r="Y1002" s="122">
        <v>0</v>
      </c>
      <c r="Z1002" s="122">
        <v>0</v>
      </c>
      <c r="AA1002" s="122">
        <v>0</v>
      </c>
      <c r="AB1002" s="122">
        <v>0</v>
      </c>
      <c r="AC1002" s="122">
        <v>0</v>
      </c>
      <c r="AD1002" s="122">
        <v>0</v>
      </c>
      <c r="AE1002" s="122">
        <v>0</v>
      </c>
      <c r="AF1002" s="122">
        <v>0</v>
      </c>
      <c r="AG1002" s="122">
        <v>0</v>
      </c>
      <c r="AH1002" s="122">
        <v>0</v>
      </c>
      <c r="AI1002" s="117">
        <f>SUM(F1002:AH1002)</f>
        <v>0</v>
      </c>
      <c r="AJ1002" s="117">
        <f>SUM(F1002:U1002)</f>
        <v>0</v>
      </c>
      <c r="AK1002" s="117">
        <f>SUM(W1002:AH1002)</f>
        <v>0</v>
      </c>
      <c r="AL1002" s="4"/>
      <c r="AM1002" s="127" t="b">
        <f>IF(INDEX($AO1002:$BM1002,0,$F$14)=1,TRUE,FALSE)</f>
        <v>1</v>
      </c>
      <c r="AN1002" s="127" t="str">
        <f>IF(AM1002,A1002&amp;", "&amp;B1002,"")</f>
        <v>Clawback &amp; NPV adjustment to line charge revenue, 2010/11</v>
      </c>
      <c r="AO1002" s="129"/>
      <c r="AP1002" s="129"/>
      <c r="AQ1002" s="129">
        <v>1</v>
      </c>
      <c r="AR1002" s="129">
        <v>1</v>
      </c>
      <c r="AS1002" s="129">
        <v>1</v>
      </c>
      <c r="AT1002" s="129">
        <v>1</v>
      </c>
      <c r="AU1002" s="129">
        <v>1</v>
      </c>
      <c r="AV1002" s="129">
        <v>1</v>
      </c>
      <c r="AW1002" s="129">
        <v>1</v>
      </c>
      <c r="AX1002" s="197">
        <v>1</v>
      </c>
      <c r="AY1002" s="197"/>
      <c r="AZ1002" s="197"/>
      <c r="BA1002" s="197"/>
      <c r="BB1002" s="129"/>
      <c r="BC1002" s="129"/>
      <c r="BD1002" s="129"/>
      <c r="BE1002" s="129"/>
      <c r="BF1002" s="129"/>
      <c r="BG1002" s="129"/>
      <c r="BH1002" s="129"/>
      <c r="BI1002" s="129"/>
      <c r="BJ1002" s="129"/>
      <c r="BK1002" s="129"/>
      <c r="BL1002" s="129">
        <v>1</v>
      </c>
      <c r="BM1002" s="197">
        <v>1</v>
      </c>
    </row>
    <row r="1003" spans="1:65" x14ac:dyDescent="0.25">
      <c r="A1003" s="170" t="s">
        <v>398</v>
      </c>
      <c r="B1003" s="171" t="s">
        <v>24</v>
      </c>
      <c r="C1003" s="172" t="s">
        <v>222</v>
      </c>
      <c r="D1003" s="161">
        <v>10</v>
      </c>
      <c r="E1003" s="29" t="str">
        <f>INDEX(ra_ScName,MATCH(D1003,ra_ScNumber,0))</f>
        <v>Disclosed nominal return (incl actual asset revaluations)</v>
      </c>
      <c r="F1003" s="122">
        <v>0</v>
      </c>
      <c r="G1003" s="122">
        <v>0</v>
      </c>
      <c r="H1003" s="122">
        <v>0</v>
      </c>
      <c r="I1003" s="122">
        <v>0</v>
      </c>
      <c r="J1003" s="122">
        <v>0</v>
      </c>
      <c r="K1003" s="122">
        <v>0</v>
      </c>
      <c r="L1003" s="122">
        <v>0</v>
      </c>
      <c r="M1003" s="122">
        <v>0</v>
      </c>
      <c r="N1003" s="122">
        <v>0</v>
      </c>
      <c r="O1003" s="122">
        <v>0</v>
      </c>
      <c r="P1003" s="122">
        <v>0</v>
      </c>
      <c r="Q1003" s="122">
        <v>0</v>
      </c>
      <c r="R1003" s="122">
        <v>0</v>
      </c>
      <c r="S1003" s="122">
        <v>0</v>
      </c>
      <c r="T1003" s="122">
        <v>0</v>
      </c>
      <c r="U1003" s="122">
        <v>0</v>
      </c>
      <c r="V1003" s="122">
        <v>0</v>
      </c>
      <c r="W1003" s="122">
        <v>0</v>
      </c>
      <c r="X1003" s="122">
        <v>0</v>
      </c>
      <c r="Y1003" s="122">
        <v>0</v>
      </c>
      <c r="Z1003" s="122">
        <v>0</v>
      </c>
      <c r="AA1003" s="122">
        <v>0</v>
      </c>
      <c r="AB1003" s="122">
        <v>0</v>
      </c>
      <c r="AC1003" s="122">
        <v>0</v>
      </c>
      <c r="AD1003" s="122">
        <v>0</v>
      </c>
      <c r="AE1003" s="122">
        <v>0</v>
      </c>
      <c r="AF1003" s="122">
        <v>0</v>
      </c>
      <c r="AG1003" s="122">
        <v>0</v>
      </c>
      <c r="AH1003" s="122">
        <v>0</v>
      </c>
      <c r="AI1003" s="117">
        <f>SUM(F1003:AH1003)</f>
        <v>0</v>
      </c>
      <c r="AJ1003" s="117">
        <f>SUM(F1003:U1003)</f>
        <v>0</v>
      </c>
      <c r="AK1003" s="117">
        <f>SUM(W1003:AH1003)</f>
        <v>0</v>
      </c>
      <c r="AL1003" s="4"/>
      <c r="AM1003" s="127" t="b">
        <f>IF(INDEX($AO1003:$BM1003,0,$F$14)=1,TRUE,FALSE)</f>
        <v>1</v>
      </c>
      <c r="AN1003" s="127" t="str">
        <f>IF(AM1003,A1003&amp;", "&amp;B1003,"")</f>
        <v>Clawback &amp; NPV adjustment to line charge revenue, 2011/12</v>
      </c>
      <c r="AO1003" s="129"/>
      <c r="AP1003" s="129"/>
      <c r="AQ1003" s="129">
        <v>1</v>
      </c>
      <c r="AR1003" s="129">
        <v>1</v>
      </c>
      <c r="AS1003" s="129">
        <v>1</v>
      </c>
      <c r="AT1003" s="129">
        <v>1</v>
      </c>
      <c r="AU1003" s="129">
        <v>1</v>
      </c>
      <c r="AV1003" s="129">
        <v>1</v>
      </c>
      <c r="AW1003" s="129">
        <v>1</v>
      </c>
      <c r="AX1003" s="197">
        <v>1</v>
      </c>
      <c r="AY1003" s="197"/>
      <c r="AZ1003" s="197"/>
      <c r="BA1003" s="197"/>
      <c r="BB1003" s="129"/>
      <c r="BC1003" s="129"/>
      <c r="BD1003" s="129"/>
      <c r="BE1003" s="129"/>
      <c r="BF1003" s="129"/>
      <c r="BG1003" s="129"/>
      <c r="BH1003" s="129"/>
      <c r="BI1003" s="129"/>
      <c r="BJ1003" s="129"/>
      <c r="BK1003" s="129"/>
      <c r="BL1003" s="129">
        <v>1</v>
      </c>
      <c r="BM1003" s="197">
        <v>1</v>
      </c>
    </row>
    <row r="1004" spans="1:65" x14ac:dyDescent="0.25">
      <c r="A1004" s="170" t="s">
        <v>398</v>
      </c>
      <c r="B1004" s="171" t="s">
        <v>25</v>
      </c>
      <c r="C1004" s="172" t="s">
        <v>222</v>
      </c>
      <c r="D1004" s="161">
        <v>10</v>
      </c>
      <c r="E1004" s="29" t="str">
        <f>INDEX(ra_ScName,MATCH(D1004,ra_ScNumber,0))</f>
        <v>Disclosed nominal return (incl actual asset revaluations)</v>
      </c>
      <c r="F1004" s="122">
        <v>0</v>
      </c>
      <c r="G1004" s="122">
        <v>0</v>
      </c>
      <c r="H1004" s="122">
        <v>0</v>
      </c>
      <c r="I1004" s="122">
        <v>0</v>
      </c>
      <c r="J1004" s="122">
        <v>0</v>
      </c>
      <c r="K1004" s="122">
        <v>0</v>
      </c>
      <c r="L1004" s="122">
        <v>0</v>
      </c>
      <c r="M1004" s="122">
        <v>0</v>
      </c>
      <c r="N1004" s="122">
        <v>0</v>
      </c>
      <c r="O1004" s="122">
        <v>0</v>
      </c>
      <c r="P1004" s="122">
        <v>0</v>
      </c>
      <c r="Q1004" s="122">
        <v>0</v>
      </c>
      <c r="R1004" s="122">
        <v>0</v>
      </c>
      <c r="S1004" s="122">
        <v>0</v>
      </c>
      <c r="T1004" s="122">
        <v>0</v>
      </c>
      <c r="U1004" s="122">
        <v>0</v>
      </c>
      <c r="V1004" s="122">
        <v>0</v>
      </c>
      <c r="W1004" s="122">
        <v>0</v>
      </c>
      <c r="X1004" s="122">
        <v>0</v>
      </c>
      <c r="Y1004" s="122">
        <v>0</v>
      </c>
      <c r="Z1004" s="122">
        <v>0</v>
      </c>
      <c r="AA1004" s="122">
        <v>0</v>
      </c>
      <c r="AB1004" s="122">
        <v>0</v>
      </c>
      <c r="AC1004" s="122">
        <v>0</v>
      </c>
      <c r="AD1004" s="122">
        <v>0</v>
      </c>
      <c r="AE1004" s="122">
        <v>0</v>
      </c>
      <c r="AF1004" s="122">
        <v>0</v>
      </c>
      <c r="AG1004" s="122">
        <v>0</v>
      </c>
      <c r="AH1004" s="122">
        <v>0</v>
      </c>
      <c r="AI1004" s="117">
        <f>SUM(F1004:AH1004)</f>
        <v>0</v>
      </c>
      <c r="AJ1004" s="117">
        <f>SUM(F1004:U1004)</f>
        <v>0</v>
      </c>
      <c r="AK1004" s="117">
        <f>SUM(W1004:AH1004)</f>
        <v>0</v>
      </c>
      <c r="AL1004" s="4"/>
      <c r="AM1004" s="127" t="b">
        <f>IF(INDEX($AO1004:$BM1004,0,$F$14)=1,TRUE,FALSE)</f>
        <v>1</v>
      </c>
      <c r="AN1004" s="127" t="str">
        <f>IF(AM1004,A1004&amp;", "&amp;B1004,"")</f>
        <v>Clawback &amp; NPV adjustment to line charge revenue, 2012/13</v>
      </c>
      <c r="AO1004" s="129"/>
      <c r="AP1004" s="129"/>
      <c r="AQ1004" s="129">
        <v>1</v>
      </c>
      <c r="AR1004" s="129">
        <v>1</v>
      </c>
      <c r="AS1004" s="129">
        <v>1</v>
      </c>
      <c r="AT1004" s="129">
        <v>1</v>
      </c>
      <c r="AU1004" s="129">
        <v>1</v>
      </c>
      <c r="AV1004" s="129">
        <v>1</v>
      </c>
      <c r="AW1004" s="129">
        <v>1</v>
      </c>
      <c r="AX1004" s="197">
        <v>1</v>
      </c>
      <c r="AY1004" s="197"/>
      <c r="AZ1004" s="197"/>
      <c r="BA1004" s="197"/>
      <c r="BB1004" s="129"/>
      <c r="BC1004" s="129"/>
      <c r="BD1004" s="129"/>
      <c r="BE1004" s="129"/>
      <c r="BF1004" s="129"/>
      <c r="BG1004" s="129"/>
      <c r="BH1004" s="129"/>
      <c r="BI1004" s="129"/>
      <c r="BJ1004" s="129"/>
      <c r="BK1004" s="129"/>
      <c r="BL1004" s="129">
        <v>1</v>
      </c>
      <c r="BM1004" s="197">
        <v>1</v>
      </c>
    </row>
    <row r="1005" spans="1:65" x14ac:dyDescent="0.25">
      <c r="A1005" s="170" t="s">
        <v>398</v>
      </c>
      <c r="B1005" s="171" t="s">
        <v>26</v>
      </c>
      <c r="C1005" s="172" t="s">
        <v>222</v>
      </c>
      <c r="D1005" s="161">
        <v>10</v>
      </c>
      <c r="E1005" s="29" t="str">
        <f>INDEX(ra_ScName,MATCH(D1005,ra_ScNumber,0))</f>
        <v>Disclosed nominal return (incl actual asset revaluations)</v>
      </c>
      <c r="F1005" s="122">
        <v>0</v>
      </c>
      <c r="G1005" s="122">
        <v>0</v>
      </c>
      <c r="H1005" s="122">
        <v>0</v>
      </c>
      <c r="I1005" s="122">
        <v>0</v>
      </c>
      <c r="J1005" s="122">
        <v>0</v>
      </c>
      <c r="K1005" s="122">
        <v>0</v>
      </c>
      <c r="L1005" s="122">
        <v>0</v>
      </c>
      <c r="M1005" s="122">
        <v>0</v>
      </c>
      <c r="N1005" s="122">
        <v>0</v>
      </c>
      <c r="O1005" s="122">
        <v>0</v>
      </c>
      <c r="P1005" s="122">
        <v>0</v>
      </c>
      <c r="Q1005" s="122">
        <v>0</v>
      </c>
      <c r="R1005" s="122">
        <v>0</v>
      </c>
      <c r="S1005" s="122">
        <v>0</v>
      </c>
      <c r="T1005" s="122">
        <v>0</v>
      </c>
      <c r="U1005" s="122">
        <v>0</v>
      </c>
      <c r="V1005" s="122">
        <v>0</v>
      </c>
      <c r="W1005" s="122">
        <v>0</v>
      </c>
      <c r="X1005" s="122">
        <v>0</v>
      </c>
      <c r="Y1005" s="122">
        <v>0</v>
      </c>
      <c r="Z1005" s="122">
        <v>0</v>
      </c>
      <c r="AA1005" s="122">
        <v>0</v>
      </c>
      <c r="AB1005" s="122">
        <v>0</v>
      </c>
      <c r="AC1005" s="122">
        <v>0</v>
      </c>
      <c r="AD1005" s="122">
        <v>0</v>
      </c>
      <c r="AE1005" s="122">
        <v>0</v>
      </c>
      <c r="AF1005" s="122">
        <v>0</v>
      </c>
      <c r="AG1005" s="122">
        <v>0</v>
      </c>
      <c r="AH1005" s="122">
        <v>0</v>
      </c>
      <c r="AI1005" s="117">
        <f>SUM(F1005:AH1005)</f>
        <v>0</v>
      </c>
      <c r="AJ1005" s="117">
        <f>SUM(F1005:U1005)</f>
        <v>0</v>
      </c>
      <c r="AK1005" s="117">
        <f>SUM(W1005:AH1005)</f>
        <v>0</v>
      </c>
      <c r="AL1005" s="4"/>
      <c r="AM1005" s="127" t="b">
        <f>IF(INDEX($AO1005:$BM1005,0,$F$14)=1,TRUE,FALSE)</f>
        <v>1</v>
      </c>
      <c r="AN1005" s="127" t="str">
        <f>IF(AM1005,A1005&amp;", "&amp;B1005,"")</f>
        <v>Clawback &amp; NPV adjustment to line charge revenue, 2013/14</v>
      </c>
      <c r="AO1005" s="129"/>
      <c r="AP1005" s="129"/>
      <c r="AQ1005" s="129">
        <v>1</v>
      </c>
      <c r="AR1005" s="129">
        <v>1</v>
      </c>
      <c r="AS1005" s="129">
        <v>1</v>
      </c>
      <c r="AT1005" s="129">
        <v>1</v>
      </c>
      <c r="AU1005" s="129">
        <v>1</v>
      </c>
      <c r="AV1005" s="129">
        <v>1</v>
      </c>
      <c r="AW1005" s="129">
        <v>1</v>
      </c>
      <c r="AX1005" s="197">
        <v>1</v>
      </c>
      <c r="AY1005" s="197"/>
      <c r="AZ1005" s="197"/>
      <c r="BA1005" s="197"/>
      <c r="BB1005" s="129"/>
      <c r="BC1005" s="129"/>
      <c r="BD1005" s="129"/>
      <c r="BE1005" s="129"/>
      <c r="BF1005" s="129"/>
      <c r="BG1005" s="129"/>
      <c r="BH1005" s="129"/>
      <c r="BI1005" s="129"/>
      <c r="BJ1005" s="129"/>
      <c r="BK1005" s="129"/>
      <c r="BL1005" s="129">
        <v>1</v>
      </c>
      <c r="BM1005" s="197">
        <v>1</v>
      </c>
    </row>
    <row r="1006" spans="1:65" x14ac:dyDescent="0.25">
      <c r="A1006" s="170" t="s">
        <v>398</v>
      </c>
      <c r="B1006" s="171" t="s">
        <v>27</v>
      </c>
      <c r="C1006" s="172" t="s">
        <v>225</v>
      </c>
      <c r="D1006" s="161">
        <v>10</v>
      </c>
      <c r="E1006" s="29" t="str">
        <f>INDEX(ra_ScName,MATCH(D1006,ra_ScNumber,0))</f>
        <v>Disclosed nominal return (incl actual asset revaluations)</v>
      </c>
      <c r="F1006" s="122">
        <v>24192.493086175298</v>
      </c>
      <c r="G1006" s="122">
        <v>0</v>
      </c>
      <c r="H1006" s="122">
        <v>3047.8158457967902</v>
      </c>
      <c r="I1006" s="122">
        <v>0</v>
      </c>
      <c r="J1006" s="122">
        <v>0</v>
      </c>
      <c r="K1006" s="122">
        <v>0</v>
      </c>
      <c r="L1006" s="122">
        <v>0</v>
      </c>
      <c r="M1006" s="122">
        <v>0</v>
      </c>
      <c r="N1006" s="122">
        <v>0</v>
      </c>
      <c r="O1006" s="122">
        <v>0</v>
      </c>
      <c r="P1006" s="122">
        <v>0</v>
      </c>
      <c r="Q1006" s="122">
        <v>0</v>
      </c>
      <c r="R1006" s="122">
        <v>10350.40544655532</v>
      </c>
      <c r="S1006" s="122">
        <v>9754.4521722234094</v>
      </c>
      <c r="T1006" s="122">
        <v>0</v>
      </c>
      <c r="U1006" s="122">
        <v>0</v>
      </c>
      <c r="V1006" s="122">
        <v>0</v>
      </c>
      <c r="W1006" s="122">
        <v>0</v>
      </c>
      <c r="X1006" s="122">
        <v>0</v>
      </c>
      <c r="Y1006" s="122">
        <v>0</v>
      </c>
      <c r="Z1006" s="122">
        <v>0</v>
      </c>
      <c r="AA1006" s="122">
        <v>0</v>
      </c>
      <c r="AB1006" s="122">
        <v>0</v>
      </c>
      <c r="AC1006" s="122">
        <v>0</v>
      </c>
      <c r="AD1006" s="122">
        <v>0</v>
      </c>
      <c r="AE1006" s="122">
        <v>0</v>
      </c>
      <c r="AF1006" s="122">
        <v>0</v>
      </c>
      <c r="AG1006" s="122">
        <v>0</v>
      </c>
      <c r="AH1006" s="122">
        <v>0</v>
      </c>
      <c r="AI1006" s="117">
        <f>SUM(F1006:AH1006)</f>
        <v>47345.166550750815</v>
      </c>
      <c r="AJ1006" s="117">
        <f>SUM(F1006:U1006)</f>
        <v>47345.166550750815</v>
      </c>
      <c r="AK1006" s="117">
        <f>SUM(W1006:AH1006)</f>
        <v>0</v>
      </c>
      <c r="AL1006" s="4"/>
      <c r="AM1006" s="127" t="b">
        <f>IF(INDEX($AO1006:$BM1006,0,$F$14)=1,TRUE,FALSE)</f>
        <v>1</v>
      </c>
      <c r="AN1006" s="127" t="str">
        <f>IF(AM1006,A1006&amp;", "&amp;B1006,"")</f>
        <v>Clawback &amp; NPV adjustment to line charge revenue, 2014/15</v>
      </c>
      <c r="AO1006" s="129"/>
      <c r="AP1006" s="129"/>
      <c r="AQ1006" s="129">
        <v>1</v>
      </c>
      <c r="AR1006" s="129">
        <v>1</v>
      </c>
      <c r="AS1006" s="129">
        <v>1</v>
      </c>
      <c r="AT1006" s="129">
        <v>1</v>
      </c>
      <c r="AU1006" s="129">
        <v>1</v>
      </c>
      <c r="AV1006" s="129">
        <v>1</v>
      </c>
      <c r="AW1006" s="129">
        <v>1</v>
      </c>
      <c r="AX1006" s="197">
        <v>1</v>
      </c>
      <c r="AY1006" s="197"/>
      <c r="AZ1006" s="197"/>
      <c r="BA1006" s="197"/>
      <c r="BB1006" s="129"/>
      <c r="BC1006" s="129"/>
      <c r="BD1006" s="129"/>
      <c r="BE1006" s="129"/>
      <c r="BF1006" s="129"/>
      <c r="BG1006" s="129"/>
      <c r="BH1006" s="129"/>
      <c r="BI1006" s="129"/>
      <c r="BJ1006" s="129"/>
      <c r="BK1006" s="129"/>
      <c r="BL1006" s="129">
        <v>1</v>
      </c>
      <c r="BM1006" s="197">
        <v>1</v>
      </c>
    </row>
    <row r="1007" spans="1:65" x14ac:dyDescent="0.25">
      <c r="A1007" s="153"/>
      <c r="B1007" s="153"/>
      <c r="C1007" s="172"/>
      <c r="D1007" s="131"/>
      <c r="E1007" s="29"/>
      <c r="F1007" s="54"/>
      <c r="G1007" s="54"/>
      <c r="H1007" s="54"/>
      <c r="I1007" s="54"/>
      <c r="J1007" s="54"/>
      <c r="K1007" s="54"/>
      <c r="L1007" s="54"/>
      <c r="M1007" s="54"/>
      <c r="N1007" s="54"/>
      <c r="O1007" s="54"/>
      <c r="P1007" s="54"/>
      <c r="Q1007" s="54"/>
      <c r="R1007" s="54"/>
      <c r="S1007" s="54"/>
      <c r="T1007" s="54"/>
      <c r="U1007" s="54"/>
      <c r="V1007" s="54"/>
      <c r="W1007" s="54"/>
      <c r="X1007" s="54"/>
      <c r="Y1007" s="54"/>
      <c r="Z1007" s="54"/>
      <c r="AA1007" s="54"/>
      <c r="AB1007" s="54"/>
      <c r="AC1007" s="54"/>
      <c r="AD1007" s="54"/>
      <c r="AE1007" s="54"/>
      <c r="AF1007" s="54"/>
      <c r="AG1007" s="54"/>
      <c r="AH1007" s="54"/>
      <c r="AI1007" s="117"/>
      <c r="AJ1007" s="117"/>
      <c r="AK1007" s="117"/>
      <c r="AL1007" s="4"/>
      <c r="AM1007" s="127"/>
      <c r="AN1007" s="127"/>
      <c r="AO1007" s="129"/>
      <c r="AP1007" s="129"/>
      <c r="AQ1007" s="129"/>
      <c r="AR1007" s="129"/>
      <c r="AS1007" s="129"/>
      <c r="AT1007" s="129"/>
      <c r="AU1007" s="129"/>
      <c r="AV1007" s="129"/>
      <c r="AW1007" s="129"/>
      <c r="AX1007" s="197"/>
      <c r="AY1007" s="197"/>
      <c r="AZ1007" s="197"/>
      <c r="BA1007" s="197"/>
      <c r="BB1007" s="129"/>
      <c r="BC1007" s="129"/>
      <c r="BD1007" s="129"/>
      <c r="BE1007" s="129"/>
      <c r="BF1007" s="129"/>
      <c r="BG1007" s="129"/>
      <c r="BH1007" s="129"/>
      <c r="BI1007" s="129"/>
      <c r="BJ1007" s="129"/>
      <c r="BK1007" s="129"/>
      <c r="BL1007" s="129"/>
      <c r="BM1007" s="197"/>
    </row>
    <row r="1008" spans="1:65" x14ac:dyDescent="0.25">
      <c r="A1008" s="4"/>
      <c r="B1008" s="4"/>
      <c r="C1008" s="172"/>
      <c r="D1008" s="131"/>
      <c r="E1008" s="29"/>
      <c r="F1008" s="54"/>
      <c r="G1008" s="54"/>
      <c r="H1008" s="54"/>
      <c r="I1008" s="54"/>
      <c r="J1008" s="54"/>
      <c r="K1008" s="54"/>
      <c r="L1008" s="54"/>
      <c r="M1008" s="54"/>
      <c r="N1008" s="54"/>
      <c r="O1008" s="54"/>
      <c r="P1008" s="54"/>
      <c r="Q1008" s="54"/>
      <c r="R1008" s="54"/>
      <c r="S1008" s="54"/>
      <c r="T1008" s="54"/>
      <c r="U1008" s="54"/>
      <c r="V1008" s="54"/>
      <c r="W1008" s="54"/>
      <c r="X1008" s="54"/>
      <c r="Y1008" s="54"/>
      <c r="Z1008" s="54"/>
      <c r="AA1008" s="54"/>
      <c r="AB1008" s="54"/>
      <c r="AC1008" s="54"/>
      <c r="AD1008" s="54"/>
      <c r="AE1008" s="54"/>
      <c r="AF1008" s="54"/>
      <c r="AG1008" s="54"/>
      <c r="AH1008" s="54"/>
      <c r="AI1008" s="117"/>
      <c r="AJ1008" s="117"/>
      <c r="AK1008" s="117"/>
      <c r="AL1008" s="4"/>
      <c r="AM1008" s="127"/>
      <c r="AN1008" s="127"/>
      <c r="AO1008" s="129"/>
      <c r="AP1008" s="129"/>
      <c r="AQ1008" s="129"/>
      <c r="AR1008" s="129"/>
      <c r="AS1008" s="129"/>
      <c r="AT1008" s="129"/>
      <c r="AU1008" s="129"/>
      <c r="AV1008" s="129"/>
      <c r="AW1008" s="129"/>
      <c r="AX1008" s="197"/>
      <c r="AY1008" s="197"/>
      <c r="AZ1008" s="197"/>
      <c r="BA1008" s="197"/>
      <c r="BB1008" s="129"/>
      <c r="BC1008" s="129"/>
      <c r="BD1008" s="129"/>
      <c r="BE1008" s="129"/>
      <c r="BF1008" s="129"/>
      <c r="BG1008" s="129"/>
      <c r="BH1008" s="129"/>
      <c r="BI1008" s="129"/>
      <c r="BJ1008" s="129"/>
      <c r="BK1008" s="129"/>
      <c r="BL1008" s="129"/>
      <c r="BM1008" s="197"/>
    </row>
    <row r="1009" spans="1:65" s="4" customFormat="1" x14ac:dyDescent="0.25">
      <c r="A1009" s="179" t="s">
        <v>155</v>
      </c>
      <c r="B1009" s="179" t="s">
        <v>25</v>
      </c>
      <c r="C1009" s="179" t="s">
        <v>387</v>
      </c>
      <c r="D1009" s="161">
        <v>11</v>
      </c>
      <c r="E1009" s="179" t="str">
        <f>INDEX(ra_ScName,MATCH(D1009,ra_ScNumber,0))</f>
        <v>With reset</v>
      </c>
      <c r="F1009" s="122">
        <v>38355.969232477095</v>
      </c>
      <c r="G1009" s="122">
        <v>87253.39363361767</v>
      </c>
      <c r="H1009" s="122">
        <v>10866.375884058798</v>
      </c>
      <c r="I1009" s="122">
        <v>31474.28780523613</v>
      </c>
      <c r="J1009" s="122">
        <v>32966.440248413746</v>
      </c>
      <c r="K1009" s="122">
        <v>18131.62093078444</v>
      </c>
      <c r="L1009" s="122">
        <v>30075.598335689883</v>
      </c>
      <c r="M1009" s="122">
        <v>9814.016999999998</v>
      </c>
      <c r="N1009" s="122">
        <v>38465.321582454555</v>
      </c>
      <c r="O1009" s="122">
        <v>31575.046862022064</v>
      </c>
      <c r="P1009" s="122">
        <v>323332.55178975052</v>
      </c>
      <c r="Q1009" s="122">
        <v>34912.468898336563</v>
      </c>
      <c r="R1009" s="122">
        <v>36706.285557111216</v>
      </c>
      <c r="S1009" s="122">
        <v>119405.57493155802</v>
      </c>
      <c r="T1009" s="122">
        <v>603470.14068742306</v>
      </c>
      <c r="U1009" s="122">
        <v>160259.89016518235</v>
      </c>
      <c r="V1009" s="54"/>
      <c r="W1009" s="54"/>
      <c r="X1009" s="54"/>
      <c r="Y1009" s="54"/>
      <c r="Z1009" s="54"/>
      <c r="AA1009" s="54"/>
      <c r="AB1009" s="54"/>
      <c r="AC1009" s="54"/>
      <c r="AD1009" s="54"/>
      <c r="AE1009" s="54"/>
      <c r="AF1009" s="54"/>
      <c r="AG1009" s="54"/>
      <c r="AH1009" s="54"/>
      <c r="AI1009" s="117">
        <f>SUM(F1009:AH1009)</f>
        <v>1607064.9835441159</v>
      </c>
      <c r="AJ1009" s="117">
        <f>SUM(F1009:U1009)</f>
        <v>1607064.9835441159</v>
      </c>
      <c r="AK1009" s="117">
        <f>SUM(W1009:AH1009)</f>
        <v>0</v>
      </c>
      <c r="AM1009" s="127" t="b">
        <f>IF(INDEX($AO1009:$BM1009,0,$F$14)=1,TRUE,FALSE)</f>
        <v>0</v>
      </c>
      <c r="AN1009" s="127" t="str">
        <f>IF(AM1009,A1009&amp;", "&amp;B1009,"")</f>
        <v/>
      </c>
      <c r="AO1009" s="129"/>
      <c r="AP1009" s="129"/>
      <c r="AQ1009" s="129"/>
      <c r="AR1009" s="129"/>
      <c r="AS1009" s="129"/>
      <c r="AT1009" s="129"/>
      <c r="AU1009" s="129"/>
      <c r="AV1009" s="129"/>
      <c r="AW1009" s="129"/>
      <c r="AX1009" s="197"/>
      <c r="AY1009" s="197">
        <v>1</v>
      </c>
      <c r="AZ1009" s="197"/>
      <c r="BA1009" s="197"/>
      <c r="BB1009" s="129"/>
      <c r="BC1009" s="129"/>
      <c r="BD1009" s="129"/>
      <c r="BE1009" s="129"/>
      <c r="BF1009" s="129"/>
      <c r="BG1009" s="129"/>
      <c r="BH1009" s="129"/>
      <c r="BI1009" s="129"/>
      <c r="BJ1009" s="129"/>
      <c r="BK1009" s="129"/>
      <c r="BL1009" s="129"/>
      <c r="BM1009" s="197"/>
    </row>
    <row r="1010" spans="1:65" s="4" customFormat="1" x14ac:dyDescent="0.25">
      <c r="A1010" s="179" t="s">
        <v>155</v>
      </c>
      <c r="B1010" s="179" t="s">
        <v>26</v>
      </c>
      <c r="C1010" s="179" t="s">
        <v>387</v>
      </c>
      <c r="D1010" s="161">
        <v>11</v>
      </c>
      <c r="E1010" s="179" t="str">
        <f>INDEX(ra_ScName,MATCH(D1010,ra_ScNumber,0))</f>
        <v>With reset</v>
      </c>
      <c r="F1010" s="122">
        <v>43338.138641323108</v>
      </c>
      <c r="G1010" s="122">
        <v>84874.072634097683</v>
      </c>
      <c r="H1010" s="122">
        <v>11446.092104519066</v>
      </c>
      <c r="I1010" s="122">
        <v>31599.039911190055</v>
      </c>
      <c r="J1010" s="122">
        <v>37569.653912933907</v>
      </c>
      <c r="K1010" s="122">
        <v>17883.494924664374</v>
      </c>
      <c r="L1010" s="122">
        <v>30244.997442470358</v>
      </c>
      <c r="M1010" s="122">
        <v>9865.9028266040332</v>
      </c>
      <c r="N1010" s="122">
        <v>42347.560347746352</v>
      </c>
      <c r="O1010" s="122">
        <v>33089.627610392519</v>
      </c>
      <c r="P1010" s="122">
        <v>340045.48766499886</v>
      </c>
      <c r="Q1010" s="122">
        <v>41604.060638727533</v>
      </c>
      <c r="R1010" s="122">
        <v>39894.997506874563</v>
      </c>
      <c r="S1010" s="122">
        <v>124169.23380193506</v>
      </c>
      <c r="T1010" s="122">
        <v>580762.64371262235</v>
      </c>
      <c r="U1010" s="122">
        <v>163458.92777106524</v>
      </c>
      <c r="V1010" s="54"/>
      <c r="W1010" s="54"/>
      <c r="X1010" s="54"/>
      <c r="Y1010" s="54"/>
      <c r="Z1010" s="54"/>
      <c r="AA1010" s="54"/>
      <c r="AB1010" s="54"/>
      <c r="AC1010" s="54"/>
      <c r="AD1010" s="54"/>
      <c r="AE1010" s="54"/>
      <c r="AF1010" s="54"/>
      <c r="AG1010" s="54"/>
      <c r="AH1010" s="54"/>
      <c r="AI1010" s="117">
        <f>SUM(F1010:AH1010)</f>
        <v>1632193.9314521651</v>
      </c>
      <c r="AJ1010" s="117">
        <f>SUM(F1010:U1010)</f>
        <v>1632193.9314521651</v>
      </c>
      <c r="AK1010" s="117">
        <f>SUM(W1010:AH1010)</f>
        <v>0</v>
      </c>
      <c r="AM1010" s="127" t="b">
        <f>IF(INDEX($AO1010:$BM1010,0,$F$14)=1,TRUE,FALSE)</f>
        <v>0</v>
      </c>
      <c r="AN1010" s="127" t="str">
        <f>IF(AM1010,A1010&amp;", "&amp;B1010,"")</f>
        <v/>
      </c>
      <c r="AO1010" s="129"/>
      <c r="AP1010" s="129"/>
      <c r="AQ1010" s="129"/>
      <c r="AR1010" s="129"/>
      <c r="AS1010" s="129"/>
      <c r="AT1010" s="129"/>
      <c r="AU1010" s="129"/>
      <c r="AV1010" s="129"/>
      <c r="AW1010" s="129"/>
      <c r="AX1010" s="197"/>
      <c r="AY1010" s="197">
        <v>1</v>
      </c>
      <c r="AZ1010" s="197"/>
      <c r="BA1010" s="197"/>
      <c r="BB1010" s="129"/>
      <c r="BC1010" s="129"/>
      <c r="BD1010" s="129"/>
      <c r="BE1010" s="129"/>
      <c r="BF1010" s="129"/>
      <c r="BG1010" s="129"/>
      <c r="BH1010" s="129"/>
      <c r="BI1010" s="129"/>
      <c r="BJ1010" s="129"/>
      <c r="BK1010" s="129"/>
      <c r="BL1010" s="129"/>
      <c r="BM1010" s="197"/>
    </row>
    <row r="1011" spans="1:65" s="4" customFormat="1" x14ac:dyDescent="0.25">
      <c r="A1011" s="179" t="s">
        <v>155</v>
      </c>
      <c r="B1011" s="179" t="s">
        <v>27</v>
      </c>
      <c r="C1011" s="179" t="s">
        <v>387</v>
      </c>
      <c r="D1011" s="161">
        <v>11</v>
      </c>
      <c r="E1011" s="179" t="str">
        <f>INDEX(ra_ScName,MATCH(D1011,ra_ScNumber,0))</f>
        <v>With reset</v>
      </c>
      <c r="F1011" s="122">
        <v>74946.319441984306</v>
      </c>
      <c r="G1011" s="122">
        <v>93254.530266672227</v>
      </c>
      <c r="H1011" s="122">
        <v>15633.793730656495</v>
      </c>
      <c r="I1011" s="122">
        <v>33178.492228732473</v>
      </c>
      <c r="J1011" s="122">
        <v>42605.935152722748</v>
      </c>
      <c r="K1011" s="122">
        <v>20028.349618644483</v>
      </c>
      <c r="L1011" s="122">
        <v>31952.161032128588</v>
      </c>
      <c r="M1011" s="122">
        <v>10734.584533996427</v>
      </c>
      <c r="N1011" s="122">
        <v>45552.889132429176</v>
      </c>
      <c r="O1011" s="122">
        <v>35631.738102286363</v>
      </c>
      <c r="P1011" s="122">
        <v>360280.89188726997</v>
      </c>
      <c r="Q1011" s="122">
        <v>46023.845386047804</v>
      </c>
      <c r="R1011" s="122">
        <v>54312.111856765914</v>
      </c>
      <c r="S1011" s="122">
        <v>148986.8389646502</v>
      </c>
      <c r="T1011" s="122">
        <v>609416.73337635584</v>
      </c>
      <c r="U1011" s="122">
        <v>182608.2319468575</v>
      </c>
      <c r="V1011" s="54"/>
      <c r="W1011" s="54"/>
      <c r="X1011" s="54"/>
      <c r="Y1011" s="54"/>
      <c r="Z1011" s="54"/>
      <c r="AA1011" s="54"/>
      <c r="AB1011" s="54"/>
      <c r="AC1011" s="54"/>
      <c r="AD1011" s="54"/>
      <c r="AE1011" s="54"/>
      <c r="AF1011" s="54"/>
      <c r="AG1011" s="54"/>
      <c r="AH1011" s="54"/>
      <c r="AI1011" s="117">
        <f>SUM(F1011:AH1011)</f>
        <v>1805147.4466582004</v>
      </c>
      <c r="AJ1011" s="117">
        <f>SUM(F1011:U1011)</f>
        <v>1805147.4466582004</v>
      </c>
      <c r="AK1011" s="117">
        <f>SUM(W1011:AH1011)</f>
        <v>0</v>
      </c>
      <c r="AM1011" s="127" t="b">
        <f>IF(INDEX($AO1011:$BM1011,0,$F$14)=1,TRUE,FALSE)</f>
        <v>0</v>
      </c>
      <c r="AN1011" s="127" t="str">
        <f>IF(AM1011,A1011&amp;", "&amp;B1011,"")</f>
        <v/>
      </c>
      <c r="AO1011" s="129"/>
      <c r="AP1011" s="129"/>
      <c r="AQ1011" s="129"/>
      <c r="AR1011" s="129"/>
      <c r="AS1011" s="129"/>
      <c r="AT1011" s="129"/>
      <c r="AU1011" s="129"/>
      <c r="AV1011" s="129"/>
      <c r="AW1011" s="129"/>
      <c r="AX1011" s="197"/>
      <c r="AY1011" s="197">
        <v>1</v>
      </c>
      <c r="AZ1011" s="197"/>
      <c r="BA1011" s="197"/>
      <c r="BB1011" s="129"/>
      <c r="BC1011" s="129"/>
      <c r="BD1011" s="129"/>
      <c r="BE1011" s="129"/>
      <c r="BF1011" s="129"/>
      <c r="BG1011" s="129"/>
      <c r="BH1011" s="129"/>
      <c r="BI1011" s="129"/>
      <c r="BJ1011" s="129"/>
      <c r="BK1011" s="129"/>
      <c r="BL1011" s="129"/>
      <c r="BM1011" s="197"/>
    </row>
    <row r="1012" spans="1:65" s="4" customFormat="1" x14ac:dyDescent="0.25">
      <c r="A1012" s="179"/>
      <c r="B1012" s="179"/>
      <c r="C1012" s="179"/>
      <c r="D1012" s="161"/>
      <c r="E1012" s="179"/>
      <c r="F1012" s="54"/>
      <c r="G1012" s="54"/>
      <c r="H1012" s="54"/>
      <c r="I1012" s="54"/>
      <c r="J1012" s="54"/>
      <c r="K1012" s="54"/>
      <c r="L1012" s="54"/>
      <c r="M1012" s="54"/>
      <c r="N1012" s="54"/>
      <c r="O1012" s="54"/>
      <c r="P1012" s="54"/>
      <c r="Q1012" s="54"/>
      <c r="R1012" s="54"/>
      <c r="S1012" s="54"/>
      <c r="T1012" s="54"/>
      <c r="U1012" s="54"/>
      <c r="V1012" s="54"/>
      <c r="W1012" s="54"/>
      <c r="X1012" s="54"/>
      <c r="Y1012" s="54"/>
      <c r="Z1012" s="54"/>
      <c r="AA1012" s="54"/>
      <c r="AB1012" s="54"/>
      <c r="AC1012" s="54"/>
      <c r="AD1012" s="54"/>
      <c r="AE1012" s="54"/>
      <c r="AF1012" s="54"/>
      <c r="AG1012" s="54"/>
      <c r="AH1012" s="54"/>
      <c r="AI1012" s="117"/>
      <c r="AJ1012" s="117"/>
      <c r="AK1012" s="117"/>
      <c r="AM1012" s="127"/>
      <c r="AN1012" s="127"/>
      <c r="AO1012" s="129"/>
      <c r="AP1012" s="129"/>
      <c r="AQ1012" s="129"/>
      <c r="AR1012" s="129"/>
      <c r="AS1012" s="129"/>
      <c r="AT1012" s="129"/>
      <c r="AU1012" s="129"/>
      <c r="AV1012" s="129"/>
      <c r="AW1012" s="129"/>
      <c r="AX1012" s="197"/>
      <c r="AY1012" s="197"/>
      <c r="AZ1012" s="197"/>
      <c r="BA1012" s="197"/>
      <c r="BB1012" s="129"/>
      <c r="BC1012" s="129"/>
      <c r="BD1012" s="129"/>
      <c r="BE1012" s="129"/>
      <c r="BF1012" s="129"/>
      <c r="BG1012" s="129"/>
      <c r="BH1012" s="129"/>
      <c r="BI1012" s="129"/>
      <c r="BJ1012" s="129"/>
      <c r="BK1012" s="129"/>
      <c r="BL1012" s="129"/>
      <c r="BM1012" s="197"/>
    </row>
    <row r="1013" spans="1:65" s="4" customFormat="1" x14ac:dyDescent="0.25">
      <c r="A1013" s="179" t="s">
        <v>155</v>
      </c>
      <c r="B1013" s="179" t="s">
        <v>25</v>
      </c>
      <c r="C1013" s="179" t="s">
        <v>387</v>
      </c>
      <c r="D1013" s="161">
        <v>12</v>
      </c>
      <c r="E1013" s="179" t="str">
        <f>INDEX(ra_ScName,MATCH(D1013,ra_ScNumber,0))</f>
        <v>Without reset</v>
      </c>
      <c r="F1013" s="122">
        <v>38355.969232477095</v>
      </c>
      <c r="G1013" s="122">
        <v>87253.39363361767</v>
      </c>
      <c r="H1013" s="122">
        <v>10866.375884058798</v>
      </c>
      <c r="I1013" s="122">
        <v>31474.28780523613</v>
      </c>
      <c r="J1013" s="122">
        <v>32966.440248413746</v>
      </c>
      <c r="K1013" s="122">
        <v>18131.62093078444</v>
      </c>
      <c r="L1013" s="122">
        <v>30075.598335689883</v>
      </c>
      <c r="M1013" s="122">
        <v>9814.016999999998</v>
      </c>
      <c r="N1013" s="122">
        <v>38465.321582454555</v>
      </c>
      <c r="O1013" s="122">
        <v>31575.046862022064</v>
      </c>
      <c r="P1013" s="122">
        <v>323332.55178975052</v>
      </c>
      <c r="Q1013" s="122">
        <v>34912.468898336563</v>
      </c>
      <c r="R1013" s="122">
        <v>36706.285557111216</v>
      </c>
      <c r="S1013" s="122">
        <v>119405.57493155802</v>
      </c>
      <c r="T1013" s="122">
        <v>603470.14068742306</v>
      </c>
      <c r="U1013" s="122">
        <v>160259.89016518235</v>
      </c>
      <c r="V1013" s="54"/>
      <c r="W1013" s="54"/>
      <c r="X1013" s="54"/>
      <c r="Y1013" s="54"/>
      <c r="Z1013" s="54"/>
      <c r="AA1013" s="54"/>
      <c r="AB1013" s="54"/>
      <c r="AC1013" s="54"/>
      <c r="AD1013" s="54"/>
      <c r="AE1013" s="54"/>
      <c r="AF1013" s="54"/>
      <c r="AG1013" s="54"/>
      <c r="AH1013" s="54"/>
      <c r="AI1013" s="117">
        <f>SUM(F1013:AH1013)</f>
        <v>1607064.9835441159</v>
      </c>
      <c r="AJ1013" s="117">
        <f>SUM(F1013:U1013)</f>
        <v>1607064.9835441159</v>
      </c>
      <c r="AK1013" s="117">
        <f>SUM(W1013:AH1013)</f>
        <v>0</v>
      </c>
      <c r="AM1013" s="127" t="b">
        <f>IF(INDEX($AO1013:$BM1013,0,$F$14)=1,TRUE,FALSE)</f>
        <v>0</v>
      </c>
      <c r="AN1013" s="127" t="str">
        <f>IF(AM1013,A1013&amp;", "&amp;B1013,"")</f>
        <v/>
      </c>
      <c r="AO1013" s="129"/>
      <c r="AP1013" s="129"/>
      <c r="AQ1013" s="129"/>
      <c r="AR1013" s="129"/>
      <c r="AS1013" s="129"/>
      <c r="AT1013" s="129"/>
      <c r="AU1013" s="129"/>
      <c r="AV1013" s="129"/>
      <c r="AW1013" s="129"/>
      <c r="AX1013" s="197"/>
      <c r="AY1013" s="197"/>
      <c r="AZ1013" s="197">
        <v>1</v>
      </c>
      <c r="BA1013" s="197"/>
      <c r="BB1013" s="129"/>
      <c r="BC1013" s="129"/>
      <c r="BD1013" s="129"/>
      <c r="BE1013" s="129"/>
      <c r="BF1013" s="129"/>
      <c r="BG1013" s="129"/>
      <c r="BH1013" s="129"/>
      <c r="BI1013" s="129"/>
      <c r="BJ1013" s="129"/>
      <c r="BK1013" s="129"/>
      <c r="BL1013" s="129"/>
      <c r="BM1013" s="197"/>
    </row>
    <row r="1014" spans="1:65" s="4" customFormat="1" x14ac:dyDescent="0.25">
      <c r="A1014" s="179" t="s">
        <v>155</v>
      </c>
      <c r="B1014" s="179" t="s">
        <v>26</v>
      </c>
      <c r="C1014" s="179" t="s">
        <v>387</v>
      </c>
      <c r="D1014" s="161">
        <v>12</v>
      </c>
      <c r="E1014" s="179" t="str">
        <f>INDEX(ra_ScName,MATCH(D1014,ra_ScNumber,0))</f>
        <v>Without reset</v>
      </c>
      <c r="F1014" s="122">
        <v>40562.35083030197</v>
      </c>
      <c r="G1014" s="122">
        <v>84260.466266061412</v>
      </c>
      <c r="H1014" s="122">
        <v>10666.498675556097</v>
      </c>
      <c r="I1014" s="122">
        <v>32953.492266426867</v>
      </c>
      <c r="J1014" s="122">
        <v>35900.657453941312</v>
      </c>
      <c r="K1014" s="122">
        <v>17826.008573911953</v>
      </c>
      <c r="L1014" s="122">
        <v>30754.587866957711</v>
      </c>
      <c r="M1014" s="122">
        <v>10172.503669035486</v>
      </c>
      <c r="N1014" s="122">
        <v>40329.168978709116</v>
      </c>
      <c r="O1014" s="122">
        <v>32241.907557679566</v>
      </c>
      <c r="P1014" s="122">
        <v>341200.00215479673</v>
      </c>
      <c r="Q1014" s="122">
        <v>38458.763978434494</v>
      </c>
      <c r="R1014" s="122">
        <v>37183.817359925495</v>
      </c>
      <c r="S1014" s="122">
        <v>118505.32401293454</v>
      </c>
      <c r="T1014" s="122">
        <v>624639.11000553565</v>
      </c>
      <c r="U1014" s="122">
        <v>163780.11433551193</v>
      </c>
      <c r="V1014" s="54"/>
      <c r="W1014" s="54"/>
      <c r="X1014" s="54"/>
      <c r="Y1014" s="54"/>
      <c r="Z1014" s="54"/>
      <c r="AA1014" s="54"/>
      <c r="AB1014" s="54"/>
      <c r="AC1014" s="54"/>
      <c r="AD1014" s="54"/>
      <c r="AE1014" s="54"/>
      <c r="AF1014" s="54"/>
      <c r="AG1014" s="54"/>
      <c r="AH1014" s="54"/>
      <c r="AI1014" s="117">
        <f>SUM(F1014:AH1014)</f>
        <v>1659434.7739857202</v>
      </c>
      <c r="AJ1014" s="117">
        <f>SUM(F1014:U1014)</f>
        <v>1659434.7739857202</v>
      </c>
      <c r="AK1014" s="117">
        <f>SUM(W1014:AH1014)</f>
        <v>0</v>
      </c>
      <c r="AM1014" s="127" t="b">
        <f>IF(INDEX($AO1014:$BM1014,0,$F$14)=1,TRUE,FALSE)</f>
        <v>0</v>
      </c>
      <c r="AN1014" s="127" t="str">
        <f>IF(AM1014,A1014&amp;", "&amp;B1014,"")</f>
        <v/>
      </c>
      <c r="AO1014" s="129"/>
      <c r="AP1014" s="129"/>
      <c r="AQ1014" s="129"/>
      <c r="AR1014" s="129"/>
      <c r="AS1014" s="129"/>
      <c r="AT1014" s="129"/>
      <c r="AU1014" s="129"/>
      <c r="AV1014" s="129"/>
      <c r="AW1014" s="129"/>
      <c r="AX1014" s="197"/>
      <c r="AY1014" s="197"/>
      <c r="AZ1014" s="197">
        <v>1</v>
      </c>
      <c r="BA1014" s="197"/>
      <c r="BB1014" s="129"/>
      <c r="BC1014" s="129"/>
      <c r="BD1014" s="129"/>
      <c r="BE1014" s="129"/>
      <c r="BF1014" s="129"/>
      <c r="BG1014" s="129"/>
      <c r="BH1014" s="129"/>
      <c r="BI1014" s="129"/>
      <c r="BJ1014" s="129"/>
      <c r="BK1014" s="129"/>
      <c r="BL1014" s="129"/>
      <c r="BM1014" s="197"/>
    </row>
    <row r="1015" spans="1:65" s="4" customFormat="1" x14ac:dyDescent="0.25">
      <c r="A1015" s="179" t="s">
        <v>155</v>
      </c>
      <c r="B1015" s="179" t="s">
        <v>27</v>
      </c>
      <c r="C1015" s="179" t="s">
        <v>387</v>
      </c>
      <c r="D1015" s="161">
        <v>12</v>
      </c>
      <c r="E1015" s="179" t="str">
        <f>INDEX(ra_ScName,MATCH(D1015,ra_ScNumber,0))</f>
        <v>Without reset</v>
      </c>
      <c r="F1015" s="122">
        <v>45127.589816480395</v>
      </c>
      <c r="G1015" s="122">
        <v>92185.159819932262</v>
      </c>
      <c r="H1015" s="122">
        <v>11005.406803862519</v>
      </c>
      <c r="I1015" s="122">
        <v>34542.106139471645</v>
      </c>
      <c r="J1015" s="122">
        <v>39726.389551214859</v>
      </c>
      <c r="K1015" s="122">
        <v>19208.095794057528</v>
      </c>
      <c r="L1015" s="122">
        <v>33136.481220287977</v>
      </c>
      <c r="M1015" s="122">
        <v>10690.597158434799</v>
      </c>
      <c r="N1015" s="122">
        <v>40669.125748881357</v>
      </c>
      <c r="O1015" s="122">
        <v>33641.32090993529</v>
      </c>
      <c r="P1015" s="122">
        <v>355455.82509168336</v>
      </c>
      <c r="Q1015" s="122">
        <v>39320.655117978837</v>
      </c>
      <c r="R1015" s="122">
        <v>38560.446138528809</v>
      </c>
      <c r="S1015" s="122">
        <v>126330.47906636138</v>
      </c>
      <c r="T1015" s="122">
        <v>670515.78502367716</v>
      </c>
      <c r="U1015" s="122">
        <v>174885.641612646</v>
      </c>
      <c r="V1015" s="54"/>
      <c r="W1015" s="54"/>
      <c r="X1015" s="54"/>
      <c r="Y1015" s="54"/>
      <c r="Z1015" s="54"/>
      <c r="AA1015" s="54"/>
      <c r="AB1015" s="54"/>
      <c r="AC1015" s="54"/>
      <c r="AD1015" s="54"/>
      <c r="AE1015" s="54"/>
      <c r="AF1015" s="54"/>
      <c r="AG1015" s="54"/>
      <c r="AH1015" s="54"/>
      <c r="AI1015" s="117">
        <f>SUM(F1015:AH1015)</f>
        <v>1765001.1050134341</v>
      </c>
      <c r="AJ1015" s="117">
        <f>SUM(F1015:U1015)</f>
        <v>1765001.1050134341</v>
      </c>
      <c r="AK1015" s="117">
        <f>SUM(W1015:AH1015)</f>
        <v>0</v>
      </c>
      <c r="AM1015" s="127" t="b">
        <f>IF(INDEX($AO1015:$BM1015,0,$F$14)=1,TRUE,FALSE)</f>
        <v>0</v>
      </c>
      <c r="AN1015" s="127" t="str">
        <f>IF(AM1015,A1015&amp;", "&amp;B1015,"")</f>
        <v/>
      </c>
      <c r="AO1015" s="129"/>
      <c r="AP1015" s="129"/>
      <c r="AQ1015" s="129"/>
      <c r="AR1015" s="129"/>
      <c r="AS1015" s="129"/>
      <c r="AT1015" s="129"/>
      <c r="AU1015" s="129"/>
      <c r="AV1015" s="129"/>
      <c r="AW1015" s="129"/>
      <c r="AX1015" s="197"/>
      <c r="AY1015" s="197"/>
      <c r="AZ1015" s="197">
        <v>1</v>
      </c>
      <c r="BA1015" s="197"/>
      <c r="BB1015" s="129"/>
      <c r="BC1015" s="129"/>
      <c r="BD1015" s="129"/>
      <c r="BE1015" s="129"/>
      <c r="BF1015" s="129"/>
      <c r="BG1015" s="129"/>
      <c r="BH1015" s="129"/>
      <c r="BI1015" s="129"/>
      <c r="BJ1015" s="129"/>
      <c r="BK1015" s="129"/>
      <c r="BL1015" s="129"/>
      <c r="BM1015" s="197"/>
    </row>
    <row r="1016" spans="1:65" s="4" customFormat="1" x14ac:dyDescent="0.25">
      <c r="C1016" s="179"/>
      <c r="D1016" s="131"/>
      <c r="E1016" s="29"/>
      <c r="F1016" s="54"/>
      <c r="G1016" s="54"/>
      <c r="H1016" s="54"/>
      <c r="I1016" s="54"/>
      <c r="J1016" s="54"/>
      <c r="K1016" s="54"/>
      <c r="L1016" s="54"/>
      <c r="M1016" s="54"/>
      <c r="N1016" s="54"/>
      <c r="O1016" s="54"/>
      <c r="P1016" s="54"/>
      <c r="Q1016" s="54"/>
      <c r="R1016" s="54"/>
      <c r="S1016" s="54"/>
      <c r="T1016" s="54"/>
      <c r="U1016" s="54"/>
      <c r="V1016" s="54"/>
      <c r="W1016" s="54"/>
      <c r="X1016" s="54"/>
      <c r="Y1016" s="54"/>
      <c r="Z1016" s="54"/>
      <c r="AA1016" s="54"/>
      <c r="AB1016" s="54"/>
      <c r="AC1016" s="54"/>
      <c r="AD1016" s="54"/>
      <c r="AE1016" s="54"/>
      <c r="AF1016" s="54"/>
      <c r="AG1016" s="54"/>
      <c r="AH1016" s="54"/>
      <c r="AI1016" s="117"/>
      <c r="AJ1016" s="117"/>
      <c r="AK1016" s="117"/>
      <c r="AM1016" s="127"/>
      <c r="AN1016" s="127"/>
      <c r="AO1016" s="129"/>
      <c r="AP1016" s="129"/>
      <c r="AQ1016" s="129"/>
      <c r="AR1016" s="129"/>
      <c r="AS1016" s="129"/>
      <c r="AT1016" s="129"/>
      <c r="AU1016" s="129"/>
      <c r="AV1016" s="129"/>
      <c r="AW1016" s="129"/>
      <c r="AX1016" s="197"/>
      <c r="AY1016" s="197"/>
      <c r="AZ1016" s="197"/>
      <c r="BA1016" s="197"/>
      <c r="BB1016" s="129"/>
      <c r="BC1016" s="129"/>
      <c r="BD1016" s="129"/>
      <c r="BE1016" s="129"/>
      <c r="BF1016" s="129"/>
      <c r="BG1016" s="129"/>
      <c r="BH1016" s="129"/>
      <c r="BI1016" s="129"/>
      <c r="BJ1016" s="129"/>
      <c r="BK1016" s="129"/>
      <c r="BL1016" s="129"/>
      <c r="BM1016" s="197"/>
    </row>
    <row r="1017" spans="1:65" x14ac:dyDescent="0.25">
      <c r="A1017" s="153" t="s">
        <v>155</v>
      </c>
      <c r="B1017" s="153" t="s">
        <v>25</v>
      </c>
      <c r="C1017" s="172" t="s">
        <v>387</v>
      </c>
      <c r="D1017" s="161">
        <v>13</v>
      </c>
      <c r="E1017" s="168" t="str">
        <f>INDEX(ra_ScName,MATCH(D1017,ra_ScNumber,0))</f>
        <v>Changes in demand (delta D)</v>
      </c>
      <c r="F1017" s="122">
        <v>49015.57052499269</v>
      </c>
      <c r="G1017" s="122">
        <v>87828.842061854724</v>
      </c>
      <c r="H1017" s="122">
        <v>12307.488662851239</v>
      </c>
      <c r="I1017" s="122">
        <v>31767.28371176045</v>
      </c>
      <c r="J1017" s="122">
        <v>35653.511179769586</v>
      </c>
      <c r="K1017" s="122">
        <v>18905.878869671276</v>
      </c>
      <c r="L1017" s="122">
        <v>29627.488310429664</v>
      </c>
      <c r="M1017" s="122">
        <v>9828.603731813444</v>
      </c>
      <c r="N1017" s="122">
        <v>39872.401925892453</v>
      </c>
      <c r="O1017" s="122">
        <v>31663.50951849336</v>
      </c>
      <c r="P1017" s="122">
        <v>336367.51640293619</v>
      </c>
      <c r="Q1017" s="122">
        <v>38655.144837547647</v>
      </c>
      <c r="R1017" s="122">
        <v>40940.994862213578</v>
      </c>
      <c r="S1017" s="122">
        <v>127630.36742585947</v>
      </c>
      <c r="T1017" s="122">
        <v>593697.48447256733</v>
      </c>
      <c r="U1017" s="122">
        <v>167241.71767827275</v>
      </c>
      <c r="V1017" s="54"/>
      <c r="W1017" s="54"/>
      <c r="X1017" s="54"/>
      <c r="Y1017" s="54"/>
      <c r="Z1017" s="54"/>
      <c r="AA1017" s="54"/>
      <c r="AB1017" s="54"/>
      <c r="AC1017" s="54"/>
      <c r="AD1017" s="54"/>
      <c r="AE1017" s="54"/>
      <c r="AF1017" s="54"/>
      <c r="AG1017" s="54"/>
      <c r="AH1017" s="54"/>
      <c r="AI1017" s="117">
        <f>SUM(F1017:AH1017)</f>
        <v>1651003.8041769257</v>
      </c>
      <c r="AJ1017" s="117">
        <f>SUM(F1017:U1017)</f>
        <v>1651003.8041769257</v>
      </c>
      <c r="AK1017" s="117">
        <f>SUM(W1017:AH1017)</f>
        <v>0</v>
      </c>
      <c r="AL1017" s="4"/>
      <c r="AM1017" s="127" t="b">
        <f>IF(INDEX($AO1017:$BM1017,0,$F$14)=1,TRUE,FALSE)</f>
        <v>0</v>
      </c>
      <c r="AN1017" s="127" t="str">
        <f>IF(AM1017,A1017&amp;", "&amp;B1017,"")</f>
        <v/>
      </c>
      <c r="AO1017" s="129"/>
      <c r="AP1017" s="129"/>
      <c r="AQ1017" s="129"/>
      <c r="AR1017" s="129"/>
      <c r="AS1017" s="129"/>
      <c r="AT1017" s="129"/>
      <c r="AU1017" s="129"/>
      <c r="AV1017" s="129"/>
      <c r="AW1017" s="129"/>
      <c r="AX1017" s="197"/>
      <c r="AY1017" s="197"/>
      <c r="AZ1017" s="197"/>
      <c r="BA1017" s="197">
        <v>1</v>
      </c>
      <c r="BB1017" s="129"/>
      <c r="BC1017" s="129"/>
      <c r="BD1017" s="129"/>
      <c r="BE1017" s="129"/>
      <c r="BF1017" s="129"/>
      <c r="BG1017" s="129"/>
      <c r="BH1017" s="129"/>
      <c r="BI1017" s="129"/>
      <c r="BJ1017" s="129"/>
      <c r="BK1017" s="129"/>
      <c r="BL1017" s="129"/>
      <c r="BM1017" s="197"/>
    </row>
    <row r="1018" spans="1:65" x14ac:dyDescent="0.25">
      <c r="A1018" s="153" t="s">
        <v>155</v>
      </c>
      <c r="B1018" s="153" t="s">
        <v>26</v>
      </c>
      <c r="C1018" s="172" t="s">
        <v>387</v>
      </c>
      <c r="D1018" s="161">
        <v>13</v>
      </c>
      <c r="E1018" s="168" t="str">
        <f>INDEX(ra_ScName,MATCH(D1018,ra_ScNumber,0))</f>
        <v>Changes in demand (delta D)</v>
      </c>
      <c r="F1018" s="122">
        <v>48207.918031597532</v>
      </c>
      <c r="G1018" s="122">
        <v>83294.088855178416</v>
      </c>
      <c r="H1018" s="122">
        <v>12299.006281627626</v>
      </c>
      <c r="I1018" s="122">
        <v>32127.393803429844</v>
      </c>
      <c r="J1018" s="122">
        <v>37739.394822447386</v>
      </c>
      <c r="K1018" s="122">
        <v>18247.398985378266</v>
      </c>
      <c r="L1018" s="122">
        <v>30237.68676297925</v>
      </c>
      <c r="M1018" s="122">
        <v>9891.7106671448455</v>
      </c>
      <c r="N1018" s="122">
        <v>42917.170431351951</v>
      </c>
      <c r="O1018" s="122">
        <v>33151.041487158698</v>
      </c>
      <c r="P1018" s="122">
        <v>350365.69922499568</v>
      </c>
      <c r="Q1018" s="122">
        <v>42899.688717710211</v>
      </c>
      <c r="R1018" s="122">
        <v>40053.366229611951</v>
      </c>
      <c r="S1018" s="122">
        <v>128417.96787098944</v>
      </c>
      <c r="T1018" s="122">
        <v>596883.00396694627</v>
      </c>
      <c r="U1018" s="122">
        <v>164932.01485251091</v>
      </c>
      <c r="V1018" s="54"/>
      <c r="W1018" s="54"/>
      <c r="X1018" s="54"/>
      <c r="Y1018" s="54"/>
      <c r="Z1018" s="54"/>
      <c r="AA1018" s="54"/>
      <c r="AB1018" s="54"/>
      <c r="AC1018" s="54"/>
      <c r="AD1018" s="54"/>
      <c r="AE1018" s="54"/>
      <c r="AF1018" s="54"/>
      <c r="AG1018" s="54"/>
      <c r="AH1018" s="54"/>
      <c r="AI1018" s="117">
        <f>SUM(F1018:AH1018)</f>
        <v>1671664.5509910583</v>
      </c>
      <c r="AJ1018" s="117">
        <f>SUM(F1018:U1018)</f>
        <v>1671664.5509910583</v>
      </c>
      <c r="AK1018" s="117">
        <f>SUM(W1018:AH1018)</f>
        <v>0</v>
      </c>
      <c r="AL1018" s="4"/>
      <c r="AM1018" s="127" t="b">
        <f>IF(INDEX($AO1018:$BM1018,0,$F$14)=1,TRUE,FALSE)</f>
        <v>0</v>
      </c>
      <c r="AN1018" s="127" t="str">
        <f>IF(AM1018,A1018&amp;", "&amp;B1018,"")</f>
        <v/>
      </c>
      <c r="AO1018" s="129"/>
      <c r="AP1018" s="129"/>
      <c r="AQ1018" s="129"/>
      <c r="AR1018" s="129"/>
      <c r="AS1018" s="129"/>
      <c r="AT1018" s="129"/>
      <c r="AU1018" s="129"/>
      <c r="AV1018" s="129"/>
      <c r="AW1018" s="129"/>
      <c r="AX1018" s="197"/>
      <c r="AY1018" s="197"/>
      <c r="AZ1018" s="197"/>
      <c r="BA1018" s="197">
        <v>1</v>
      </c>
      <c r="BB1018" s="129"/>
      <c r="BC1018" s="129"/>
      <c r="BD1018" s="129"/>
      <c r="BE1018" s="129"/>
      <c r="BF1018" s="129"/>
      <c r="BG1018" s="129"/>
      <c r="BH1018" s="129"/>
      <c r="BI1018" s="129"/>
      <c r="BJ1018" s="129"/>
      <c r="BK1018" s="129"/>
      <c r="BL1018" s="129"/>
      <c r="BM1018" s="197"/>
    </row>
    <row r="1019" spans="1:65" x14ac:dyDescent="0.25">
      <c r="A1019" s="153" t="s">
        <v>155</v>
      </c>
      <c r="B1019" s="153" t="s">
        <v>27</v>
      </c>
      <c r="C1019" s="172" t="s">
        <v>387</v>
      </c>
      <c r="D1019" s="161">
        <v>13</v>
      </c>
      <c r="E1019" s="168" t="str">
        <f>INDEX(ra_ScName,MATCH(D1019,ra_ScNumber,0))</f>
        <v>Changes in demand (delta D)</v>
      </c>
      <c r="F1019" s="122">
        <v>54560.107733594363</v>
      </c>
      <c r="G1019" s="122">
        <v>89441.911208127378</v>
      </c>
      <c r="H1019" s="122">
        <v>13579.424569133438</v>
      </c>
      <c r="I1019" s="122">
        <v>33322.410777652221</v>
      </c>
      <c r="J1019" s="122">
        <v>41492.877272119898</v>
      </c>
      <c r="K1019" s="122">
        <v>19606.404050334284</v>
      </c>
      <c r="L1019" s="122">
        <v>32811.49036617174</v>
      </c>
      <c r="M1019" s="122">
        <v>10743.13869538395</v>
      </c>
      <c r="N1019" s="122">
        <v>43445.934735930641</v>
      </c>
      <c r="O1019" s="122">
        <v>32533.49387143636</v>
      </c>
      <c r="P1019" s="122">
        <v>367604.95507748064</v>
      </c>
      <c r="Q1019" s="122">
        <v>47749.44582574434</v>
      </c>
      <c r="R1019" s="122">
        <v>45131.747421949673</v>
      </c>
      <c r="S1019" s="122">
        <v>142784.93538413043</v>
      </c>
      <c r="T1019" s="122">
        <v>648909.28782574646</v>
      </c>
      <c r="U1019" s="122">
        <v>176466.49771272836</v>
      </c>
      <c r="V1019" s="54"/>
      <c r="W1019" s="54"/>
      <c r="X1019" s="54"/>
      <c r="Y1019" s="54"/>
      <c r="Z1019" s="54"/>
      <c r="AA1019" s="54"/>
      <c r="AB1019" s="54"/>
      <c r="AC1019" s="54"/>
      <c r="AD1019" s="54"/>
      <c r="AE1019" s="54"/>
      <c r="AF1019" s="54"/>
      <c r="AG1019" s="54"/>
      <c r="AH1019" s="54"/>
      <c r="AI1019" s="117">
        <f>SUM(F1019:AH1019)</f>
        <v>1800184.0625276642</v>
      </c>
      <c r="AJ1019" s="117">
        <f>SUM(F1019:U1019)</f>
        <v>1800184.0625276642</v>
      </c>
      <c r="AK1019" s="117">
        <f>SUM(W1019:AH1019)</f>
        <v>0</v>
      </c>
      <c r="AL1019" s="4"/>
      <c r="AM1019" s="127" t="b">
        <f>IF(INDEX($AO1019:$BM1019,0,$F$14)=1,TRUE,FALSE)</f>
        <v>0</v>
      </c>
      <c r="AN1019" s="127" t="str">
        <f>IF(AM1019,A1019&amp;", "&amp;B1019,"")</f>
        <v/>
      </c>
      <c r="AO1019" s="129"/>
      <c r="AP1019" s="129"/>
      <c r="AQ1019" s="129"/>
      <c r="AR1019" s="129"/>
      <c r="AS1019" s="129"/>
      <c r="AT1019" s="129"/>
      <c r="AU1019" s="129"/>
      <c r="AV1019" s="129"/>
      <c r="AW1019" s="129"/>
      <c r="AX1019" s="197"/>
      <c r="AY1019" s="197"/>
      <c r="AZ1019" s="197"/>
      <c r="BA1019" s="197">
        <v>1</v>
      </c>
      <c r="BB1019" s="129"/>
      <c r="BC1019" s="129"/>
      <c r="BD1019" s="129"/>
      <c r="BE1019" s="129"/>
      <c r="BF1019" s="129"/>
      <c r="BG1019" s="129"/>
      <c r="BH1019" s="129"/>
      <c r="BI1019" s="129"/>
      <c r="BJ1019" s="129"/>
      <c r="BK1019" s="129"/>
      <c r="BL1019" s="129"/>
      <c r="BM1019" s="197"/>
    </row>
    <row r="1020" spans="1:65" x14ac:dyDescent="0.25">
      <c r="A1020" s="153"/>
      <c r="B1020" s="153"/>
      <c r="C1020" s="172"/>
      <c r="D1020" s="131"/>
      <c r="E1020" s="23"/>
      <c r="F1020" s="54"/>
      <c r="G1020" s="54"/>
      <c r="H1020" s="54"/>
      <c r="I1020" s="54"/>
      <c r="J1020" s="54"/>
      <c r="K1020" s="54"/>
      <c r="L1020" s="54"/>
      <c r="M1020" s="54"/>
      <c r="N1020" s="54"/>
      <c r="O1020" s="54"/>
      <c r="P1020" s="54"/>
      <c r="Q1020" s="54"/>
      <c r="R1020" s="54"/>
      <c r="S1020" s="54"/>
      <c r="T1020" s="54"/>
      <c r="U1020" s="54"/>
      <c r="V1020" s="54"/>
      <c r="W1020" s="54"/>
      <c r="X1020" s="54"/>
      <c r="Y1020" s="54"/>
      <c r="Z1020" s="54"/>
      <c r="AA1020" s="54"/>
      <c r="AB1020" s="54"/>
      <c r="AC1020" s="54"/>
      <c r="AD1020" s="54"/>
      <c r="AE1020" s="54"/>
      <c r="AF1020" s="54"/>
      <c r="AG1020" s="54"/>
      <c r="AH1020" s="54"/>
      <c r="AI1020" s="117"/>
      <c r="AJ1020" s="117"/>
      <c r="AK1020" s="117"/>
      <c r="AL1020" s="4"/>
      <c r="AM1020" s="127"/>
      <c r="AN1020" s="127"/>
      <c r="AO1020" s="129"/>
      <c r="AP1020" s="129"/>
      <c r="AQ1020" s="129"/>
      <c r="AR1020" s="129"/>
      <c r="AS1020" s="129"/>
      <c r="AT1020" s="129"/>
      <c r="AU1020" s="129"/>
      <c r="AV1020" s="129"/>
      <c r="AW1020" s="129"/>
      <c r="AX1020" s="197"/>
      <c r="AY1020" s="197"/>
      <c r="AZ1020" s="197"/>
      <c r="BA1020" s="197"/>
      <c r="BB1020" s="129"/>
      <c r="BC1020" s="129"/>
      <c r="BD1020" s="129"/>
      <c r="BE1020" s="129"/>
      <c r="BF1020" s="129"/>
      <c r="BG1020" s="129"/>
      <c r="BH1020" s="129"/>
      <c r="BI1020" s="129"/>
      <c r="BJ1020" s="129"/>
      <c r="BK1020" s="129"/>
      <c r="BL1020" s="129"/>
      <c r="BM1020" s="197"/>
    </row>
    <row r="1021" spans="1:65" x14ac:dyDescent="0.25">
      <c r="A1021" s="153" t="s">
        <v>155</v>
      </c>
      <c r="B1021" s="153" t="s">
        <v>25</v>
      </c>
      <c r="C1021" s="172" t="s">
        <v>387</v>
      </c>
      <c r="D1021" s="161">
        <v>14</v>
      </c>
      <c r="E1021" s="168" t="str">
        <f>INDEX(ra_ScName,MATCH(D1021,ra_ScNumber,0))</f>
        <v>Changes in demand (CPRG)</v>
      </c>
      <c r="F1021" s="122">
        <v>49015.57052499269</v>
      </c>
      <c r="G1021" s="122">
        <v>87828.842061854724</v>
      </c>
      <c r="H1021" s="122">
        <v>12307.488662851239</v>
      </c>
      <c r="I1021" s="122">
        <v>31767.28371176045</v>
      </c>
      <c r="J1021" s="122">
        <v>35653.511179769586</v>
      </c>
      <c r="K1021" s="122">
        <v>18905.878869671276</v>
      </c>
      <c r="L1021" s="122">
        <v>29627.488310429664</v>
      </c>
      <c r="M1021" s="122">
        <v>9828.603731813444</v>
      </c>
      <c r="N1021" s="122">
        <v>39872.401925892453</v>
      </c>
      <c r="O1021" s="122">
        <v>31663.50951849336</v>
      </c>
      <c r="P1021" s="122">
        <v>336367.51640293619</v>
      </c>
      <c r="Q1021" s="122">
        <v>38655.144837547647</v>
      </c>
      <c r="R1021" s="122">
        <v>40940.994862213578</v>
      </c>
      <c r="S1021" s="122">
        <v>127630.36742585947</v>
      </c>
      <c r="T1021" s="122">
        <v>593697.48447256733</v>
      </c>
      <c r="U1021" s="122">
        <v>167241.71767827275</v>
      </c>
      <c r="V1021" s="54"/>
      <c r="W1021" s="54"/>
      <c r="X1021" s="54"/>
      <c r="Y1021" s="54"/>
      <c r="Z1021" s="54"/>
      <c r="AA1021" s="54"/>
      <c r="AB1021" s="54"/>
      <c r="AC1021" s="54"/>
      <c r="AD1021" s="54"/>
      <c r="AE1021" s="54"/>
      <c r="AF1021" s="54"/>
      <c r="AG1021" s="54"/>
      <c r="AH1021" s="54"/>
      <c r="AI1021" s="117">
        <f>SUM(F1021:AH1021)</f>
        <v>1651003.8041769257</v>
      </c>
      <c r="AJ1021" s="117">
        <f>SUM(F1021:U1021)</f>
        <v>1651003.8041769257</v>
      </c>
      <c r="AK1021" s="117">
        <f>SUM(W1021:AH1021)</f>
        <v>0</v>
      </c>
      <c r="AL1021" s="4"/>
      <c r="AM1021" s="127" t="b">
        <f>IF(INDEX($AO1021:$BM1021,0,$F$14)=1,TRUE,FALSE)</f>
        <v>0</v>
      </c>
      <c r="AN1021" s="127" t="str">
        <f>IF(AM1021,A1021&amp;", "&amp;B1021,"")</f>
        <v/>
      </c>
      <c r="AO1021" s="129"/>
      <c r="AP1021" s="129"/>
      <c r="AQ1021" s="129"/>
      <c r="AR1021" s="129"/>
      <c r="AS1021" s="129"/>
      <c r="AT1021" s="129"/>
      <c r="AU1021" s="129"/>
      <c r="AV1021" s="129"/>
      <c r="AW1021" s="129"/>
      <c r="AX1021" s="197"/>
      <c r="AY1021" s="197"/>
      <c r="AZ1021" s="197"/>
      <c r="BA1021" s="197"/>
      <c r="BB1021" s="129">
        <v>1</v>
      </c>
      <c r="BC1021" s="129"/>
      <c r="BD1021" s="129"/>
      <c r="BE1021" s="129"/>
      <c r="BF1021" s="129"/>
      <c r="BG1021" s="129"/>
      <c r="BH1021" s="129"/>
      <c r="BI1021" s="129"/>
      <c r="BJ1021" s="129"/>
      <c r="BK1021" s="129"/>
      <c r="BL1021" s="129"/>
      <c r="BM1021" s="197"/>
    </row>
    <row r="1022" spans="1:65" x14ac:dyDescent="0.25">
      <c r="A1022" s="153" t="s">
        <v>155</v>
      </c>
      <c r="B1022" s="153" t="s">
        <v>26</v>
      </c>
      <c r="C1022" s="172" t="s">
        <v>387</v>
      </c>
      <c r="D1022" s="161">
        <v>14</v>
      </c>
      <c r="E1022" s="168" t="str">
        <f>INDEX(ra_ScName,MATCH(D1022,ra_ScNumber,0))</f>
        <v>Changes in demand (CPRG)</v>
      </c>
      <c r="F1022" s="122">
        <v>49356.408375922168</v>
      </c>
      <c r="G1022" s="122">
        <v>83294.088855178416</v>
      </c>
      <c r="H1022" s="122">
        <v>11944.930831606905</v>
      </c>
      <c r="I1022" s="122">
        <v>32127.393803429844</v>
      </c>
      <c r="J1022" s="122">
        <v>37739.394822447386</v>
      </c>
      <c r="K1022" s="122">
        <v>18247.398985378266</v>
      </c>
      <c r="L1022" s="122">
        <v>30237.68676297925</v>
      </c>
      <c r="M1022" s="122">
        <v>9891.7106671448455</v>
      </c>
      <c r="N1022" s="122">
        <v>42917.170431351951</v>
      </c>
      <c r="O1022" s="122">
        <v>33151.041487158698</v>
      </c>
      <c r="P1022" s="122">
        <v>350365.69922499568</v>
      </c>
      <c r="Q1022" s="122">
        <v>43289.01523348521</v>
      </c>
      <c r="R1022" s="122">
        <v>39218.277515842776</v>
      </c>
      <c r="S1022" s="122">
        <v>128417.96787098944</v>
      </c>
      <c r="T1022" s="122">
        <v>596883.00396694627</v>
      </c>
      <c r="U1022" s="122">
        <v>164932.01485251091</v>
      </c>
      <c r="V1022" s="54"/>
      <c r="W1022" s="54"/>
      <c r="X1022" s="54"/>
      <c r="Y1022" s="54"/>
      <c r="Z1022" s="54"/>
      <c r="AA1022" s="54"/>
      <c r="AB1022" s="54"/>
      <c r="AC1022" s="54"/>
      <c r="AD1022" s="54"/>
      <c r="AE1022" s="54"/>
      <c r="AF1022" s="54"/>
      <c r="AG1022" s="54"/>
      <c r="AH1022" s="54"/>
      <c r="AI1022" s="117">
        <f>SUM(F1022:AH1022)</f>
        <v>1672013.2036873682</v>
      </c>
      <c r="AJ1022" s="117">
        <f>SUM(F1022:U1022)</f>
        <v>1672013.2036873682</v>
      </c>
      <c r="AK1022" s="117">
        <f>SUM(W1022:AH1022)</f>
        <v>0</v>
      </c>
      <c r="AL1022" s="4"/>
      <c r="AM1022" s="127" t="b">
        <f>IF(INDEX($AO1022:$BM1022,0,$F$14)=1,TRUE,FALSE)</f>
        <v>0</v>
      </c>
      <c r="AN1022" s="127" t="str">
        <f>IF(AM1022,A1022&amp;", "&amp;B1022,"")</f>
        <v/>
      </c>
      <c r="AO1022" s="129"/>
      <c r="AP1022" s="129"/>
      <c r="AQ1022" s="129"/>
      <c r="AR1022" s="129"/>
      <c r="AS1022" s="129"/>
      <c r="AT1022" s="129"/>
      <c r="AU1022" s="129"/>
      <c r="AV1022" s="129"/>
      <c r="AW1022" s="129"/>
      <c r="AX1022" s="197"/>
      <c r="AY1022" s="197"/>
      <c r="AZ1022" s="197"/>
      <c r="BA1022" s="197"/>
      <c r="BB1022" s="129">
        <v>1</v>
      </c>
      <c r="BC1022" s="129"/>
      <c r="BD1022" s="129"/>
      <c r="BE1022" s="129"/>
      <c r="BF1022" s="129"/>
      <c r="BG1022" s="129"/>
      <c r="BH1022" s="129"/>
      <c r="BI1022" s="129"/>
      <c r="BJ1022" s="129"/>
      <c r="BK1022" s="129"/>
      <c r="BL1022" s="129"/>
      <c r="BM1022" s="197"/>
    </row>
    <row r="1023" spans="1:65" x14ac:dyDescent="0.25">
      <c r="A1023" s="153" t="s">
        <v>155</v>
      </c>
      <c r="B1023" s="153" t="s">
        <v>27</v>
      </c>
      <c r="C1023" s="172" t="s">
        <v>387</v>
      </c>
      <c r="D1023" s="161">
        <v>14</v>
      </c>
      <c r="E1023" s="168" t="str">
        <f>INDEX(ra_ScName,MATCH(D1023,ra_ScNumber,0))</f>
        <v>Changes in demand (CPRG)</v>
      </c>
      <c r="F1023" s="122">
        <v>58834.779354630424</v>
      </c>
      <c r="G1023" s="122">
        <v>92245.258909022727</v>
      </c>
      <c r="H1023" s="122">
        <v>13382.936645210752</v>
      </c>
      <c r="I1023" s="122">
        <v>33847.352697793118</v>
      </c>
      <c r="J1023" s="122">
        <v>41939.584622544855</v>
      </c>
      <c r="K1023" s="122">
        <v>19689.657547756691</v>
      </c>
      <c r="L1023" s="122">
        <v>33145.46830416278</v>
      </c>
      <c r="M1023" s="122">
        <v>10491.122812152962</v>
      </c>
      <c r="N1023" s="122">
        <v>44034.168826278226</v>
      </c>
      <c r="O1023" s="122">
        <v>33498.636932973808</v>
      </c>
      <c r="P1023" s="122">
        <v>368317.89588912542</v>
      </c>
      <c r="Q1023" s="122">
        <v>48397.603048637298</v>
      </c>
      <c r="R1023" s="122">
        <v>44097.664711299527</v>
      </c>
      <c r="S1023" s="122">
        <v>143870.0531701865</v>
      </c>
      <c r="T1023" s="122">
        <v>651550.26327475486</v>
      </c>
      <c r="U1023" s="122">
        <v>176976.97544361302</v>
      </c>
      <c r="V1023" s="54"/>
      <c r="W1023" s="54"/>
      <c r="X1023" s="54"/>
      <c r="Y1023" s="54"/>
      <c r="Z1023" s="54"/>
      <c r="AA1023" s="54"/>
      <c r="AB1023" s="54"/>
      <c r="AC1023" s="54"/>
      <c r="AD1023" s="54"/>
      <c r="AE1023" s="54"/>
      <c r="AF1023" s="54"/>
      <c r="AG1023" s="54"/>
      <c r="AH1023" s="54"/>
      <c r="AI1023" s="117">
        <f>SUM(F1023:AH1023)</f>
        <v>1814319.4221901428</v>
      </c>
      <c r="AJ1023" s="117">
        <f>SUM(F1023:U1023)</f>
        <v>1814319.4221901428</v>
      </c>
      <c r="AK1023" s="117">
        <f>SUM(W1023:AH1023)</f>
        <v>0</v>
      </c>
      <c r="AL1023" s="4"/>
      <c r="AM1023" s="127" t="b">
        <f>IF(INDEX($AO1023:$BM1023,0,$F$14)=1,TRUE,FALSE)</f>
        <v>0</v>
      </c>
      <c r="AN1023" s="127" t="str">
        <f>IF(AM1023,A1023&amp;", "&amp;B1023,"")</f>
        <v/>
      </c>
      <c r="AO1023" s="129"/>
      <c r="AP1023" s="129"/>
      <c r="AQ1023" s="129"/>
      <c r="AR1023" s="129"/>
      <c r="AS1023" s="129"/>
      <c r="AT1023" s="129"/>
      <c r="AU1023" s="129"/>
      <c r="AV1023" s="129"/>
      <c r="AW1023" s="129"/>
      <c r="AX1023" s="197"/>
      <c r="AY1023" s="197"/>
      <c r="AZ1023" s="197"/>
      <c r="BA1023" s="197"/>
      <c r="BB1023" s="129">
        <v>1</v>
      </c>
      <c r="BC1023" s="129"/>
      <c r="BD1023" s="129"/>
      <c r="BE1023" s="129"/>
      <c r="BF1023" s="129"/>
      <c r="BG1023" s="129"/>
      <c r="BH1023" s="129"/>
      <c r="BI1023" s="129"/>
      <c r="BJ1023" s="129"/>
      <c r="BK1023" s="129"/>
      <c r="BL1023" s="129"/>
      <c r="BM1023" s="197"/>
    </row>
    <row r="1024" spans="1:65" x14ac:dyDescent="0.25">
      <c r="A1024" s="153"/>
      <c r="B1024" s="153"/>
      <c r="C1024" s="172"/>
      <c r="D1024" s="131"/>
      <c r="E1024" s="23"/>
      <c r="F1024" s="54"/>
      <c r="G1024" s="54"/>
      <c r="H1024" s="54"/>
      <c r="I1024" s="54"/>
      <c r="J1024" s="54"/>
      <c r="K1024" s="54"/>
      <c r="L1024" s="54"/>
      <c r="M1024" s="54"/>
      <c r="N1024" s="54"/>
      <c r="O1024" s="54"/>
      <c r="P1024" s="54"/>
      <c r="Q1024" s="54"/>
      <c r="R1024" s="54"/>
      <c r="S1024" s="54"/>
      <c r="T1024" s="54"/>
      <c r="U1024" s="54"/>
      <c r="V1024" s="54"/>
      <c r="W1024" s="54"/>
      <c r="X1024" s="54"/>
      <c r="Y1024" s="54"/>
      <c r="Z1024" s="54"/>
      <c r="AA1024" s="54"/>
      <c r="AB1024" s="54"/>
      <c r="AC1024" s="54"/>
      <c r="AD1024" s="54"/>
      <c r="AE1024" s="54"/>
      <c r="AF1024" s="54"/>
      <c r="AG1024" s="54"/>
      <c r="AH1024" s="54"/>
      <c r="AI1024" s="117"/>
      <c r="AJ1024" s="117"/>
      <c r="AK1024" s="117"/>
      <c r="AL1024" s="4"/>
      <c r="AM1024" s="127"/>
      <c r="AN1024" s="127"/>
      <c r="AO1024" s="129"/>
      <c r="AP1024" s="129"/>
      <c r="AQ1024" s="129"/>
      <c r="AR1024" s="129"/>
      <c r="AS1024" s="129"/>
      <c r="AT1024" s="129"/>
      <c r="AU1024" s="129"/>
      <c r="AV1024" s="129"/>
      <c r="AW1024" s="129"/>
      <c r="AX1024" s="197"/>
      <c r="AY1024" s="197"/>
      <c r="AZ1024" s="197"/>
      <c r="BA1024" s="197"/>
      <c r="BB1024" s="129"/>
      <c r="BC1024" s="129"/>
      <c r="BD1024" s="129"/>
      <c r="BE1024" s="129"/>
      <c r="BF1024" s="129"/>
      <c r="BG1024" s="129"/>
      <c r="BH1024" s="129"/>
      <c r="BI1024" s="129"/>
      <c r="BJ1024" s="129"/>
      <c r="BK1024" s="129"/>
      <c r="BL1024" s="129"/>
      <c r="BM1024" s="197"/>
    </row>
    <row r="1025" spans="1:65" x14ac:dyDescent="0.25">
      <c r="A1025" s="153" t="s">
        <v>155</v>
      </c>
      <c r="B1025" s="153" t="s">
        <v>25</v>
      </c>
      <c r="C1025" s="172" t="s">
        <v>387</v>
      </c>
      <c r="D1025" s="161">
        <v>15</v>
      </c>
      <c r="E1025" s="168" t="str">
        <f>INDEX(ra_ScName,MATCH(D1025,ra_ScNumber,0))</f>
        <v>Inflation indexation of revenue limit (CPI–X%)</v>
      </c>
      <c r="F1025" s="122">
        <v>49015.57052499269</v>
      </c>
      <c r="G1025" s="122">
        <v>87828.842061854724</v>
      </c>
      <c r="H1025" s="122">
        <v>12307.488662851239</v>
      </c>
      <c r="I1025" s="122">
        <v>31767.28371176045</v>
      </c>
      <c r="J1025" s="122">
        <v>35653.511179769586</v>
      </c>
      <c r="K1025" s="122">
        <v>18905.878869671276</v>
      </c>
      <c r="L1025" s="122">
        <v>29627.488310429664</v>
      </c>
      <c r="M1025" s="122">
        <v>9828.603731813444</v>
      </c>
      <c r="N1025" s="122">
        <v>39872.401925892453</v>
      </c>
      <c r="O1025" s="122">
        <v>31663.50951849336</v>
      </c>
      <c r="P1025" s="122">
        <v>336367.51640293619</v>
      </c>
      <c r="Q1025" s="122">
        <v>38655.144837547647</v>
      </c>
      <c r="R1025" s="122">
        <v>40940.994862213578</v>
      </c>
      <c r="S1025" s="122">
        <v>127630.36742585947</v>
      </c>
      <c r="T1025" s="122">
        <v>593697.48447256733</v>
      </c>
      <c r="U1025" s="122">
        <v>167241.71767827275</v>
      </c>
      <c r="V1025" s="54"/>
      <c r="W1025" s="54"/>
      <c r="X1025" s="54"/>
      <c r="Y1025" s="54"/>
      <c r="Z1025" s="54"/>
      <c r="AA1025" s="54"/>
      <c r="AB1025" s="54"/>
      <c r="AC1025" s="54"/>
      <c r="AD1025" s="54"/>
      <c r="AE1025" s="54"/>
      <c r="AF1025" s="54"/>
      <c r="AG1025" s="54"/>
      <c r="AH1025" s="54"/>
      <c r="AI1025" s="117">
        <f>SUM(F1025:AH1025)</f>
        <v>1651003.8041769257</v>
      </c>
      <c r="AJ1025" s="117">
        <f>SUM(F1025:U1025)</f>
        <v>1651003.8041769257</v>
      </c>
      <c r="AK1025" s="117">
        <f>SUM(W1025:AH1025)</f>
        <v>0</v>
      </c>
      <c r="AL1025" s="4"/>
      <c r="AM1025" s="127" t="b">
        <f>IF(INDEX($AO1025:$BM1025,0,$F$14)=1,TRUE,FALSE)</f>
        <v>0</v>
      </c>
      <c r="AN1025" s="127" t="str">
        <f>IF(AM1025,A1025&amp;", "&amp;B1025,"")</f>
        <v/>
      </c>
      <c r="AO1025" s="129"/>
      <c r="AP1025" s="129"/>
      <c r="AQ1025" s="129"/>
      <c r="AR1025" s="129"/>
      <c r="AS1025" s="129"/>
      <c r="AT1025" s="129"/>
      <c r="AU1025" s="129"/>
      <c r="AV1025" s="129"/>
      <c r="AW1025" s="129"/>
      <c r="AX1025" s="197"/>
      <c r="AY1025" s="197"/>
      <c r="AZ1025" s="197"/>
      <c r="BA1025" s="197"/>
      <c r="BB1025" s="129"/>
      <c r="BC1025" s="129">
        <v>1</v>
      </c>
      <c r="BD1025" s="129"/>
      <c r="BE1025" s="129"/>
      <c r="BF1025" s="129"/>
      <c r="BG1025" s="129"/>
      <c r="BH1025" s="129"/>
      <c r="BI1025" s="129"/>
      <c r="BJ1025" s="129"/>
      <c r="BK1025" s="129"/>
      <c r="BL1025" s="129"/>
      <c r="BM1025" s="197"/>
    </row>
    <row r="1026" spans="1:65" x14ac:dyDescent="0.25">
      <c r="A1026" s="153" t="s">
        <v>155</v>
      </c>
      <c r="B1026" s="153" t="s">
        <v>26</v>
      </c>
      <c r="C1026" s="172" t="s">
        <v>387</v>
      </c>
      <c r="D1026" s="161">
        <v>15</v>
      </c>
      <c r="E1026" s="168" t="str">
        <f>INDEX(ra_ScName,MATCH(D1026,ra_ScNumber,0))</f>
        <v>Inflation indexation of revenue limit (CPI–X%)</v>
      </c>
      <c r="F1026" s="122">
        <v>49035.270323210039</v>
      </c>
      <c r="G1026" s="122">
        <v>82672.657842407454</v>
      </c>
      <c r="H1026" s="122">
        <v>11850.029746722705</v>
      </c>
      <c r="I1026" s="122">
        <v>31898.425313165309</v>
      </c>
      <c r="J1026" s="122">
        <v>37417.654733316922</v>
      </c>
      <c r="K1026" s="122">
        <v>18103.541672995889</v>
      </c>
      <c r="L1026" s="122">
        <v>30011.944886658075</v>
      </c>
      <c r="M1026" s="122">
        <v>9813.9976441045565</v>
      </c>
      <c r="N1026" s="122">
        <v>42604.61530505462</v>
      </c>
      <c r="O1026" s="122">
        <v>32883.62655806078</v>
      </c>
      <c r="P1026" s="122">
        <v>347704.61154884065</v>
      </c>
      <c r="Q1026" s="122">
        <v>42964.743102587956</v>
      </c>
      <c r="R1026" s="122">
        <v>38876.992309779911</v>
      </c>
      <c r="S1026" s="122">
        <v>127428.68234950617</v>
      </c>
      <c r="T1026" s="122">
        <v>592381.65318247571</v>
      </c>
      <c r="U1026" s="122">
        <v>163750.36110523855</v>
      </c>
      <c r="V1026" s="54"/>
      <c r="W1026" s="54"/>
      <c r="X1026" s="54"/>
      <c r="Y1026" s="54"/>
      <c r="Z1026" s="54"/>
      <c r="AA1026" s="54"/>
      <c r="AB1026" s="54"/>
      <c r="AC1026" s="54"/>
      <c r="AD1026" s="54"/>
      <c r="AE1026" s="54"/>
      <c r="AF1026" s="54"/>
      <c r="AG1026" s="54"/>
      <c r="AH1026" s="54"/>
      <c r="AI1026" s="117">
        <f>SUM(F1026:AH1026)</f>
        <v>1659398.8076241254</v>
      </c>
      <c r="AJ1026" s="117">
        <f>SUM(F1026:U1026)</f>
        <v>1659398.8076241254</v>
      </c>
      <c r="AK1026" s="117">
        <f>SUM(W1026:AH1026)</f>
        <v>0</v>
      </c>
      <c r="AL1026" s="4"/>
      <c r="AM1026" s="127" t="b">
        <f>IF(INDEX($AO1026:$BM1026,0,$F$14)=1,TRUE,FALSE)</f>
        <v>0</v>
      </c>
      <c r="AN1026" s="127" t="str">
        <f>IF(AM1026,A1026&amp;", "&amp;B1026,"")</f>
        <v/>
      </c>
      <c r="AO1026" s="129"/>
      <c r="AP1026" s="129"/>
      <c r="AQ1026" s="129"/>
      <c r="AR1026" s="129"/>
      <c r="AS1026" s="129"/>
      <c r="AT1026" s="129"/>
      <c r="AU1026" s="129"/>
      <c r="AV1026" s="129"/>
      <c r="AW1026" s="129"/>
      <c r="AX1026" s="197"/>
      <c r="AY1026" s="197"/>
      <c r="AZ1026" s="197"/>
      <c r="BA1026" s="197"/>
      <c r="BB1026" s="129"/>
      <c r="BC1026" s="129">
        <v>1</v>
      </c>
      <c r="BD1026" s="129"/>
      <c r="BE1026" s="129"/>
      <c r="BF1026" s="129"/>
      <c r="BG1026" s="129"/>
      <c r="BH1026" s="129"/>
      <c r="BI1026" s="129"/>
      <c r="BJ1026" s="129"/>
      <c r="BK1026" s="129"/>
      <c r="BL1026" s="129"/>
      <c r="BM1026" s="197"/>
    </row>
    <row r="1027" spans="1:65" x14ac:dyDescent="0.25">
      <c r="A1027" s="153" t="s">
        <v>155</v>
      </c>
      <c r="B1027" s="153" t="s">
        <v>27</v>
      </c>
      <c r="C1027" s="172" t="s">
        <v>387</v>
      </c>
      <c r="D1027" s="161">
        <v>15</v>
      </c>
      <c r="E1027" s="168" t="str">
        <f>INDEX(ra_ScName,MATCH(D1027,ra_ScNumber,0))</f>
        <v>Inflation indexation of revenue limit (CPI–X%)</v>
      </c>
      <c r="F1027" s="122">
        <v>58060.329416135231</v>
      </c>
      <c r="G1027" s="122">
        <v>90881.523191861255</v>
      </c>
      <c r="H1027" s="122">
        <v>13155.902964571795</v>
      </c>
      <c r="I1027" s="122">
        <v>33349.233832323109</v>
      </c>
      <c r="J1027" s="122">
        <v>41226.847021856287</v>
      </c>
      <c r="K1027" s="122">
        <v>19376.351045898173</v>
      </c>
      <c r="L1027" s="122">
        <v>32653.576313376117</v>
      </c>
      <c r="M1027" s="122">
        <v>10320.782524267956</v>
      </c>
      <c r="N1027" s="122">
        <v>43348.604129790117</v>
      </c>
      <c r="O1027" s="122">
        <v>32913.814877053621</v>
      </c>
      <c r="P1027" s="122">
        <v>362486.14666138199</v>
      </c>
      <c r="Q1027" s="122">
        <v>47620.228749041249</v>
      </c>
      <c r="R1027" s="122">
        <v>43276.595430038586</v>
      </c>
      <c r="S1027" s="122">
        <v>141539.30138691299</v>
      </c>
      <c r="T1027" s="122">
        <v>641571.44077626104</v>
      </c>
      <c r="U1027" s="122">
        <v>174379.65869056323</v>
      </c>
      <c r="V1027" s="54"/>
      <c r="W1027" s="54"/>
      <c r="X1027" s="54"/>
      <c r="Y1027" s="54"/>
      <c r="Z1027" s="54"/>
      <c r="AA1027" s="54"/>
      <c r="AB1027" s="54"/>
      <c r="AC1027" s="54"/>
      <c r="AD1027" s="54"/>
      <c r="AE1027" s="54"/>
      <c r="AF1027" s="54"/>
      <c r="AG1027" s="54"/>
      <c r="AH1027" s="54"/>
      <c r="AI1027" s="117">
        <f>SUM(F1027:AH1027)</f>
        <v>1786160.3370113326</v>
      </c>
      <c r="AJ1027" s="117">
        <f>SUM(F1027:U1027)</f>
        <v>1786160.3370113326</v>
      </c>
      <c r="AK1027" s="117">
        <f>SUM(W1027:AH1027)</f>
        <v>0</v>
      </c>
      <c r="AL1027" s="4"/>
      <c r="AM1027" s="127" t="b">
        <f>IF(INDEX($AO1027:$BM1027,0,$F$14)=1,TRUE,FALSE)</f>
        <v>0</v>
      </c>
      <c r="AN1027" s="127" t="str">
        <f>IF(AM1027,A1027&amp;", "&amp;B1027,"")</f>
        <v/>
      </c>
      <c r="AO1027" s="129"/>
      <c r="AP1027" s="129"/>
      <c r="AQ1027" s="129"/>
      <c r="AR1027" s="129"/>
      <c r="AS1027" s="129"/>
      <c r="AT1027" s="129"/>
      <c r="AU1027" s="129"/>
      <c r="AV1027" s="129"/>
      <c r="AW1027" s="129"/>
      <c r="AX1027" s="197"/>
      <c r="AY1027" s="197"/>
      <c r="AZ1027" s="197"/>
      <c r="BA1027" s="197"/>
      <c r="BB1027" s="129"/>
      <c r="BC1027" s="129">
        <v>1</v>
      </c>
      <c r="BD1027" s="129"/>
      <c r="BE1027" s="129"/>
      <c r="BF1027" s="129"/>
      <c r="BG1027" s="129"/>
      <c r="BH1027" s="129"/>
      <c r="BI1027" s="129"/>
      <c r="BJ1027" s="129"/>
      <c r="BK1027" s="129"/>
      <c r="BL1027" s="129"/>
      <c r="BM1027" s="197"/>
    </row>
    <row r="1028" spans="1:65" x14ac:dyDescent="0.25">
      <c r="A1028" s="153"/>
      <c r="B1028" s="153"/>
      <c r="C1028" s="172"/>
      <c r="D1028" s="131"/>
      <c r="E1028" s="23"/>
      <c r="F1028" s="54"/>
      <c r="G1028" s="54"/>
      <c r="H1028" s="54"/>
      <c r="I1028" s="54"/>
      <c r="J1028" s="54"/>
      <c r="K1028" s="54"/>
      <c r="L1028" s="54"/>
      <c r="M1028" s="54"/>
      <c r="N1028" s="54"/>
      <c r="O1028" s="54"/>
      <c r="P1028" s="54"/>
      <c r="Q1028" s="54"/>
      <c r="R1028" s="54"/>
      <c r="S1028" s="54"/>
      <c r="T1028" s="54"/>
      <c r="U1028" s="54"/>
      <c r="V1028" s="54"/>
      <c r="W1028" s="54"/>
      <c r="X1028" s="54"/>
      <c r="Y1028" s="54"/>
      <c r="Z1028" s="54"/>
      <c r="AA1028" s="54"/>
      <c r="AB1028" s="54"/>
      <c r="AC1028" s="54"/>
      <c r="AD1028" s="54"/>
      <c r="AE1028" s="54"/>
      <c r="AF1028" s="54"/>
      <c r="AG1028" s="54"/>
      <c r="AH1028" s="54"/>
      <c r="AI1028" s="117"/>
      <c r="AJ1028" s="117"/>
      <c r="AK1028" s="117"/>
      <c r="AL1028" s="4"/>
      <c r="AM1028" s="127"/>
      <c r="AN1028" s="127"/>
      <c r="AO1028" s="129"/>
      <c r="AP1028" s="129"/>
      <c r="AQ1028" s="129"/>
      <c r="AR1028" s="129"/>
      <c r="AS1028" s="129"/>
      <c r="AT1028" s="129"/>
      <c r="AU1028" s="129"/>
      <c r="AV1028" s="129"/>
      <c r="AW1028" s="129"/>
      <c r="AX1028" s="197"/>
      <c r="AY1028" s="197"/>
      <c r="AZ1028" s="197"/>
      <c r="BA1028" s="197"/>
      <c r="BB1028" s="129"/>
      <c r="BC1028" s="129"/>
      <c r="BD1028" s="129"/>
      <c r="BE1028" s="129"/>
      <c r="BF1028" s="129"/>
      <c r="BG1028" s="129"/>
      <c r="BH1028" s="129"/>
      <c r="BI1028" s="129"/>
      <c r="BJ1028" s="129"/>
      <c r="BK1028" s="129"/>
      <c r="BL1028" s="129"/>
      <c r="BM1028" s="197"/>
    </row>
    <row r="1029" spans="1:65" x14ac:dyDescent="0.25">
      <c r="A1029" s="153" t="s">
        <v>155</v>
      </c>
      <c r="B1029" s="153" t="s">
        <v>25</v>
      </c>
      <c r="C1029" s="172" t="s">
        <v>387</v>
      </c>
      <c r="D1029" s="161">
        <v>16</v>
      </c>
      <c r="E1029" s="168" t="str">
        <f>INDEX(ra_ScName,MATCH(D1029,ra_ScNumber,0))</f>
        <v>Pricing beneath limit</v>
      </c>
      <c r="F1029" s="122">
        <v>49015.57052499269</v>
      </c>
      <c r="G1029" s="122">
        <v>87828.842061854724</v>
      </c>
      <c r="H1029" s="122">
        <v>12307.488662851239</v>
      </c>
      <c r="I1029" s="122">
        <v>31767.28371176045</v>
      </c>
      <c r="J1029" s="122">
        <v>35653.511179769586</v>
      </c>
      <c r="K1029" s="122">
        <v>18905.878869671276</v>
      </c>
      <c r="L1029" s="122">
        <v>29627.488310429664</v>
      </c>
      <c r="M1029" s="122">
        <v>9828.603731813444</v>
      </c>
      <c r="N1029" s="122">
        <v>39872.401925892453</v>
      </c>
      <c r="O1029" s="122">
        <v>31663.50951849336</v>
      </c>
      <c r="P1029" s="122">
        <v>336367.51640293619</v>
      </c>
      <c r="Q1029" s="122">
        <v>38655.144837547647</v>
      </c>
      <c r="R1029" s="122">
        <v>40940.994862213578</v>
      </c>
      <c r="S1029" s="122">
        <v>127630.36742585947</v>
      </c>
      <c r="T1029" s="122">
        <v>593697.48447256733</v>
      </c>
      <c r="U1029" s="122">
        <v>167241.71767827275</v>
      </c>
      <c r="V1029" s="54"/>
      <c r="W1029" s="54"/>
      <c r="X1029" s="54"/>
      <c r="Y1029" s="54"/>
      <c r="Z1029" s="54"/>
      <c r="AA1029" s="54"/>
      <c r="AB1029" s="54"/>
      <c r="AC1029" s="54"/>
      <c r="AD1029" s="54"/>
      <c r="AE1029" s="54"/>
      <c r="AF1029" s="54"/>
      <c r="AG1029" s="54"/>
      <c r="AH1029" s="54"/>
      <c r="AI1029" s="117">
        <f>SUM(F1029:AH1029)</f>
        <v>1651003.8041769257</v>
      </c>
      <c r="AJ1029" s="117">
        <f>SUM(F1029:U1029)</f>
        <v>1651003.8041769257</v>
      </c>
      <c r="AK1029" s="117">
        <f>SUM(W1029:AH1029)</f>
        <v>0</v>
      </c>
      <c r="AL1029" s="4"/>
      <c r="AM1029" s="127" t="b">
        <f>IF(INDEX($AO1029:$BM1029,0,$F$14)=1,TRUE,FALSE)</f>
        <v>0</v>
      </c>
      <c r="AN1029" s="127" t="str">
        <f>IF(AM1029,A1029&amp;", "&amp;B1029,"")</f>
        <v/>
      </c>
      <c r="AO1029" s="129"/>
      <c r="AP1029" s="129"/>
      <c r="AQ1029" s="129"/>
      <c r="AR1029" s="129"/>
      <c r="AS1029" s="129"/>
      <c r="AT1029" s="129"/>
      <c r="AU1029" s="129"/>
      <c r="AV1029" s="129"/>
      <c r="AW1029" s="129"/>
      <c r="AX1029" s="197"/>
      <c r="AY1029" s="197"/>
      <c r="AZ1029" s="197"/>
      <c r="BA1029" s="197"/>
      <c r="BB1029" s="129"/>
      <c r="BC1029" s="129"/>
      <c r="BD1029" s="129">
        <v>1</v>
      </c>
      <c r="BE1029" s="129"/>
      <c r="BF1029" s="129"/>
      <c r="BG1029" s="129"/>
      <c r="BH1029" s="129"/>
      <c r="BI1029" s="129"/>
      <c r="BJ1029" s="129"/>
      <c r="BK1029" s="129"/>
      <c r="BL1029" s="129"/>
      <c r="BM1029" s="197"/>
    </row>
    <row r="1030" spans="1:65" x14ac:dyDescent="0.25">
      <c r="A1030" s="153" t="s">
        <v>155</v>
      </c>
      <c r="B1030" s="153" t="s">
        <v>26</v>
      </c>
      <c r="C1030" s="172" t="s">
        <v>387</v>
      </c>
      <c r="D1030" s="161">
        <v>16</v>
      </c>
      <c r="E1030" s="168" t="str">
        <f>INDEX(ra_ScName,MATCH(D1030,ra_ScNumber,0))</f>
        <v>Pricing beneath limit</v>
      </c>
      <c r="F1030" s="122">
        <v>47910.872723977533</v>
      </c>
      <c r="G1030" s="122">
        <v>82402.466830371282</v>
      </c>
      <c r="H1030" s="122">
        <v>11638.27604813005</v>
      </c>
      <c r="I1030" s="122">
        <v>31750.249553340509</v>
      </c>
      <c r="J1030" s="122">
        <v>36817.086373145874</v>
      </c>
      <c r="K1030" s="122">
        <v>17947.91274239741</v>
      </c>
      <c r="L1030" s="122">
        <v>29976.611235674631</v>
      </c>
      <c r="M1030" s="122">
        <v>9811.1963299043855</v>
      </c>
      <c r="N1030" s="122">
        <v>40062.223286124346</v>
      </c>
      <c r="O1030" s="122">
        <v>32708.784282744575</v>
      </c>
      <c r="P1030" s="122">
        <v>345897.59137878788</v>
      </c>
      <c r="Q1030" s="122">
        <v>38414.414029364598</v>
      </c>
      <c r="R1030" s="122">
        <v>36118.387773911869</v>
      </c>
      <c r="S1030" s="122">
        <v>127045.22961064934</v>
      </c>
      <c r="T1030" s="122">
        <v>592370.56530869892</v>
      </c>
      <c r="U1030" s="122">
        <v>163580.85942649018</v>
      </c>
      <c r="V1030" s="54"/>
      <c r="W1030" s="54"/>
      <c r="X1030" s="54"/>
      <c r="Y1030" s="54"/>
      <c r="Z1030" s="54"/>
      <c r="AA1030" s="54"/>
      <c r="AB1030" s="54"/>
      <c r="AC1030" s="54"/>
      <c r="AD1030" s="54"/>
      <c r="AE1030" s="54"/>
      <c r="AF1030" s="54"/>
      <c r="AG1030" s="54"/>
      <c r="AH1030" s="54"/>
      <c r="AI1030" s="117">
        <f>SUM(F1030:AH1030)</f>
        <v>1644452.7269337133</v>
      </c>
      <c r="AJ1030" s="117">
        <f>SUM(F1030:U1030)</f>
        <v>1644452.7269337133</v>
      </c>
      <c r="AK1030" s="117">
        <f>SUM(W1030:AH1030)</f>
        <v>0</v>
      </c>
      <c r="AL1030" s="4"/>
      <c r="AM1030" s="127" t="b">
        <f>IF(INDEX($AO1030:$BM1030,0,$F$14)=1,TRUE,FALSE)</f>
        <v>0</v>
      </c>
      <c r="AN1030" s="127" t="str">
        <f>IF(AM1030,A1030&amp;", "&amp;B1030,"")</f>
        <v/>
      </c>
      <c r="AO1030" s="129"/>
      <c r="AP1030" s="129"/>
      <c r="AQ1030" s="129"/>
      <c r="AR1030" s="129"/>
      <c r="AS1030" s="129"/>
      <c r="AT1030" s="129"/>
      <c r="AU1030" s="129"/>
      <c r="AV1030" s="129"/>
      <c r="AW1030" s="129"/>
      <c r="AX1030" s="197"/>
      <c r="AY1030" s="197"/>
      <c r="AZ1030" s="197"/>
      <c r="BA1030" s="197"/>
      <c r="BB1030" s="129"/>
      <c r="BC1030" s="129"/>
      <c r="BD1030" s="129">
        <v>1</v>
      </c>
      <c r="BE1030" s="129"/>
      <c r="BF1030" s="129"/>
      <c r="BG1030" s="129"/>
      <c r="BH1030" s="129"/>
      <c r="BI1030" s="129"/>
      <c r="BJ1030" s="129"/>
      <c r="BK1030" s="129"/>
      <c r="BL1030" s="129"/>
      <c r="BM1030" s="197"/>
    </row>
    <row r="1031" spans="1:65" x14ac:dyDescent="0.25">
      <c r="A1031" s="153" t="s">
        <v>155</v>
      </c>
      <c r="B1031" s="153" t="s">
        <v>27</v>
      </c>
      <c r="C1031" s="172" t="s">
        <v>387</v>
      </c>
      <c r="D1031" s="161">
        <v>16</v>
      </c>
      <c r="E1031" s="168" t="str">
        <f>INDEX(ra_ScName,MATCH(D1031,ra_ScNumber,0))</f>
        <v>Pricing beneath limit</v>
      </c>
      <c r="F1031" s="122">
        <v>57401.074178207353</v>
      </c>
      <c r="G1031" s="122">
        <v>90414.024959509057</v>
      </c>
      <c r="H1031" s="122">
        <v>12744.922766785021</v>
      </c>
      <c r="I1031" s="122">
        <v>33311.966274190258</v>
      </c>
      <c r="J1031" s="122">
        <v>39371.144704361868</v>
      </c>
      <c r="K1031" s="122">
        <v>19216.163679796089</v>
      </c>
      <c r="L1031" s="122">
        <v>32478.382818862159</v>
      </c>
      <c r="M1031" s="122">
        <v>10120.635250271529</v>
      </c>
      <c r="N1031" s="122">
        <v>39545.355627290017</v>
      </c>
      <c r="O1031" s="122">
        <v>32721.531842536398</v>
      </c>
      <c r="P1031" s="122">
        <v>360892.09742025746</v>
      </c>
      <c r="Q1031" s="122">
        <v>40003.726103500994</v>
      </c>
      <c r="R1031" s="122">
        <v>38101.174422187869</v>
      </c>
      <c r="S1031" s="122">
        <v>141412.44261701597</v>
      </c>
      <c r="T1031" s="122">
        <v>641460.81677398121</v>
      </c>
      <c r="U1031" s="122">
        <v>173888.18708056767</v>
      </c>
      <c r="V1031" s="54"/>
      <c r="W1031" s="54"/>
      <c r="X1031" s="54"/>
      <c r="Y1031" s="54"/>
      <c r="Z1031" s="54"/>
      <c r="AA1031" s="54"/>
      <c r="AB1031" s="54"/>
      <c r="AC1031" s="54"/>
      <c r="AD1031" s="54"/>
      <c r="AE1031" s="54"/>
      <c r="AF1031" s="54"/>
      <c r="AG1031" s="54"/>
      <c r="AH1031" s="54"/>
      <c r="AI1031" s="117">
        <f>SUM(F1031:AH1031)</f>
        <v>1763083.646519321</v>
      </c>
      <c r="AJ1031" s="117">
        <f>SUM(F1031:U1031)</f>
        <v>1763083.646519321</v>
      </c>
      <c r="AK1031" s="117">
        <f>SUM(W1031:AH1031)</f>
        <v>0</v>
      </c>
      <c r="AL1031" s="4"/>
      <c r="AM1031" s="127" t="b">
        <f>IF(INDEX($AO1031:$BM1031,0,$F$14)=1,TRUE,FALSE)</f>
        <v>0</v>
      </c>
      <c r="AN1031" s="127" t="str">
        <f>IF(AM1031,A1031&amp;", "&amp;B1031,"")</f>
        <v/>
      </c>
      <c r="AO1031" s="129"/>
      <c r="AP1031" s="129"/>
      <c r="AQ1031" s="129"/>
      <c r="AR1031" s="129"/>
      <c r="AS1031" s="129"/>
      <c r="AT1031" s="129"/>
      <c r="AU1031" s="129"/>
      <c r="AV1031" s="129"/>
      <c r="AW1031" s="129"/>
      <c r="AX1031" s="197"/>
      <c r="AY1031" s="197"/>
      <c r="AZ1031" s="197"/>
      <c r="BA1031" s="197"/>
      <c r="BB1031" s="129"/>
      <c r="BC1031" s="129"/>
      <c r="BD1031" s="129">
        <v>1</v>
      </c>
      <c r="BE1031" s="129"/>
      <c r="BF1031" s="129"/>
      <c r="BG1031" s="129"/>
      <c r="BH1031" s="129"/>
      <c r="BI1031" s="129"/>
      <c r="BJ1031" s="129"/>
      <c r="BK1031" s="129"/>
      <c r="BL1031" s="129"/>
      <c r="BM1031" s="197"/>
    </row>
    <row r="1032" spans="1:65" x14ac:dyDescent="0.25">
      <c r="A1032" s="153"/>
      <c r="B1032" s="153"/>
      <c r="C1032" s="172"/>
      <c r="D1032" s="131"/>
      <c r="E1032" s="23"/>
      <c r="F1032" s="54"/>
      <c r="G1032" s="54"/>
      <c r="H1032" s="54"/>
      <c r="I1032" s="54"/>
      <c r="J1032" s="54"/>
      <c r="K1032" s="54"/>
      <c r="L1032" s="54"/>
      <c r="M1032" s="54"/>
      <c r="N1032" s="54"/>
      <c r="O1032" s="54"/>
      <c r="P1032" s="54"/>
      <c r="Q1032" s="54"/>
      <c r="R1032" s="54"/>
      <c r="S1032" s="54"/>
      <c r="T1032" s="54"/>
      <c r="U1032" s="54"/>
      <c r="V1032" s="54"/>
      <c r="W1032" s="54"/>
      <c r="X1032" s="54"/>
      <c r="Y1032" s="54"/>
      <c r="Z1032" s="54"/>
      <c r="AA1032" s="54"/>
      <c r="AB1032" s="54"/>
      <c r="AC1032" s="54"/>
      <c r="AD1032" s="54"/>
      <c r="AE1032" s="54"/>
      <c r="AF1032" s="54"/>
      <c r="AG1032" s="54"/>
      <c r="AH1032" s="54"/>
      <c r="AI1032" s="117"/>
      <c r="AJ1032" s="117"/>
      <c r="AK1032" s="117"/>
      <c r="AL1032" s="4"/>
      <c r="AM1032" s="127"/>
      <c r="AN1032" s="127"/>
      <c r="AO1032" s="129"/>
      <c r="AP1032" s="129"/>
      <c r="AQ1032" s="129"/>
      <c r="AR1032" s="129"/>
      <c r="AS1032" s="129"/>
      <c r="AT1032" s="129"/>
      <c r="AU1032" s="129"/>
      <c r="AV1032" s="129"/>
      <c r="AW1032" s="129"/>
      <c r="AX1032" s="197"/>
      <c r="AY1032" s="197"/>
      <c r="AZ1032" s="197"/>
      <c r="BA1032" s="197"/>
      <c r="BB1032" s="129"/>
      <c r="BC1032" s="129"/>
      <c r="BD1032" s="129"/>
      <c r="BE1032" s="129"/>
      <c r="BF1032" s="129"/>
      <c r="BG1032" s="129"/>
      <c r="BH1032" s="129"/>
      <c r="BI1032" s="129"/>
      <c r="BJ1032" s="129"/>
      <c r="BK1032" s="129"/>
      <c r="BL1032" s="129"/>
      <c r="BM1032" s="197"/>
    </row>
    <row r="1033" spans="1:65" x14ac:dyDescent="0.25">
      <c r="A1033" s="153" t="s">
        <v>155</v>
      </c>
      <c r="B1033" s="153" t="s">
        <v>25</v>
      </c>
      <c r="C1033" s="172" t="s">
        <v>387</v>
      </c>
      <c r="D1033" s="161">
        <v>17</v>
      </c>
      <c r="E1033" s="168" t="str">
        <f>INDEX(ra_ScName,MATCH(D1033,ra_ScNumber,0))</f>
        <v>Impact of delay to reset</v>
      </c>
      <c r="F1033" s="122">
        <v>38872.87298</v>
      </c>
      <c r="G1033" s="122">
        <v>84995.000000000015</v>
      </c>
      <c r="H1033" s="122">
        <v>10633.82450000175</v>
      </c>
      <c r="I1033" s="122">
        <v>31736.600000000009</v>
      </c>
      <c r="J1033" s="122">
        <v>34633.449812999985</v>
      </c>
      <c r="K1033" s="122">
        <v>18234.745868138689</v>
      </c>
      <c r="L1033" s="122">
        <v>30126.032779999998</v>
      </c>
      <c r="M1033" s="122">
        <v>9516.9999999999982</v>
      </c>
      <c r="N1033" s="122">
        <v>37379.963399199652</v>
      </c>
      <c r="O1033" s="122">
        <v>30692.57969956092</v>
      </c>
      <c r="P1033" s="122">
        <v>331011.45399999991</v>
      </c>
      <c r="Q1033" s="122">
        <v>34958.335323584986</v>
      </c>
      <c r="R1033" s="122">
        <v>34394.132029285131</v>
      </c>
      <c r="S1033" s="122">
        <v>119166.16376000103</v>
      </c>
      <c r="T1033" s="122">
        <v>607644</v>
      </c>
      <c r="U1033" s="122">
        <v>160055.59000951279</v>
      </c>
      <c r="V1033" s="54"/>
      <c r="W1033" s="54"/>
      <c r="X1033" s="54"/>
      <c r="Y1033" s="54"/>
      <c r="Z1033" s="54"/>
      <c r="AA1033" s="54"/>
      <c r="AB1033" s="54"/>
      <c r="AC1033" s="54"/>
      <c r="AD1033" s="54"/>
      <c r="AE1033" s="54"/>
      <c r="AF1033" s="54"/>
      <c r="AG1033" s="54"/>
      <c r="AH1033" s="54"/>
      <c r="AI1033" s="117">
        <f>SUM(F1033:AH1033)</f>
        <v>1614051.744162285</v>
      </c>
      <c r="AJ1033" s="117">
        <f>SUM(F1033:U1033)</f>
        <v>1614051.744162285</v>
      </c>
      <c r="AK1033" s="117">
        <f>SUM(W1033:AH1033)</f>
        <v>0</v>
      </c>
      <c r="AL1033" s="4"/>
      <c r="AM1033" s="127" t="b">
        <f>IF(INDEX($AO1033:$BM1033,0,$F$14)=1,TRUE,FALSE)</f>
        <v>0</v>
      </c>
      <c r="AN1033" s="127" t="str">
        <f>IF(AM1033,A1033&amp;", "&amp;B1033,"")</f>
        <v/>
      </c>
      <c r="AO1033" s="129"/>
      <c r="AP1033" s="129"/>
      <c r="AQ1033" s="129"/>
      <c r="AR1033" s="129"/>
      <c r="AS1033" s="129"/>
      <c r="AT1033" s="129"/>
      <c r="AU1033" s="129"/>
      <c r="AV1033" s="129"/>
      <c r="AW1033" s="129"/>
      <c r="AX1033" s="197"/>
      <c r="AY1033" s="197"/>
      <c r="AZ1033" s="197"/>
      <c r="BA1033" s="197"/>
      <c r="BB1033" s="129"/>
      <c r="BC1033" s="129"/>
      <c r="BD1033" s="129"/>
      <c r="BE1033" s="129">
        <v>1</v>
      </c>
      <c r="BF1033" s="129"/>
      <c r="BG1033" s="129"/>
      <c r="BH1033" s="129"/>
      <c r="BI1033" s="129"/>
      <c r="BJ1033" s="129"/>
      <c r="BK1033" s="129"/>
      <c r="BL1033" s="129"/>
      <c r="BM1033" s="197"/>
    </row>
    <row r="1034" spans="1:65" x14ac:dyDescent="0.25">
      <c r="A1034" s="153" t="s">
        <v>155</v>
      </c>
      <c r="B1034" s="153" t="s">
        <v>26</v>
      </c>
      <c r="C1034" s="172" t="s">
        <v>387</v>
      </c>
      <c r="D1034" s="161">
        <v>17</v>
      </c>
      <c r="E1034" s="168" t="str">
        <f>INDEX(ra_ScName,MATCH(D1034,ra_ScNumber,0))</f>
        <v>Impact of delay to reset</v>
      </c>
      <c r="F1034" s="122">
        <v>47910.872723977533</v>
      </c>
      <c r="G1034" s="122">
        <v>82402.466830371282</v>
      </c>
      <c r="H1034" s="122">
        <v>11638.27604813005</v>
      </c>
      <c r="I1034" s="122">
        <v>31750.249553340509</v>
      </c>
      <c r="J1034" s="122">
        <v>36817.086373145874</v>
      </c>
      <c r="K1034" s="122">
        <v>17947.91274239741</v>
      </c>
      <c r="L1034" s="122">
        <v>29976.611235674631</v>
      </c>
      <c r="M1034" s="122">
        <v>9811.1963299043855</v>
      </c>
      <c r="N1034" s="122">
        <v>40062.223286124346</v>
      </c>
      <c r="O1034" s="122">
        <v>32708.784282744575</v>
      </c>
      <c r="P1034" s="122">
        <v>345897.59137878788</v>
      </c>
      <c r="Q1034" s="122">
        <v>38414.414029364598</v>
      </c>
      <c r="R1034" s="122">
        <v>36118.387773911869</v>
      </c>
      <c r="S1034" s="122">
        <v>127045.22961064934</v>
      </c>
      <c r="T1034" s="122">
        <v>592370.56530869892</v>
      </c>
      <c r="U1034" s="122">
        <v>163580.85942649018</v>
      </c>
      <c r="V1034" s="54"/>
      <c r="W1034" s="54"/>
      <c r="X1034" s="54"/>
      <c r="Y1034" s="54"/>
      <c r="Z1034" s="54"/>
      <c r="AA1034" s="54"/>
      <c r="AB1034" s="54"/>
      <c r="AC1034" s="54"/>
      <c r="AD1034" s="54"/>
      <c r="AE1034" s="54"/>
      <c r="AF1034" s="54"/>
      <c r="AG1034" s="54"/>
      <c r="AH1034" s="54"/>
      <c r="AI1034" s="117">
        <f>SUM(F1034:AH1034)</f>
        <v>1644452.7269337133</v>
      </c>
      <c r="AJ1034" s="117">
        <f>SUM(F1034:U1034)</f>
        <v>1644452.7269337133</v>
      </c>
      <c r="AK1034" s="117">
        <f>SUM(W1034:AH1034)</f>
        <v>0</v>
      </c>
      <c r="AL1034" s="4"/>
      <c r="AM1034" s="127" t="b">
        <f>IF(INDEX($AO1034:$BM1034,0,$F$14)=1,TRUE,FALSE)</f>
        <v>0</v>
      </c>
      <c r="AN1034" s="127" t="str">
        <f>IF(AM1034,A1034&amp;", "&amp;B1034,"")</f>
        <v/>
      </c>
      <c r="AO1034" s="129"/>
      <c r="AP1034" s="129"/>
      <c r="AQ1034" s="129"/>
      <c r="AR1034" s="129"/>
      <c r="AS1034" s="129"/>
      <c r="AT1034" s="129"/>
      <c r="AU1034" s="129"/>
      <c r="AV1034" s="129"/>
      <c r="AW1034" s="129"/>
      <c r="AX1034" s="197"/>
      <c r="AY1034" s="197"/>
      <c r="AZ1034" s="197"/>
      <c r="BA1034" s="197"/>
      <c r="BB1034" s="129"/>
      <c r="BC1034" s="129"/>
      <c r="BD1034" s="129"/>
      <c r="BE1034" s="129">
        <v>1</v>
      </c>
      <c r="BF1034" s="129"/>
      <c r="BG1034" s="129"/>
      <c r="BH1034" s="129"/>
      <c r="BI1034" s="129"/>
      <c r="BJ1034" s="129"/>
      <c r="BK1034" s="129"/>
      <c r="BL1034" s="129"/>
      <c r="BM1034" s="197"/>
    </row>
    <row r="1035" spans="1:65" x14ac:dyDescent="0.25">
      <c r="A1035" s="153" t="s">
        <v>155</v>
      </c>
      <c r="B1035" s="153" t="s">
        <v>27</v>
      </c>
      <c r="C1035" s="172" t="s">
        <v>387</v>
      </c>
      <c r="D1035" s="161">
        <v>17</v>
      </c>
      <c r="E1035" s="168" t="str">
        <f>INDEX(ra_ScName,MATCH(D1035,ra_ScNumber,0))</f>
        <v>Impact of delay to reset</v>
      </c>
      <c r="F1035" s="122">
        <v>57401.074178207353</v>
      </c>
      <c r="G1035" s="122">
        <v>90414.024959509057</v>
      </c>
      <c r="H1035" s="122">
        <v>12744.922766785021</v>
      </c>
      <c r="I1035" s="122">
        <v>33311.966274190258</v>
      </c>
      <c r="J1035" s="122">
        <v>39371.144704361868</v>
      </c>
      <c r="K1035" s="122">
        <v>19216.163679796089</v>
      </c>
      <c r="L1035" s="122">
        <v>32478.382818862159</v>
      </c>
      <c r="M1035" s="122">
        <v>10120.635250271529</v>
      </c>
      <c r="N1035" s="122">
        <v>39545.355627290017</v>
      </c>
      <c r="O1035" s="122">
        <v>32721.531842536398</v>
      </c>
      <c r="P1035" s="122">
        <v>360892.09742025746</v>
      </c>
      <c r="Q1035" s="122">
        <v>40003.726103500994</v>
      </c>
      <c r="R1035" s="122">
        <v>38101.174422187869</v>
      </c>
      <c r="S1035" s="122">
        <v>141412.44261701597</v>
      </c>
      <c r="T1035" s="122">
        <v>641460.81677398121</v>
      </c>
      <c r="U1035" s="122">
        <v>173888.18708056767</v>
      </c>
      <c r="V1035" s="54"/>
      <c r="W1035" s="54"/>
      <c r="X1035" s="54"/>
      <c r="Y1035" s="54"/>
      <c r="Z1035" s="54"/>
      <c r="AA1035" s="54"/>
      <c r="AB1035" s="54"/>
      <c r="AC1035" s="54"/>
      <c r="AD1035" s="54"/>
      <c r="AE1035" s="54"/>
      <c r="AF1035" s="54"/>
      <c r="AG1035" s="54"/>
      <c r="AH1035" s="54"/>
      <c r="AI1035" s="117">
        <f>SUM(F1035:AH1035)</f>
        <v>1763083.646519321</v>
      </c>
      <c r="AJ1035" s="117">
        <f>SUM(F1035:U1035)</f>
        <v>1763083.646519321</v>
      </c>
      <c r="AK1035" s="117">
        <f>SUM(W1035:AH1035)</f>
        <v>0</v>
      </c>
      <c r="AL1035" s="4"/>
      <c r="AM1035" s="127" t="b">
        <f>IF(INDEX($AO1035:$BM1035,0,$F$14)=1,TRUE,FALSE)</f>
        <v>0</v>
      </c>
      <c r="AN1035" s="127" t="str">
        <f>IF(AM1035,A1035&amp;", "&amp;B1035,"")</f>
        <v/>
      </c>
      <c r="AO1035" s="129"/>
      <c r="AP1035" s="129"/>
      <c r="AQ1035" s="129"/>
      <c r="AR1035" s="129"/>
      <c r="AS1035" s="129"/>
      <c r="AT1035" s="129"/>
      <c r="AU1035" s="129"/>
      <c r="AV1035" s="129"/>
      <c r="AW1035" s="129"/>
      <c r="AX1035" s="197"/>
      <c r="AY1035" s="197"/>
      <c r="AZ1035" s="197"/>
      <c r="BA1035" s="197"/>
      <c r="BB1035" s="129"/>
      <c r="BC1035" s="129"/>
      <c r="BD1035" s="129"/>
      <c r="BE1035" s="129">
        <v>1</v>
      </c>
      <c r="BF1035" s="129"/>
      <c r="BG1035" s="129"/>
      <c r="BH1035" s="129"/>
      <c r="BI1035" s="129"/>
      <c r="BJ1035" s="129"/>
      <c r="BK1035" s="129"/>
      <c r="BL1035" s="129"/>
      <c r="BM1035" s="197"/>
    </row>
    <row r="1036" spans="1:65" x14ac:dyDescent="0.25">
      <c r="A1036" s="153"/>
      <c r="B1036" s="153"/>
      <c r="C1036" s="172"/>
      <c r="D1036" s="131"/>
      <c r="E1036" s="23"/>
      <c r="F1036" s="54"/>
      <c r="G1036" s="54"/>
      <c r="H1036" s="54"/>
      <c r="I1036" s="54"/>
      <c r="J1036" s="54"/>
      <c r="K1036" s="54"/>
      <c r="L1036" s="54"/>
      <c r="M1036" s="54"/>
      <c r="N1036" s="54"/>
      <c r="O1036" s="54"/>
      <c r="P1036" s="54"/>
      <c r="Q1036" s="54"/>
      <c r="R1036" s="54"/>
      <c r="S1036" s="54"/>
      <c r="T1036" s="54"/>
      <c r="U1036" s="54"/>
      <c r="V1036" s="54"/>
      <c r="W1036" s="54"/>
      <c r="X1036" s="54"/>
      <c r="Y1036" s="54"/>
      <c r="Z1036" s="54"/>
      <c r="AA1036" s="54"/>
      <c r="AB1036" s="54"/>
      <c r="AC1036" s="54"/>
      <c r="AD1036" s="54"/>
      <c r="AE1036" s="54"/>
      <c r="AF1036" s="54"/>
      <c r="AG1036" s="54"/>
      <c r="AH1036" s="54"/>
      <c r="AI1036" s="117"/>
      <c r="AJ1036" s="117"/>
      <c r="AK1036" s="117"/>
      <c r="AL1036" s="4"/>
      <c r="AM1036" s="127"/>
      <c r="AN1036" s="127"/>
      <c r="AO1036" s="129"/>
      <c r="AP1036" s="129"/>
      <c r="AQ1036" s="129"/>
      <c r="AR1036" s="129"/>
      <c r="AS1036" s="129"/>
      <c r="AT1036" s="129"/>
      <c r="AU1036" s="129"/>
      <c r="AV1036" s="129"/>
      <c r="AW1036" s="129"/>
      <c r="AX1036" s="197"/>
      <c r="AY1036" s="197"/>
      <c r="AZ1036" s="197"/>
      <c r="BA1036" s="197"/>
      <c r="BB1036" s="129"/>
      <c r="BC1036" s="129"/>
      <c r="BD1036" s="129"/>
      <c r="BE1036" s="129"/>
      <c r="BF1036" s="129"/>
      <c r="BG1036" s="129"/>
      <c r="BH1036" s="129"/>
      <c r="BI1036" s="129"/>
      <c r="BJ1036" s="129"/>
      <c r="BK1036" s="129"/>
      <c r="BL1036" s="129"/>
      <c r="BM1036" s="197"/>
    </row>
    <row r="1037" spans="1:65" x14ac:dyDescent="0.25">
      <c r="A1037" s="153" t="s">
        <v>155</v>
      </c>
      <c r="B1037" s="153" t="s">
        <v>25</v>
      </c>
      <c r="C1037" s="172" t="s">
        <v>387</v>
      </c>
      <c r="D1037" s="161">
        <v>18</v>
      </c>
      <c r="E1037" s="168" t="str">
        <f>INDEX(ra_ScName,MATCH(D1037,ra_ScNumber,0))</f>
        <v>Clawback for delay</v>
      </c>
      <c r="F1037" s="122">
        <v>38872.87298</v>
      </c>
      <c r="G1037" s="122">
        <v>84995.000000000015</v>
      </c>
      <c r="H1037" s="122">
        <v>10633.82450000175</v>
      </c>
      <c r="I1037" s="122">
        <v>31736.600000000009</v>
      </c>
      <c r="J1037" s="122">
        <v>34633.449812999985</v>
      </c>
      <c r="K1037" s="122">
        <v>18234.745868138689</v>
      </c>
      <c r="L1037" s="122">
        <v>30126.032779999998</v>
      </c>
      <c r="M1037" s="122">
        <v>9516.9999999999982</v>
      </c>
      <c r="N1037" s="122">
        <v>37379.963399199652</v>
      </c>
      <c r="O1037" s="122">
        <v>30692.57969956092</v>
      </c>
      <c r="P1037" s="122">
        <v>331011.45399999991</v>
      </c>
      <c r="Q1037" s="122">
        <v>34958.335323584986</v>
      </c>
      <c r="R1037" s="122">
        <v>34394.132029285131</v>
      </c>
      <c r="S1037" s="122">
        <v>119166.16376000103</v>
      </c>
      <c r="T1037" s="122">
        <v>607644</v>
      </c>
      <c r="U1037" s="122">
        <v>160055.59000951279</v>
      </c>
      <c r="V1037" s="54"/>
      <c r="W1037" s="54"/>
      <c r="X1037" s="54"/>
      <c r="Y1037" s="54"/>
      <c r="Z1037" s="54"/>
      <c r="AA1037" s="54"/>
      <c r="AB1037" s="54"/>
      <c r="AC1037" s="54"/>
      <c r="AD1037" s="54"/>
      <c r="AE1037" s="54"/>
      <c r="AF1037" s="54"/>
      <c r="AG1037" s="54"/>
      <c r="AH1037" s="54"/>
      <c r="AI1037" s="117">
        <f>SUM(F1037:AH1037)</f>
        <v>1614051.744162285</v>
      </c>
      <c r="AJ1037" s="117">
        <f>SUM(F1037:U1037)</f>
        <v>1614051.744162285</v>
      </c>
      <c r="AK1037" s="117">
        <f>SUM(W1037:AH1037)</f>
        <v>0</v>
      </c>
      <c r="AL1037" s="4"/>
      <c r="AM1037" s="127" t="b">
        <f>IF(INDEX($AO1037:$BM1037,0,$F$14)=1,TRUE,FALSE)</f>
        <v>0</v>
      </c>
      <c r="AN1037" s="127" t="str">
        <f>IF(AM1037,A1037&amp;", "&amp;B1037,"")</f>
        <v/>
      </c>
      <c r="AO1037" s="129"/>
      <c r="AP1037" s="129"/>
      <c r="AQ1037" s="129"/>
      <c r="AR1037" s="129"/>
      <c r="AS1037" s="129"/>
      <c r="AT1037" s="129"/>
      <c r="AU1037" s="129"/>
      <c r="AV1037" s="129"/>
      <c r="AW1037" s="129"/>
      <c r="AX1037" s="197"/>
      <c r="AY1037" s="197"/>
      <c r="AZ1037" s="197"/>
      <c r="BA1037" s="197"/>
      <c r="BB1037" s="129"/>
      <c r="BC1037" s="129"/>
      <c r="BD1037" s="129"/>
      <c r="BE1037" s="129"/>
      <c r="BF1037" s="129">
        <v>1</v>
      </c>
      <c r="BG1037" s="129"/>
      <c r="BH1037" s="129"/>
      <c r="BI1037" s="129"/>
      <c r="BJ1037" s="129"/>
      <c r="BK1037" s="129"/>
      <c r="BL1037" s="129"/>
      <c r="BM1037" s="197"/>
    </row>
    <row r="1038" spans="1:65" x14ac:dyDescent="0.25">
      <c r="A1038" s="153" t="s">
        <v>155</v>
      </c>
      <c r="B1038" s="153" t="s">
        <v>26</v>
      </c>
      <c r="C1038" s="172" t="s">
        <v>387</v>
      </c>
      <c r="D1038" s="161">
        <v>18</v>
      </c>
      <c r="E1038" s="168" t="str">
        <f>INDEX(ra_ScName,MATCH(D1038,ra_ScNumber,0))</f>
        <v>Clawback for delay</v>
      </c>
      <c r="F1038" s="122">
        <v>47910.872723977533</v>
      </c>
      <c r="G1038" s="122">
        <v>82402.466830371282</v>
      </c>
      <c r="H1038" s="122">
        <v>11638.27604813005</v>
      </c>
      <c r="I1038" s="122">
        <v>31750.249553340509</v>
      </c>
      <c r="J1038" s="122">
        <v>36817.086373145874</v>
      </c>
      <c r="K1038" s="122">
        <v>17947.91274239741</v>
      </c>
      <c r="L1038" s="122">
        <v>29976.611235674631</v>
      </c>
      <c r="M1038" s="122">
        <v>9811.1963299043855</v>
      </c>
      <c r="N1038" s="122">
        <v>40062.223286124346</v>
      </c>
      <c r="O1038" s="122">
        <v>32708.784282744575</v>
      </c>
      <c r="P1038" s="122">
        <v>345897.59137878788</v>
      </c>
      <c r="Q1038" s="122">
        <v>38414.414029364598</v>
      </c>
      <c r="R1038" s="122">
        <v>36118.387773911869</v>
      </c>
      <c r="S1038" s="122">
        <v>127045.22961064934</v>
      </c>
      <c r="T1038" s="122">
        <v>592370.56530869892</v>
      </c>
      <c r="U1038" s="122">
        <v>163580.85942649018</v>
      </c>
      <c r="V1038" s="54"/>
      <c r="W1038" s="54"/>
      <c r="X1038" s="54"/>
      <c r="Y1038" s="54"/>
      <c r="Z1038" s="54"/>
      <c r="AA1038" s="54"/>
      <c r="AB1038" s="54"/>
      <c r="AC1038" s="54"/>
      <c r="AD1038" s="54"/>
      <c r="AE1038" s="54"/>
      <c r="AF1038" s="54"/>
      <c r="AG1038" s="54"/>
      <c r="AH1038" s="54"/>
      <c r="AI1038" s="117">
        <f>SUM(F1038:AH1038)</f>
        <v>1644452.7269337133</v>
      </c>
      <c r="AJ1038" s="117">
        <f>SUM(F1038:U1038)</f>
        <v>1644452.7269337133</v>
      </c>
      <c r="AK1038" s="117">
        <f>SUM(W1038:AH1038)</f>
        <v>0</v>
      </c>
      <c r="AL1038" s="4"/>
      <c r="AM1038" s="127" t="b">
        <f>IF(INDEX($AO1038:$BM1038,0,$F$14)=1,TRUE,FALSE)</f>
        <v>0</v>
      </c>
      <c r="AN1038" s="127" t="str">
        <f>IF(AM1038,A1038&amp;", "&amp;B1038,"")</f>
        <v/>
      </c>
      <c r="AO1038" s="129"/>
      <c r="AP1038" s="129"/>
      <c r="AQ1038" s="129"/>
      <c r="AR1038" s="129"/>
      <c r="AS1038" s="129"/>
      <c r="AT1038" s="129"/>
      <c r="AU1038" s="129"/>
      <c r="AV1038" s="129"/>
      <c r="AW1038" s="129"/>
      <c r="AX1038" s="197"/>
      <c r="AY1038" s="197"/>
      <c r="AZ1038" s="197"/>
      <c r="BA1038" s="197"/>
      <c r="BB1038" s="129"/>
      <c r="BC1038" s="129"/>
      <c r="BD1038" s="129"/>
      <c r="BE1038" s="129"/>
      <c r="BF1038" s="129">
        <v>1</v>
      </c>
      <c r="BG1038" s="129"/>
      <c r="BH1038" s="129"/>
      <c r="BI1038" s="129"/>
      <c r="BJ1038" s="129"/>
      <c r="BK1038" s="129"/>
      <c r="BL1038" s="129"/>
      <c r="BM1038" s="197"/>
    </row>
    <row r="1039" spans="1:65" x14ac:dyDescent="0.25">
      <c r="A1039" s="153" t="s">
        <v>155</v>
      </c>
      <c r="B1039" s="153" t="s">
        <v>27</v>
      </c>
      <c r="C1039" s="172" t="s">
        <v>387</v>
      </c>
      <c r="D1039" s="161">
        <v>18</v>
      </c>
      <c r="E1039" s="168" t="str">
        <f>INDEX(ra_ScName,MATCH(D1039,ra_ScNumber,0))</f>
        <v>Clawback for delay</v>
      </c>
      <c r="F1039" s="122">
        <v>68698.366112543124</v>
      </c>
      <c r="G1039" s="122">
        <v>90829.957959509062</v>
      </c>
      <c r="H1039" s="122">
        <v>14609.108557978256</v>
      </c>
      <c r="I1039" s="122">
        <v>33346.343274190258</v>
      </c>
      <c r="J1039" s="122">
        <v>40513.608704361868</v>
      </c>
      <c r="K1039" s="122">
        <v>19978.083339796089</v>
      </c>
      <c r="L1039" s="122">
        <v>31816.38681886216</v>
      </c>
      <c r="M1039" s="122">
        <v>10465.081250271529</v>
      </c>
      <c r="N1039" s="122">
        <v>42338.040627290022</v>
      </c>
      <c r="O1039" s="122">
        <v>33820.427842536395</v>
      </c>
      <c r="P1039" s="122">
        <v>366892.09742025746</v>
      </c>
      <c r="Q1039" s="122">
        <v>40003.726103500994</v>
      </c>
      <c r="R1039" s="122">
        <v>45391.458477510838</v>
      </c>
      <c r="S1039" s="122">
        <v>150839.999949997</v>
      </c>
      <c r="T1039" s="122">
        <v>625680.55377398117</v>
      </c>
      <c r="U1039" s="122">
        <v>181939.18708056767</v>
      </c>
      <c r="V1039" s="54"/>
      <c r="W1039" s="54"/>
      <c r="X1039" s="54"/>
      <c r="Y1039" s="54"/>
      <c r="Z1039" s="54"/>
      <c r="AA1039" s="54"/>
      <c r="AB1039" s="54"/>
      <c r="AC1039" s="54"/>
      <c r="AD1039" s="54"/>
      <c r="AE1039" s="54"/>
      <c r="AF1039" s="54"/>
      <c r="AG1039" s="54"/>
      <c r="AH1039" s="54"/>
      <c r="AI1039" s="117">
        <f>SUM(F1039:AH1039)</f>
        <v>1797162.4272931539</v>
      </c>
      <c r="AJ1039" s="117">
        <f>SUM(F1039:U1039)</f>
        <v>1797162.4272931539</v>
      </c>
      <c r="AK1039" s="117">
        <f>SUM(W1039:AH1039)</f>
        <v>0</v>
      </c>
      <c r="AL1039" s="4"/>
      <c r="AM1039" s="127" t="b">
        <f>IF(INDEX($AO1039:$BM1039,0,$F$14)=1,TRUE,FALSE)</f>
        <v>0</v>
      </c>
      <c r="AN1039" s="127" t="str">
        <f>IF(AM1039,A1039&amp;", "&amp;B1039,"")</f>
        <v/>
      </c>
      <c r="AO1039" s="129"/>
      <c r="AP1039" s="129"/>
      <c r="AQ1039" s="129"/>
      <c r="AR1039" s="129"/>
      <c r="AS1039" s="129"/>
      <c r="AT1039" s="129"/>
      <c r="AU1039" s="129"/>
      <c r="AV1039" s="129"/>
      <c r="AW1039" s="129"/>
      <c r="AX1039" s="197"/>
      <c r="AY1039" s="197"/>
      <c r="AZ1039" s="197"/>
      <c r="BA1039" s="197"/>
      <c r="BB1039" s="129"/>
      <c r="BC1039" s="129"/>
      <c r="BD1039" s="129"/>
      <c r="BE1039" s="129"/>
      <c r="BF1039" s="129">
        <v>1</v>
      </c>
      <c r="BG1039" s="129"/>
      <c r="BH1039" s="129"/>
      <c r="BI1039" s="129"/>
      <c r="BJ1039" s="129"/>
      <c r="BK1039" s="129"/>
      <c r="BL1039" s="129"/>
      <c r="BM1039" s="197"/>
    </row>
    <row r="1040" spans="1:65" x14ac:dyDescent="0.25">
      <c r="A1040" s="153"/>
      <c r="B1040" s="153"/>
      <c r="C1040" s="172"/>
      <c r="D1040" s="131"/>
      <c r="E1040" s="23"/>
      <c r="F1040" s="54"/>
      <c r="G1040" s="54"/>
      <c r="H1040" s="54"/>
      <c r="I1040" s="54"/>
      <c r="J1040" s="54"/>
      <c r="K1040" s="54"/>
      <c r="L1040" s="54"/>
      <c r="M1040" s="54"/>
      <c r="N1040" s="54"/>
      <c r="O1040" s="54"/>
      <c r="P1040" s="54"/>
      <c r="Q1040" s="54"/>
      <c r="R1040" s="54"/>
      <c r="S1040" s="54"/>
      <c r="T1040" s="54"/>
      <c r="U1040" s="54"/>
      <c r="V1040" s="54"/>
      <c r="W1040" s="54"/>
      <c r="X1040" s="54"/>
      <c r="Y1040" s="54"/>
      <c r="Z1040" s="54"/>
      <c r="AA1040" s="54"/>
      <c r="AB1040" s="54"/>
      <c r="AC1040" s="54"/>
      <c r="AD1040" s="54"/>
      <c r="AE1040" s="54"/>
      <c r="AF1040" s="54"/>
      <c r="AG1040" s="54"/>
      <c r="AH1040" s="54"/>
      <c r="AI1040" s="117"/>
      <c r="AJ1040" s="117"/>
      <c r="AK1040" s="117"/>
      <c r="AL1040" s="4"/>
      <c r="AM1040" s="127"/>
      <c r="AN1040" s="127"/>
      <c r="AO1040" s="129"/>
      <c r="AP1040" s="129"/>
      <c r="AQ1040" s="129"/>
      <c r="AR1040" s="129"/>
      <c r="AS1040" s="129"/>
      <c r="AT1040" s="129"/>
      <c r="AU1040" s="129"/>
      <c r="AV1040" s="129"/>
      <c r="AW1040" s="129"/>
      <c r="AX1040" s="197"/>
      <c r="AY1040" s="197"/>
      <c r="AZ1040" s="197"/>
      <c r="BA1040" s="197"/>
      <c r="BB1040" s="129"/>
      <c r="BC1040" s="129"/>
      <c r="BD1040" s="129"/>
      <c r="BE1040" s="129"/>
      <c r="BF1040" s="129"/>
      <c r="BG1040" s="129"/>
      <c r="BH1040" s="129"/>
      <c r="BI1040" s="129"/>
      <c r="BJ1040" s="129"/>
      <c r="BK1040" s="129"/>
      <c r="BL1040" s="129"/>
      <c r="BM1040" s="197"/>
    </row>
    <row r="1041" spans="1:65" x14ac:dyDescent="0.25">
      <c r="A1041" s="153" t="s">
        <v>155</v>
      </c>
      <c r="B1041" s="153" t="s">
        <v>25</v>
      </c>
      <c r="C1041" s="172" t="s">
        <v>387</v>
      </c>
      <c r="D1041" s="161">
        <v>19</v>
      </c>
      <c r="E1041" s="168" t="str">
        <f>INDEX(ra_ScName,MATCH(D1041,ra_ScNumber,0))</f>
        <v>10% cap</v>
      </c>
      <c r="F1041" s="122">
        <v>38872.87298</v>
      </c>
      <c r="G1041" s="122">
        <v>84995.000000000015</v>
      </c>
      <c r="H1041" s="122">
        <v>10633.82450000175</v>
      </c>
      <c r="I1041" s="122">
        <v>31736.600000000009</v>
      </c>
      <c r="J1041" s="122">
        <v>34633.449812999985</v>
      </c>
      <c r="K1041" s="122">
        <v>18234.745868138689</v>
      </c>
      <c r="L1041" s="122">
        <v>30126.032779999998</v>
      </c>
      <c r="M1041" s="122">
        <v>9516.9999999999982</v>
      </c>
      <c r="N1041" s="122">
        <v>37379.963399199652</v>
      </c>
      <c r="O1041" s="122">
        <v>30692.57969956092</v>
      </c>
      <c r="P1041" s="122">
        <v>331011.45399999991</v>
      </c>
      <c r="Q1041" s="122">
        <v>34958.335323584986</v>
      </c>
      <c r="R1041" s="122">
        <v>34394.132029285131</v>
      </c>
      <c r="S1041" s="122">
        <v>119166.16376000103</v>
      </c>
      <c r="T1041" s="122">
        <v>607644</v>
      </c>
      <c r="U1041" s="122">
        <v>160055.59000951279</v>
      </c>
      <c r="V1041" s="54"/>
      <c r="W1041" s="54"/>
      <c r="X1041" s="54"/>
      <c r="Y1041" s="54"/>
      <c r="Z1041" s="54"/>
      <c r="AA1041" s="54"/>
      <c r="AB1041" s="54"/>
      <c r="AC1041" s="54"/>
      <c r="AD1041" s="54"/>
      <c r="AE1041" s="54"/>
      <c r="AF1041" s="54"/>
      <c r="AG1041" s="54"/>
      <c r="AH1041" s="54"/>
      <c r="AI1041" s="117">
        <f>SUM(F1041:AH1041)</f>
        <v>1614051.744162285</v>
      </c>
      <c r="AJ1041" s="117">
        <f>SUM(F1041:U1041)</f>
        <v>1614051.744162285</v>
      </c>
      <c r="AK1041" s="117">
        <f>SUM(W1041:AH1041)</f>
        <v>0</v>
      </c>
      <c r="AL1041" s="4"/>
      <c r="AM1041" s="127" t="b">
        <f>IF(INDEX($AO1041:$BM1041,0,$F$14)=1,TRUE,FALSE)</f>
        <v>0</v>
      </c>
      <c r="AN1041" s="127" t="str">
        <f>IF(AM1041,A1041&amp;", "&amp;B1041,"")</f>
        <v/>
      </c>
      <c r="AO1041" s="129"/>
      <c r="AP1041" s="129"/>
      <c r="AQ1041" s="129"/>
      <c r="AR1041" s="129"/>
      <c r="AS1041" s="129"/>
      <c r="AT1041" s="129"/>
      <c r="AU1041" s="129"/>
      <c r="AV1041" s="129"/>
      <c r="AW1041" s="129"/>
      <c r="AX1041" s="197"/>
      <c r="AY1041" s="197"/>
      <c r="AZ1041" s="197"/>
      <c r="BA1041" s="197"/>
      <c r="BB1041" s="129"/>
      <c r="BC1041" s="129"/>
      <c r="BD1041" s="129"/>
      <c r="BE1041" s="129"/>
      <c r="BF1041" s="129"/>
      <c r="BG1041" s="129">
        <v>1</v>
      </c>
      <c r="BH1041" s="129"/>
      <c r="BI1041" s="129"/>
      <c r="BJ1041" s="129"/>
      <c r="BK1041" s="129"/>
      <c r="BL1041" s="129"/>
      <c r="BM1041" s="197"/>
    </row>
    <row r="1042" spans="1:65" x14ac:dyDescent="0.25">
      <c r="A1042" s="153" t="s">
        <v>155</v>
      </c>
      <c r="B1042" s="153" t="s">
        <v>26</v>
      </c>
      <c r="C1042" s="172" t="s">
        <v>387</v>
      </c>
      <c r="D1042" s="161">
        <v>19</v>
      </c>
      <c r="E1042" s="168" t="str">
        <f>INDEX(ra_ScName,MATCH(D1042,ra_ScNumber,0))</f>
        <v>10% cap</v>
      </c>
      <c r="F1042" s="122">
        <v>42358.592603821009</v>
      </c>
      <c r="G1042" s="122">
        <v>82402.466830371282</v>
      </c>
      <c r="H1042" s="122">
        <v>11139.320094518789</v>
      </c>
      <c r="I1042" s="122">
        <v>31750.249553340509</v>
      </c>
      <c r="J1042" s="122">
        <v>36817.086373145874</v>
      </c>
      <c r="K1042" s="122">
        <v>17947.91274239741</v>
      </c>
      <c r="L1042" s="122">
        <v>29976.611235674631</v>
      </c>
      <c r="M1042" s="122">
        <v>9811.1963299043855</v>
      </c>
      <c r="N1042" s="122">
        <v>40062.223286124346</v>
      </c>
      <c r="O1042" s="122">
        <v>32708.784282744575</v>
      </c>
      <c r="P1042" s="122">
        <v>345897.59137878788</v>
      </c>
      <c r="Q1042" s="122">
        <v>37135.147098156354</v>
      </c>
      <c r="R1042" s="122">
        <v>34870.224595671534</v>
      </c>
      <c r="S1042" s="122">
        <v>127045.22961064934</v>
      </c>
      <c r="T1042" s="122">
        <v>592370.56530869892</v>
      </c>
      <c r="U1042" s="122">
        <v>163580.85942649018</v>
      </c>
      <c r="V1042" s="54"/>
      <c r="W1042" s="54"/>
      <c r="X1042" s="54"/>
      <c r="Y1042" s="54"/>
      <c r="Z1042" s="54"/>
      <c r="AA1042" s="54"/>
      <c r="AB1042" s="54"/>
      <c r="AC1042" s="54"/>
      <c r="AD1042" s="54"/>
      <c r="AE1042" s="54"/>
      <c r="AF1042" s="54"/>
      <c r="AG1042" s="54"/>
      <c r="AH1042" s="54"/>
      <c r="AI1042" s="117">
        <f>SUM(F1042:AH1042)</f>
        <v>1635874.060750497</v>
      </c>
      <c r="AJ1042" s="117">
        <f>SUM(F1042:U1042)</f>
        <v>1635874.060750497</v>
      </c>
      <c r="AK1042" s="117">
        <f>SUM(W1042:AH1042)</f>
        <v>0</v>
      </c>
      <c r="AL1042" s="4"/>
      <c r="AM1042" s="127" t="b">
        <f>IF(INDEX($AO1042:$BM1042,0,$F$14)=1,TRUE,FALSE)</f>
        <v>0</v>
      </c>
      <c r="AN1042" s="127" t="str">
        <f>IF(AM1042,A1042&amp;", "&amp;B1042,"")</f>
        <v/>
      </c>
      <c r="AO1042" s="129"/>
      <c r="AP1042" s="129"/>
      <c r="AQ1042" s="129"/>
      <c r="AR1042" s="129"/>
      <c r="AS1042" s="129"/>
      <c r="AT1042" s="129"/>
      <c r="AU1042" s="129"/>
      <c r="AV1042" s="129"/>
      <c r="AW1042" s="129"/>
      <c r="AX1042" s="197"/>
      <c r="AY1042" s="197"/>
      <c r="AZ1042" s="197"/>
      <c r="BA1042" s="197"/>
      <c r="BB1042" s="129"/>
      <c r="BC1042" s="129"/>
      <c r="BD1042" s="129"/>
      <c r="BE1042" s="129"/>
      <c r="BF1042" s="129"/>
      <c r="BG1042" s="129">
        <v>1</v>
      </c>
      <c r="BH1042" s="129"/>
      <c r="BI1042" s="129"/>
      <c r="BJ1042" s="129"/>
      <c r="BK1042" s="129"/>
      <c r="BL1042" s="129"/>
      <c r="BM1042" s="197"/>
    </row>
    <row r="1043" spans="1:65" x14ac:dyDescent="0.25">
      <c r="A1043" s="153" t="s">
        <v>155</v>
      </c>
      <c r="B1043" s="153" t="s">
        <v>27</v>
      </c>
      <c r="C1043" s="172" t="s">
        <v>387</v>
      </c>
      <c r="D1043" s="161">
        <v>19</v>
      </c>
      <c r="E1043" s="168" t="str">
        <f>INDEX(ra_ScName,MATCH(D1043,ra_ScNumber,0))</f>
        <v>10% cap</v>
      </c>
      <c r="F1043" s="122">
        <v>62421.27546828967</v>
      </c>
      <c r="G1043" s="122">
        <v>90829.957959509062</v>
      </c>
      <c r="H1043" s="122">
        <v>14049.522644837889</v>
      </c>
      <c r="I1043" s="122">
        <v>33346.343274190258</v>
      </c>
      <c r="J1043" s="122">
        <v>40513.608704361868</v>
      </c>
      <c r="K1043" s="122">
        <v>19978.083339796089</v>
      </c>
      <c r="L1043" s="122">
        <v>31816.38681886216</v>
      </c>
      <c r="M1043" s="122">
        <v>10465.081250271529</v>
      </c>
      <c r="N1043" s="122">
        <v>42338.040627290022</v>
      </c>
      <c r="O1043" s="122">
        <v>33820.427842536395</v>
      </c>
      <c r="P1043" s="122">
        <v>366892.09742025746</v>
      </c>
      <c r="Q1043" s="122">
        <v>38566.029727423651</v>
      </c>
      <c r="R1043" s="122">
        <v>43983.72914851948</v>
      </c>
      <c r="S1043" s="122">
        <v>150839.999949997</v>
      </c>
      <c r="T1043" s="122">
        <v>625680.55377398117</v>
      </c>
      <c r="U1043" s="122">
        <v>181939.18708056767</v>
      </c>
      <c r="V1043" s="54"/>
      <c r="W1043" s="54"/>
      <c r="X1043" s="54"/>
      <c r="Y1043" s="54"/>
      <c r="Z1043" s="54"/>
      <c r="AA1043" s="54"/>
      <c r="AB1043" s="54"/>
      <c r="AC1043" s="54"/>
      <c r="AD1043" s="54"/>
      <c r="AE1043" s="54"/>
      <c r="AF1043" s="54"/>
      <c r="AG1043" s="54"/>
      <c r="AH1043" s="54"/>
      <c r="AI1043" s="117">
        <f>SUM(F1043:AH1043)</f>
        <v>1787480.3250306915</v>
      </c>
      <c r="AJ1043" s="117">
        <f>SUM(F1043:U1043)</f>
        <v>1787480.3250306915</v>
      </c>
      <c r="AK1043" s="117">
        <f>SUM(W1043:AH1043)</f>
        <v>0</v>
      </c>
      <c r="AL1043" s="4"/>
      <c r="AM1043" s="127" t="b">
        <f>IF(INDEX($AO1043:$BM1043,0,$F$14)=1,TRUE,FALSE)</f>
        <v>0</v>
      </c>
      <c r="AN1043" s="127" t="str">
        <f>IF(AM1043,A1043&amp;", "&amp;B1043,"")</f>
        <v/>
      </c>
      <c r="AO1043" s="129"/>
      <c r="AP1043" s="129"/>
      <c r="AQ1043" s="129"/>
      <c r="AR1043" s="129"/>
      <c r="AS1043" s="129"/>
      <c r="AT1043" s="129"/>
      <c r="AU1043" s="129"/>
      <c r="AV1043" s="129"/>
      <c r="AW1043" s="129"/>
      <c r="AX1043" s="197"/>
      <c r="AY1043" s="197"/>
      <c r="AZ1043" s="197"/>
      <c r="BA1043" s="197"/>
      <c r="BB1043" s="129"/>
      <c r="BC1043" s="129"/>
      <c r="BD1043" s="129"/>
      <c r="BE1043" s="129"/>
      <c r="BF1043" s="129"/>
      <c r="BG1043" s="129">
        <v>1</v>
      </c>
      <c r="BH1043" s="129"/>
      <c r="BI1043" s="129"/>
      <c r="BJ1043" s="129"/>
      <c r="BK1043" s="129"/>
      <c r="BL1043" s="129"/>
      <c r="BM1043" s="197"/>
    </row>
    <row r="1044" spans="1:65" x14ac:dyDescent="0.25">
      <c r="A1044" s="153"/>
      <c r="B1044" s="153"/>
      <c r="C1044" s="172"/>
      <c r="D1044" s="131"/>
      <c r="E1044" s="23"/>
      <c r="F1044" s="54"/>
      <c r="G1044" s="54"/>
      <c r="H1044" s="54"/>
      <c r="I1044" s="54"/>
      <c r="J1044" s="54"/>
      <c r="K1044" s="54"/>
      <c r="L1044" s="54"/>
      <c r="M1044" s="54"/>
      <c r="N1044" s="54"/>
      <c r="O1044" s="54"/>
      <c r="P1044" s="54"/>
      <c r="Q1044" s="54"/>
      <c r="R1044" s="54"/>
      <c r="S1044" s="54"/>
      <c r="T1044" s="54"/>
      <c r="U1044" s="54"/>
      <c r="V1044" s="54"/>
      <c r="W1044" s="54"/>
      <c r="X1044" s="54"/>
      <c r="Y1044" s="54"/>
      <c r="Z1044" s="54"/>
      <c r="AA1044" s="54"/>
      <c r="AB1044" s="54"/>
      <c r="AC1044" s="54"/>
      <c r="AD1044" s="54"/>
      <c r="AE1044" s="54"/>
      <c r="AF1044" s="54"/>
      <c r="AG1044" s="54"/>
      <c r="AH1044" s="54"/>
      <c r="AI1044" s="117"/>
      <c r="AJ1044" s="117"/>
      <c r="AK1044" s="117"/>
      <c r="AL1044" s="4"/>
      <c r="AM1044" s="127"/>
      <c r="AN1044" s="127"/>
      <c r="AO1044" s="129"/>
      <c r="AP1044" s="129"/>
      <c r="AQ1044" s="129"/>
      <c r="AR1044" s="129"/>
      <c r="AS1044" s="129"/>
      <c r="AT1044" s="129"/>
      <c r="AU1044" s="129"/>
      <c r="AV1044" s="129"/>
      <c r="AW1044" s="129"/>
      <c r="AX1044" s="197"/>
      <c r="AY1044" s="197"/>
      <c r="AZ1044" s="197"/>
      <c r="BA1044" s="197"/>
      <c r="BB1044" s="129"/>
      <c r="BC1044" s="129"/>
      <c r="BD1044" s="129"/>
      <c r="BE1044" s="129"/>
      <c r="BF1044" s="129"/>
      <c r="BG1044" s="129"/>
      <c r="BH1044" s="129"/>
      <c r="BI1044" s="129"/>
      <c r="BJ1044" s="129"/>
      <c r="BK1044" s="129"/>
      <c r="BL1044" s="129"/>
      <c r="BM1044" s="197"/>
    </row>
    <row r="1045" spans="1:65" x14ac:dyDescent="0.25">
      <c r="A1045" s="153" t="s">
        <v>155</v>
      </c>
      <c r="B1045" s="153" t="s">
        <v>25</v>
      </c>
      <c r="C1045" s="172" t="s">
        <v>387</v>
      </c>
      <c r="D1045" s="161">
        <v>20</v>
      </c>
      <c r="E1045" s="168" t="str">
        <f>INDEX(ra_ScName,MATCH(D1045,ra_ScNumber,0))</f>
        <v>NPV adjustment for 10% cap</v>
      </c>
      <c r="F1045" s="122">
        <v>38872.87298</v>
      </c>
      <c r="G1045" s="122">
        <v>84995.000000000015</v>
      </c>
      <c r="H1045" s="122">
        <v>10633.82450000175</v>
      </c>
      <c r="I1045" s="122">
        <v>31736.600000000009</v>
      </c>
      <c r="J1045" s="122">
        <v>34633.449812999985</v>
      </c>
      <c r="K1045" s="122">
        <v>18234.745868138689</v>
      </c>
      <c r="L1045" s="122">
        <v>30126.032779999998</v>
      </c>
      <c r="M1045" s="122">
        <v>9516.9999999999982</v>
      </c>
      <c r="N1045" s="122">
        <v>37379.963399199652</v>
      </c>
      <c r="O1045" s="122">
        <v>30692.57969956092</v>
      </c>
      <c r="P1045" s="122">
        <v>331011.45399999991</v>
      </c>
      <c r="Q1045" s="122">
        <v>34958.335323584986</v>
      </c>
      <c r="R1045" s="122">
        <v>34394.132029285131</v>
      </c>
      <c r="S1045" s="122">
        <v>119166.16376000103</v>
      </c>
      <c r="T1045" s="122">
        <v>607644</v>
      </c>
      <c r="U1045" s="122">
        <v>160055.59000951279</v>
      </c>
      <c r="V1045" s="54"/>
      <c r="W1045" s="54"/>
      <c r="X1045" s="54"/>
      <c r="Y1045" s="54"/>
      <c r="Z1045" s="54"/>
      <c r="AA1045" s="54"/>
      <c r="AB1045" s="54"/>
      <c r="AC1045" s="54"/>
      <c r="AD1045" s="54"/>
      <c r="AE1045" s="54"/>
      <c r="AF1045" s="54"/>
      <c r="AG1045" s="54"/>
      <c r="AH1045" s="54"/>
      <c r="AI1045" s="117">
        <f>SUM(F1045:AH1045)</f>
        <v>1614051.744162285</v>
      </c>
      <c r="AJ1045" s="117">
        <f>SUM(F1045:U1045)</f>
        <v>1614051.744162285</v>
      </c>
      <c r="AK1045" s="117">
        <f>SUM(W1045:AH1045)</f>
        <v>0</v>
      </c>
      <c r="AL1045" s="4"/>
      <c r="AM1045" s="127" t="b">
        <f>IF(INDEX($AO1045:$BM1045,0,$F$14)=1,TRUE,FALSE)</f>
        <v>0</v>
      </c>
      <c r="AN1045" s="127" t="str">
        <f>IF(AM1045,A1045&amp;", "&amp;B1045,"")</f>
        <v/>
      </c>
      <c r="AO1045" s="129"/>
      <c r="AP1045" s="129"/>
      <c r="AQ1045" s="129"/>
      <c r="AR1045" s="129"/>
      <c r="AS1045" s="129"/>
      <c r="AT1045" s="129"/>
      <c r="AU1045" s="129"/>
      <c r="AV1045" s="129"/>
      <c r="AW1045" s="129"/>
      <c r="AX1045" s="197"/>
      <c r="AY1045" s="197"/>
      <c r="AZ1045" s="197"/>
      <c r="BA1045" s="197"/>
      <c r="BB1045" s="129"/>
      <c r="BC1045" s="129"/>
      <c r="BD1045" s="129"/>
      <c r="BE1045" s="129"/>
      <c r="BF1045" s="129"/>
      <c r="BG1045" s="129"/>
      <c r="BH1045" s="129">
        <v>1</v>
      </c>
      <c r="BI1045" s="129"/>
      <c r="BJ1045" s="129"/>
      <c r="BK1045" s="129"/>
      <c r="BL1045" s="129"/>
      <c r="BM1045" s="197"/>
    </row>
    <row r="1046" spans="1:65" x14ac:dyDescent="0.25">
      <c r="A1046" s="153" t="s">
        <v>155</v>
      </c>
      <c r="B1046" s="153" t="s">
        <v>26</v>
      </c>
      <c r="C1046" s="172" t="s">
        <v>387</v>
      </c>
      <c r="D1046" s="161">
        <v>20</v>
      </c>
      <c r="E1046" s="168" t="str">
        <f>INDEX(ra_ScName,MATCH(D1046,ra_ScNumber,0))</f>
        <v>NPV adjustment for 10% cap</v>
      </c>
      <c r="F1046" s="122">
        <v>42358.592603821009</v>
      </c>
      <c r="G1046" s="122">
        <v>82402.466830371282</v>
      </c>
      <c r="H1046" s="122">
        <v>11139.320094518789</v>
      </c>
      <c r="I1046" s="122">
        <v>31750.249553340509</v>
      </c>
      <c r="J1046" s="122">
        <v>36817.086373145874</v>
      </c>
      <c r="K1046" s="122">
        <v>17947.91274239741</v>
      </c>
      <c r="L1046" s="122">
        <v>29976.611235674631</v>
      </c>
      <c r="M1046" s="122">
        <v>9811.1963299043855</v>
      </c>
      <c r="N1046" s="122">
        <v>40062.223286124346</v>
      </c>
      <c r="O1046" s="122">
        <v>32708.784282744575</v>
      </c>
      <c r="P1046" s="122">
        <v>345897.59137878788</v>
      </c>
      <c r="Q1046" s="122">
        <v>37135.147098156354</v>
      </c>
      <c r="R1046" s="122">
        <v>34870.224595671534</v>
      </c>
      <c r="S1046" s="122">
        <v>127045.22961064934</v>
      </c>
      <c r="T1046" s="122">
        <v>592370.56530869892</v>
      </c>
      <c r="U1046" s="122">
        <v>163580.85942649018</v>
      </c>
      <c r="V1046" s="54"/>
      <c r="W1046" s="54"/>
      <c r="X1046" s="54"/>
      <c r="Y1046" s="54"/>
      <c r="Z1046" s="54"/>
      <c r="AA1046" s="54"/>
      <c r="AB1046" s="54"/>
      <c r="AC1046" s="54"/>
      <c r="AD1046" s="54"/>
      <c r="AE1046" s="54"/>
      <c r="AF1046" s="54"/>
      <c r="AG1046" s="54"/>
      <c r="AH1046" s="54"/>
      <c r="AI1046" s="117">
        <f>SUM(F1046:AH1046)</f>
        <v>1635874.060750497</v>
      </c>
      <c r="AJ1046" s="117">
        <f>SUM(F1046:U1046)</f>
        <v>1635874.060750497</v>
      </c>
      <c r="AK1046" s="117">
        <f>SUM(W1046:AH1046)</f>
        <v>0</v>
      </c>
      <c r="AL1046" s="4"/>
      <c r="AM1046" s="127" t="b">
        <f>IF(INDEX($AO1046:$BM1046,0,$F$14)=1,TRUE,FALSE)</f>
        <v>0</v>
      </c>
      <c r="AN1046" s="127" t="str">
        <f>IF(AM1046,A1046&amp;", "&amp;B1046,"")</f>
        <v/>
      </c>
      <c r="AO1046" s="129"/>
      <c r="AP1046" s="129"/>
      <c r="AQ1046" s="129"/>
      <c r="AR1046" s="129"/>
      <c r="AS1046" s="129"/>
      <c r="AT1046" s="129"/>
      <c r="AU1046" s="129"/>
      <c r="AV1046" s="129"/>
      <c r="AW1046" s="129"/>
      <c r="AX1046" s="197"/>
      <c r="AY1046" s="197"/>
      <c r="AZ1046" s="197"/>
      <c r="BA1046" s="197"/>
      <c r="BB1046" s="129"/>
      <c r="BC1046" s="129"/>
      <c r="BD1046" s="129"/>
      <c r="BE1046" s="129"/>
      <c r="BF1046" s="129"/>
      <c r="BG1046" s="129"/>
      <c r="BH1046" s="129">
        <v>1</v>
      </c>
      <c r="BI1046" s="129"/>
      <c r="BJ1046" s="129"/>
      <c r="BK1046" s="129"/>
      <c r="BL1046" s="129"/>
      <c r="BM1046" s="197"/>
    </row>
    <row r="1047" spans="1:65" x14ac:dyDescent="0.25">
      <c r="A1047" s="153" t="s">
        <v>155</v>
      </c>
      <c r="B1047" s="153" t="s">
        <v>27</v>
      </c>
      <c r="C1047" s="172" t="s">
        <v>387</v>
      </c>
      <c r="D1047" s="161">
        <v>20</v>
      </c>
      <c r="E1047" s="168" t="str">
        <f>INDEX(ra_ScName,MATCH(D1047,ra_ScNumber,0))</f>
        <v>NPV adjustment for 10% cap</v>
      </c>
      <c r="F1047" s="122">
        <v>74505.728768927758</v>
      </c>
      <c r="G1047" s="122">
        <v>90829.957959509062</v>
      </c>
      <c r="H1047" s="122">
        <v>15131.013158095477</v>
      </c>
      <c r="I1047" s="122">
        <v>33346.343274190258</v>
      </c>
      <c r="J1047" s="122">
        <v>40513.608704361868</v>
      </c>
      <c r="K1047" s="122">
        <v>19978.083339796089</v>
      </c>
      <c r="L1047" s="122">
        <v>31816.38681886216</v>
      </c>
      <c r="M1047" s="122">
        <v>10465.081250271529</v>
      </c>
      <c r="N1047" s="122">
        <v>42338.040627290022</v>
      </c>
      <c r="O1047" s="122">
        <v>33820.427842536395</v>
      </c>
      <c r="P1047" s="122">
        <v>366892.09742025746</v>
      </c>
      <c r="Q1047" s="122">
        <v>38566.029727423651</v>
      </c>
      <c r="R1047" s="122">
        <v>46696.983892111712</v>
      </c>
      <c r="S1047" s="122">
        <v>150839.999949997</v>
      </c>
      <c r="T1047" s="122">
        <v>625680.55377398117</v>
      </c>
      <c r="U1047" s="122">
        <v>181939.18708056767</v>
      </c>
      <c r="V1047" s="54"/>
      <c r="W1047" s="54"/>
      <c r="X1047" s="54"/>
      <c r="Y1047" s="54"/>
      <c r="Z1047" s="54"/>
      <c r="AA1047" s="54"/>
      <c r="AB1047" s="54"/>
      <c r="AC1047" s="54"/>
      <c r="AD1047" s="54"/>
      <c r="AE1047" s="54"/>
      <c r="AF1047" s="54"/>
      <c r="AG1047" s="54"/>
      <c r="AH1047" s="54"/>
      <c r="AI1047" s="117">
        <f>SUM(F1047:AH1047)</f>
        <v>1803359.5235881796</v>
      </c>
      <c r="AJ1047" s="117">
        <f>SUM(F1047:U1047)</f>
        <v>1803359.5235881796</v>
      </c>
      <c r="AK1047" s="117">
        <f>SUM(W1047:AH1047)</f>
        <v>0</v>
      </c>
      <c r="AL1047" s="4"/>
      <c r="AM1047" s="127" t="b">
        <f>IF(INDEX($AO1047:$BM1047,0,$F$14)=1,TRUE,FALSE)</f>
        <v>0</v>
      </c>
      <c r="AN1047" s="127" t="str">
        <f>IF(AM1047,A1047&amp;", "&amp;B1047,"")</f>
        <v/>
      </c>
      <c r="AO1047" s="129"/>
      <c r="AP1047" s="129"/>
      <c r="AQ1047" s="129"/>
      <c r="AR1047" s="129"/>
      <c r="AS1047" s="129"/>
      <c r="AT1047" s="129"/>
      <c r="AU1047" s="129"/>
      <c r="AV1047" s="129"/>
      <c r="AW1047" s="129"/>
      <c r="AX1047" s="197"/>
      <c r="AY1047" s="197"/>
      <c r="AZ1047" s="197"/>
      <c r="BA1047" s="197"/>
      <c r="BB1047" s="129"/>
      <c r="BC1047" s="129"/>
      <c r="BD1047" s="129"/>
      <c r="BE1047" s="129"/>
      <c r="BF1047" s="129"/>
      <c r="BG1047" s="129"/>
      <c r="BH1047" s="129">
        <v>1</v>
      </c>
      <c r="BI1047" s="129"/>
      <c r="BJ1047" s="129"/>
      <c r="BK1047" s="129"/>
      <c r="BL1047" s="129"/>
      <c r="BM1047" s="197"/>
    </row>
    <row r="1048" spans="1:65" s="4" customFormat="1" x14ac:dyDescent="0.25">
      <c r="A1048" s="176"/>
      <c r="B1048" s="176"/>
      <c r="C1048" s="176"/>
      <c r="D1048" s="161"/>
      <c r="E1048" s="176"/>
      <c r="F1048" s="117"/>
      <c r="G1048" s="117"/>
      <c r="H1048" s="117"/>
      <c r="I1048" s="117"/>
      <c r="J1048" s="117"/>
      <c r="K1048" s="117"/>
      <c r="L1048" s="117"/>
      <c r="M1048" s="117"/>
      <c r="N1048" s="117"/>
      <c r="O1048" s="117"/>
      <c r="P1048" s="117"/>
      <c r="Q1048" s="117"/>
      <c r="R1048" s="117"/>
      <c r="S1048" s="117"/>
      <c r="T1048" s="117"/>
      <c r="U1048" s="117"/>
      <c r="V1048" s="54"/>
      <c r="W1048" s="54"/>
      <c r="X1048" s="54"/>
      <c r="Y1048" s="54"/>
      <c r="Z1048" s="54"/>
      <c r="AA1048" s="54"/>
      <c r="AB1048" s="54"/>
      <c r="AC1048" s="54"/>
      <c r="AD1048" s="54"/>
      <c r="AE1048" s="54"/>
      <c r="AF1048" s="54"/>
      <c r="AG1048" s="54"/>
      <c r="AH1048" s="54"/>
      <c r="AI1048" s="117"/>
      <c r="AJ1048" s="117"/>
      <c r="AK1048" s="117"/>
      <c r="AM1048" s="127"/>
      <c r="AN1048" s="127"/>
      <c r="AO1048" s="129"/>
      <c r="AP1048" s="129"/>
      <c r="AQ1048" s="129"/>
      <c r="AR1048" s="129"/>
      <c r="AS1048" s="129"/>
      <c r="AT1048" s="129"/>
      <c r="AU1048" s="129"/>
      <c r="AV1048" s="129"/>
      <c r="AW1048" s="129"/>
      <c r="AX1048" s="197"/>
      <c r="AY1048" s="197"/>
      <c r="AZ1048" s="197"/>
      <c r="BA1048" s="197"/>
      <c r="BB1048" s="129"/>
      <c r="BC1048" s="129"/>
      <c r="BD1048" s="129"/>
      <c r="BE1048" s="129"/>
      <c r="BF1048" s="129"/>
      <c r="BG1048" s="129"/>
      <c r="BH1048" s="129"/>
      <c r="BI1048" s="129"/>
      <c r="BJ1048" s="129"/>
      <c r="BK1048" s="129"/>
      <c r="BL1048" s="129"/>
      <c r="BM1048" s="197"/>
    </row>
    <row r="1049" spans="1:65" s="4" customFormat="1" x14ac:dyDescent="0.25">
      <c r="A1049" s="176" t="s">
        <v>155</v>
      </c>
      <c r="B1049" s="176" t="s">
        <v>25</v>
      </c>
      <c r="C1049" s="176" t="s">
        <v>387</v>
      </c>
      <c r="D1049" s="161">
        <v>21</v>
      </c>
      <c r="E1049" s="176" t="str">
        <f>INDEX(ra_ScName,MATCH(D1049,ra_ScNumber,0))</f>
        <v>Payments for avoided costs of transmission</v>
      </c>
      <c r="F1049" s="122">
        <v>38872.87298</v>
      </c>
      <c r="G1049" s="122">
        <v>84995.000000000015</v>
      </c>
      <c r="H1049" s="122">
        <v>10633.82450000175</v>
      </c>
      <c r="I1049" s="122">
        <v>31736.600000000009</v>
      </c>
      <c r="J1049" s="122">
        <v>34633.449812999985</v>
      </c>
      <c r="K1049" s="122">
        <v>18234.745868138689</v>
      </c>
      <c r="L1049" s="122">
        <v>30126.032779999998</v>
      </c>
      <c r="M1049" s="122">
        <v>9516.9999999999982</v>
      </c>
      <c r="N1049" s="122">
        <v>37379.963399199652</v>
      </c>
      <c r="O1049" s="122">
        <v>30692.57969956092</v>
      </c>
      <c r="P1049" s="122">
        <v>331316.45399999991</v>
      </c>
      <c r="Q1049" s="122">
        <v>34958.335323584986</v>
      </c>
      <c r="R1049" s="122">
        <v>35965.888029285132</v>
      </c>
      <c r="S1049" s="122">
        <v>119301.16376000103</v>
      </c>
      <c r="T1049" s="122">
        <v>607644</v>
      </c>
      <c r="U1049" s="122">
        <v>160055.59000951279</v>
      </c>
      <c r="V1049" s="54"/>
      <c r="W1049" s="54"/>
      <c r="X1049" s="54"/>
      <c r="Y1049" s="54"/>
      <c r="Z1049" s="54"/>
      <c r="AA1049" s="54"/>
      <c r="AB1049" s="54"/>
      <c r="AC1049" s="54"/>
      <c r="AD1049" s="54"/>
      <c r="AE1049" s="54"/>
      <c r="AF1049" s="54"/>
      <c r="AG1049" s="54"/>
      <c r="AH1049" s="54"/>
      <c r="AI1049" s="117">
        <f>SUM(F1049:AH1049)</f>
        <v>1616063.5001622848</v>
      </c>
      <c r="AJ1049" s="117">
        <f>SUM(F1049:U1049)</f>
        <v>1616063.5001622848</v>
      </c>
      <c r="AK1049" s="117">
        <f>SUM(W1049:AH1049)</f>
        <v>0</v>
      </c>
      <c r="AM1049" s="127" t="b">
        <f>IF(INDEX($AO1049:$BM1049,0,$F$14)=1,TRUE,FALSE)</f>
        <v>0</v>
      </c>
      <c r="AN1049" s="127" t="str">
        <f>IF(AM1049,A1049&amp;", "&amp;B1049,"")</f>
        <v/>
      </c>
      <c r="AO1049" s="129"/>
      <c r="AP1049" s="129"/>
      <c r="AQ1049" s="129"/>
      <c r="AR1049" s="129"/>
      <c r="AS1049" s="129"/>
      <c r="AT1049" s="129"/>
      <c r="AU1049" s="129"/>
      <c r="AV1049" s="129"/>
      <c r="AW1049" s="129"/>
      <c r="AX1049" s="197"/>
      <c r="AY1049" s="197"/>
      <c r="AZ1049" s="197"/>
      <c r="BA1049" s="197"/>
      <c r="BB1049" s="129"/>
      <c r="BC1049" s="129"/>
      <c r="BD1049" s="129"/>
      <c r="BE1049" s="129"/>
      <c r="BF1049" s="129"/>
      <c r="BG1049" s="129"/>
      <c r="BH1049" s="129"/>
      <c r="BI1049" s="129">
        <v>1</v>
      </c>
      <c r="BJ1049" s="129"/>
      <c r="BK1049" s="129"/>
      <c r="BL1049" s="129"/>
      <c r="BM1049" s="197"/>
    </row>
    <row r="1050" spans="1:65" s="4" customFormat="1" x14ac:dyDescent="0.25">
      <c r="A1050" s="176" t="s">
        <v>155</v>
      </c>
      <c r="B1050" s="176" t="s">
        <v>26</v>
      </c>
      <c r="C1050" s="176" t="s">
        <v>387</v>
      </c>
      <c r="D1050" s="161">
        <v>21</v>
      </c>
      <c r="E1050" s="176" t="str">
        <f>INDEX(ra_ScName,MATCH(D1050,ra_ScNumber,0))</f>
        <v>Payments for avoided costs of transmission</v>
      </c>
      <c r="F1050" s="122">
        <v>42358.592603821009</v>
      </c>
      <c r="G1050" s="122">
        <v>82402.466830371282</v>
      </c>
      <c r="H1050" s="122">
        <v>11139.320094518789</v>
      </c>
      <c r="I1050" s="122">
        <v>31750.249553340509</v>
      </c>
      <c r="J1050" s="122">
        <v>36817.086373145874</v>
      </c>
      <c r="K1050" s="122">
        <v>17947.91274239741</v>
      </c>
      <c r="L1050" s="122">
        <v>29976.611235674631</v>
      </c>
      <c r="M1050" s="122">
        <v>9811.1963299043855</v>
      </c>
      <c r="N1050" s="122">
        <v>40062.223286124346</v>
      </c>
      <c r="O1050" s="122">
        <v>32708.784282744575</v>
      </c>
      <c r="P1050" s="122">
        <v>346202.59137878788</v>
      </c>
      <c r="Q1050" s="122">
        <v>37135.147098156354</v>
      </c>
      <c r="R1050" s="122">
        <v>36581.293595671537</v>
      </c>
      <c r="S1050" s="122">
        <v>127274.22961064934</v>
      </c>
      <c r="T1050" s="122">
        <v>592370.56530869892</v>
      </c>
      <c r="U1050" s="122">
        <v>163580.85942649018</v>
      </c>
      <c r="V1050" s="54"/>
      <c r="W1050" s="54"/>
      <c r="X1050" s="54"/>
      <c r="Y1050" s="54"/>
      <c r="Z1050" s="54"/>
      <c r="AA1050" s="54"/>
      <c r="AB1050" s="54"/>
      <c r="AC1050" s="54"/>
      <c r="AD1050" s="54"/>
      <c r="AE1050" s="54"/>
      <c r="AF1050" s="54"/>
      <c r="AG1050" s="54"/>
      <c r="AH1050" s="54"/>
      <c r="AI1050" s="117">
        <f>SUM(F1050:AH1050)</f>
        <v>1638119.1297504972</v>
      </c>
      <c r="AJ1050" s="117">
        <f>SUM(F1050:U1050)</f>
        <v>1638119.1297504972</v>
      </c>
      <c r="AK1050" s="117">
        <f>SUM(W1050:AH1050)</f>
        <v>0</v>
      </c>
      <c r="AM1050" s="127" t="b">
        <f>IF(INDEX($AO1050:$BM1050,0,$F$14)=1,TRUE,FALSE)</f>
        <v>0</v>
      </c>
      <c r="AN1050" s="127" t="str">
        <f>IF(AM1050,A1050&amp;", "&amp;B1050,"")</f>
        <v/>
      </c>
      <c r="AO1050" s="129"/>
      <c r="AP1050" s="129"/>
      <c r="AQ1050" s="129"/>
      <c r="AR1050" s="129"/>
      <c r="AS1050" s="129"/>
      <c r="AT1050" s="129"/>
      <c r="AU1050" s="129"/>
      <c r="AV1050" s="129"/>
      <c r="AW1050" s="129"/>
      <c r="AX1050" s="197"/>
      <c r="AY1050" s="197"/>
      <c r="AZ1050" s="197"/>
      <c r="BA1050" s="197"/>
      <c r="BB1050" s="129"/>
      <c r="BC1050" s="129"/>
      <c r="BD1050" s="129"/>
      <c r="BE1050" s="129"/>
      <c r="BF1050" s="129"/>
      <c r="BG1050" s="129"/>
      <c r="BH1050" s="129"/>
      <c r="BI1050" s="129">
        <v>1</v>
      </c>
      <c r="BJ1050" s="129"/>
      <c r="BK1050" s="129"/>
      <c r="BL1050" s="129"/>
      <c r="BM1050" s="197"/>
    </row>
    <row r="1051" spans="1:65" s="4" customFormat="1" x14ac:dyDescent="0.25">
      <c r="A1051" s="176" t="s">
        <v>155</v>
      </c>
      <c r="B1051" s="176" t="s">
        <v>27</v>
      </c>
      <c r="C1051" s="176" t="s">
        <v>387</v>
      </c>
      <c r="D1051" s="161">
        <v>21</v>
      </c>
      <c r="E1051" s="176" t="str">
        <f>INDEX(ra_ScName,MATCH(D1051,ra_ScNumber,0))</f>
        <v>Payments for avoided costs of transmission</v>
      </c>
      <c r="F1051" s="122">
        <v>74505.728768927758</v>
      </c>
      <c r="G1051" s="122">
        <v>90829.957959509062</v>
      </c>
      <c r="H1051" s="122">
        <v>15131.013158095477</v>
      </c>
      <c r="I1051" s="122">
        <v>33346.343274190258</v>
      </c>
      <c r="J1051" s="122">
        <v>40513.608704361868</v>
      </c>
      <c r="K1051" s="122">
        <v>19978.083339796089</v>
      </c>
      <c r="L1051" s="122">
        <v>31816.38681886216</v>
      </c>
      <c r="M1051" s="122">
        <v>10465.081250271529</v>
      </c>
      <c r="N1051" s="122">
        <v>42338.040627290022</v>
      </c>
      <c r="O1051" s="122">
        <v>35105.037842536396</v>
      </c>
      <c r="P1051" s="122">
        <v>367197.09742025746</v>
      </c>
      <c r="Q1051" s="122">
        <v>38566.029727423651</v>
      </c>
      <c r="R1051" s="122">
        <v>48590.113792111712</v>
      </c>
      <c r="S1051" s="122">
        <v>151146.999949997</v>
      </c>
      <c r="T1051" s="122">
        <v>625680.55377398117</v>
      </c>
      <c r="U1051" s="122">
        <v>181939.18708056767</v>
      </c>
      <c r="V1051" s="54"/>
      <c r="W1051" s="54"/>
      <c r="X1051" s="54"/>
      <c r="Y1051" s="54"/>
      <c r="Z1051" s="54"/>
      <c r="AA1051" s="54"/>
      <c r="AB1051" s="54"/>
      <c r="AC1051" s="54"/>
      <c r="AD1051" s="54"/>
      <c r="AE1051" s="54"/>
      <c r="AF1051" s="54"/>
      <c r="AG1051" s="54"/>
      <c r="AH1051" s="54"/>
      <c r="AI1051" s="117">
        <f>SUM(F1051:AH1051)</f>
        <v>1807149.2634881795</v>
      </c>
      <c r="AJ1051" s="117">
        <f>SUM(F1051:U1051)</f>
        <v>1807149.2634881795</v>
      </c>
      <c r="AK1051" s="117">
        <f>SUM(W1051:AH1051)</f>
        <v>0</v>
      </c>
      <c r="AM1051" s="127" t="b">
        <f>IF(INDEX($AO1051:$BM1051,0,$F$14)=1,TRUE,FALSE)</f>
        <v>0</v>
      </c>
      <c r="AN1051" s="127" t="str">
        <f>IF(AM1051,A1051&amp;", "&amp;B1051,"")</f>
        <v/>
      </c>
      <c r="AO1051" s="129"/>
      <c r="AP1051" s="129"/>
      <c r="AQ1051" s="129"/>
      <c r="AR1051" s="129"/>
      <c r="AS1051" s="129"/>
      <c r="AT1051" s="129"/>
      <c r="AU1051" s="129"/>
      <c r="AV1051" s="129"/>
      <c r="AW1051" s="129"/>
      <c r="AX1051" s="197"/>
      <c r="AY1051" s="197"/>
      <c r="AZ1051" s="197"/>
      <c r="BA1051" s="197"/>
      <c r="BB1051" s="129"/>
      <c r="BC1051" s="129"/>
      <c r="BD1051" s="129"/>
      <c r="BE1051" s="129"/>
      <c r="BF1051" s="129"/>
      <c r="BG1051" s="129"/>
      <c r="BH1051" s="129"/>
      <c r="BI1051" s="129">
        <v>1</v>
      </c>
      <c r="BJ1051" s="129"/>
      <c r="BK1051" s="129"/>
      <c r="BL1051" s="129"/>
      <c r="BM1051" s="197"/>
    </row>
    <row r="1052" spans="1:65" x14ac:dyDescent="0.25">
      <c r="A1052" s="153"/>
      <c r="B1052" s="153"/>
      <c r="C1052" s="172"/>
      <c r="D1052" s="131"/>
      <c r="E1052" s="23"/>
      <c r="F1052" s="54"/>
      <c r="G1052" s="54"/>
      <c r="H1052" s="54"/>
      <c r="I1052" s="54"/>
      <c r="J1052" s="54"/>
      <c r="K1052" s="54"/>
      <c r="L1052" s="54"/>
      <c r="M1052" s="54"/>
      <c r="N1052" s="54"/>
      <c r="O1052" s="54"/>
      <c r="P1052" s="54"/>
      <c r="Q1052" s="54"/>
      <c r="R1052" s="54"/>
      <c r="S1052" s="54"/>
      <c r="T1052" s="54"/>
      <c r="U1052" s="54"/>
      <c r="V1052" s="54"/>
      <c r="W1052" s="54"/>
      <c r="X1052" s="54"/>
      <c r="Y1052" s="54"/>
      <c r="Z1052" s="54"/>
      <c r="AA1052" s="54"/>
      <c r="AB1052" s="54"/>
      <c r="AC1052" s="54"/>
      <c r="AD1052" s="54"/>
      <c r="AE1052" s="54"/>
      <c r="AF1052" s="54"/>
      <c r="AG1052" s="54"/>
      <c r="AH1052" s="54"/>
      <c r="AI1052" s="117"/>
      <c r="AJ1052" s="117"/>
      <c r="AK1052" s="117"/>
      <c r="AL1052" s="4"/>
      <c r="AM1052" s="127"/>
      <c r="AN1052" s="127"/>
      <c r="AO1052" s="129"/>
      <c r="AP1052" s="129"/>
      <c r="AQ1052" s="129"/>
      <c r="AR1052" s="129"/>
      <c r="AS1052" s="129"/>
      <c r="AT1052" s="129"/>
      <c r="AU1052" s="129"/>
      <c r="AV1052" s="129"/>
      <c r="AW1052" s="129"/>
      <c r="AX1052" s="197"/>
      <c r="AY1052" s="197"/>
      <c r="AZ1052" s="197"/>
      <c r="BA1052" s="197"/>
      <c r="BB1052" s="129"/>
      <c r="BC1052" s="129"/>
      <c r="BD1052" s="129"/>
      <c r="BE1052" s="129"/>
      <c r="BF1052" s="129"/>
      <c r="BG1052" s="129"/>
      <c r="BH1052" s="129"/>
      <c r="BI1052" s="129"/>
      <c r="BJ1052" s="129"/>
      <c r="BK1052" s="129"/>
      <c r="BL1052" s="129"/>
      <c r="BM1052" s="197"/>
    </row>
    <row r="1053" spans="1:65" x14ac:dyDescent="0.25">
      <c r="A1053" s="153" t="s">
        <v>155</v>
      </c>
      <c r="B1053" s="153" t="s">
        <v>25</v>
      </c>
      <c r="C1053" s="172" t="s">
        <v>387</v>
      </c>
      <c r="D1053" s="161">
        <v>22</v>
      </c>
      <c r="E1053" s="168" t="str">
        <f>INDEX(ra_ScName,MATCH(D1053,ra_ScNumber,0))</f>
        <v>Other regulatory income</v>
      </c>
      <c r="F1053" s="122">
        <v>38894.774452477097</v>
      </c>
      <c r="G1053" s="122">
        <v>87334.39363361767</v>
      </c>
      <c r="H1053" s="122">
        <v>10844.375884058798</v>
      </c>
      <c r="I1053" s="122">
        <v>31733.527435201988</v>
      </c>
      <c r="J1053" s="122">
        <v>34473.440248413746</v>
      </c>
      <c r="K1053" s="122">
        <v>18200.62093078444</v>
      </c>
      <c r="L1053" s="122">
        <v>30059.199335689882</v>
      </c>
      <c r="M1053" s="122">
        <v>9806.4539999999979</v>
      </c>
      <c r="N1053" s="122">
        <v>38627.483777210975</v>
      </c>
      <c r="O1053" s="122">
        <v>31581.077152022062</v>
      </c>
      <c r="P1053" s="122">
        <v>331443.55178975052</v>
      </c>
      <c r="Q1053" s="122">
        <v>34911.954635336566</v>
      </c>
      <c r="R1053" s="122">
        <v>36706.285557111216</v>
      </c>
      <c r="S1053" s="122">
        <v>119732.09493155802</v>
      </c>
      <c r="T1053" s="122">
        <v>606478.14068742306</v>
      </c>
      <c r="U1053" s="122">
        <v>160259.89016518235</v>
      </c>
      <c r="V1053" s="54"/>
      <c r="W1053" s="54"/>
      <c r="X1053" s="54"/>
      <c r="Y1053" s="54"/>
      <c r="Z1053" s="54"/>
      <c r="AA1053" s="54"/>
      <c r="AB1053" s="54"/>
      <c r="AC1053" s="54"/>
      <c r="AD1053" s="54"/>
      <c r="AE1053" s="54"/>
      <c r="AF1053" s="54"/>
      <c r="AG1053" s="54"/>
      <c r="AH1053" s="54"/>
      <c r="AI1053" s="117">
        <f>SUM(F1053:AH1053)</f>
        <v>1621087.2646158384</v>
      </c>
      <c r="AJ1053" s="117">
        <f>SUM(F1053:U1053)</f>
        <v>1621087.2646158384</v>
      </c>
      <c r="AK1053" s="117">
        <f>SUM(W1053:AH1053)</f>
        <v>0</v>
      </c>
      <c r="AL1053" s="4"/>
      <c r="AM1053" s="127" t="b">
        <f>IF(INDEX($AO1053:$BM1053,0,$F$14)=1,TRUE,FALSE)</f>
        <v>0</v>
      </c>
      <c r="AN1053" s="127" t="str">
        <f>IF(AM1053,A1053&amp;", "&amp;B1053,"")</f>
        <v/>
      </c>
      <c r="AO1053" s="129"/>
      <c r="AP1053" s="129"/>
      <c r="AQ1053" s="129"/>
      <c r="AR1053" s="129"/>
      <c r="AS1053" s="129"/>
      <c r="AT1053" s="129"/>
      <c r="AU1053" s="129"/>
      <c r="AV1053" s="129"/>
      <c r="AW1053" s="129"/>
      <c r="AX1053" s="197"/>
      <c r="AY1053" s="197"/>
      <c r="AZ1053" s="197"/>
      <c r="BA1053" s="197"/>
      <c r="BB1053" s="129"/>
      <c r="BC1053" s="129"/>
      <c r="BD1053" s="129"/>
      <c r="BE1053" s="129"/>
      <c r="BF1053" s="129"/>
      <c r="BG1053" s="129"/>
      <c r="BH1053" s="129"/>
      <c r="BI1053" s="129"/>
      <c r="BJ1053" s="129">
        <v>1</v>
      </c>
      <c r="BK1053" s="129"/>
      <c r="BL1053" s="129"/>
      <c r="BM1053" s="197"/>
    </row>
    <row r="1054" spans="1:65" x14ac:dyDescent="0.25">
      <c r="A1054" s="153" t="s">
        <v>155</v>
      </c>
      <c r="B1054" s="153" t="s">
        <v>26</v>
      </c>
      <c r="C1054" s="172" t="s">
        <v>387</v>
      </c>
      <c r="D1054" s="161">
        <v>22</v>
      </c>
      <c r="E1054" s="168" t="str">
        <f>INDEX(ra_ScName,MATCH(D1054,ra_ScNumber,0))</f>
        <v>Other regulatory income</v>
      </c>
      <c r="F1054" s="122">
        <v>42378.463025911624</v>
      </c>
      <c r="G1054" s="122">
        <v>84966.348452432794</v>
      </c>
      <c r="H1054" s="122">
        <v>11217.4204904452</v>
      </c>
      <c r="I1054" s="122">
        <v>31596.109960204296</v>
      </c>
      <c r="J1054" s="122">
        <v>36994.53486690874</v>
      </c>
      <c r="K1054" s="122">
        <v>17893.869271976124</v>
      </c>
      <c r="L1054" s="122">
        <v>30253.075857161552</v>
      </c>
      <c r="M1054" s="122">
        <v>9862.1963299043855</v>
      </c>
      <c r="N1054" s="122">
        <v>40001.223772100428</v>
      </c>
      <c r="O1054" s="122">
        <v>32928.950684996169</v>
      </c>
      <c r="P1054" s="122">
        <v>346513.17496916698</v>
      </c>
      <c r="Q1054" s="122">
        <v>37087.944473660486</v>
      </c>
      <c r="R1054" s="122">
        <v>37122.372806106323</v>
      </c>
      <c r="S1054" s="122">
        <v>127646.2212637276</v>
      </c>
      <c r="T1054" s="122">
        <v>588556.12114754459</v>
      </c>
      <c r="U1054" s="122">
        <v>163631.17522091843</v>
      </c>
      <c r="V1054" s="54"/>
      <c r="W1054" s="54"/>
      <c r="X1054" s="54"/>
      <c r="Y1054" s="54"/>
      <c r="Z1054" s="54"/>
      <c r="AA1054" s="54"/>
      <c r="AB1054" s="54"/>
      <c r="AC1054" s="54"/>
      <c r="AD1054" s="54"/>
      <c r="AE1054" s="54"/>
      <c r="AF1054" s="54"/>
      <c r="AG1054" s="54"/>
      <c r="AH1054" s="54"/>
      <c r="AI1054" s="117">
        <f>SUM(F1054:AH1054)</f>
        <v>1638649.2025931657</v>
      </c>
      <c r="AJ1054" s="117">
        <f>SUM(F1054:U1054)</f>
        <v>1638649.2025931657</v>
      </c>
      <c r="AK1054" s="117">
        <f>SUM(W1054:AH1054)</f>
        <v>0</v>
      </c>
      <c r="AL1054" s="4"/>
      <c r="AM1054" s="127" t="b">
        <f>IF(INDEX($AO1054:$BM1054,0,$F$14)=1,TRUE,FALSE)</f>
        <v>0</v>
      </c>
      <c r="AN1054" s="127" t="str">
        <f>IF(AM1054,A1054&amp;", "&amp;B1054,"")</f>
        <v/>
      </c>
      <c r="AO1054" s="129"/>
      <c r="AP1054" s="129"/>
      <c r="AQ1054" s="129"/>
      <c r="AR1054" s="129"/>
      <c r="AS1054" s="129"/>
      <c r="AT1054" s="129"/>
      <c r="AU1054" s="129"/>
      <c r="AV1054" s="129"/>
      <c r="AW1054" s="129"/>
      <c r="AX1054" s="197"/>
      <c r="AY1054" s="197"/>
      <c r="AZ1054" s="197"/>
      <c r="BA1054" s="197"/>
      <c r="BB1054" s="129"/>
      <c r="BC1054" s="129"/>
      <c r="BD1054" s="129"/>
      <c r="BE1054" s="129"/>
      <c r="BF1054" s="129"/>
      <c r="BG1054" s="129"/>
      <c r="BH1054" s="129"/>
      <c r="BI1054" s="129"/>
      <c r="BJ1054" s="129">
        <v>1</v>
      </c>
      <c r="BK1054" s="129"/>
      <c r="BL1054" s="129"/>
      <c r="BM1054" s="197"/>
    </row>
    <row r="1055" spans="1:65" x14ac:dyDescent="0.25">
      <c r="A1055" s="153" t="s">
        <v>155</v>
      </c>
      <c r="B1055" s="153" t="s">
        <v>27</v>
      </c>
      <c r="C1055" s="172" t="s">
        <v>387</v>
      </c>
      <c r="D1055" s="161">
        <v>22</v>
      </c>
      <c r="E1055" s="168" t="str">
        <f>INDEX(ra_ScName,MATCH(D1055,ra_ScNumber,0))</f>
        <v>Other regulatory income</v>
      </c>
      <c r="F1055" s="122">
        <v>74503.011963836412</v>
      </c>
      <c r="G1055" s="122">
        <v>92786.490232829048</v>
      </c>
      <c r="H1055" s="122">
        <v>15190.512236514376</v>
      </c>
      <c r="I1055" s="122">
        <v>33147.998619936458</v>
      </c>
      <c r="J1055" s="122">
        <v>40747.667942590204</v>
      </c>
      <c r="K1055" s="122">
        <v>19921.861825285418</v>
      </c>
      <c r="L1055" s="122">
        <v>31896.953181411791</v>
      </c>
      <c r="M1055" s="122">
        <v>10533.51851027153</v>
      </c>
      <c r="N1055" s="122">
        <v>42108.681257219112</v>
      </c>
      <c r="O1055" s="122">
        <v>35436.501844508588</v>
      </c>
      <c r="P1055" s="122">
        <v>367494.69919647457</v>
      </c>
      <c r="Q1055" s="122">
        <v>38517.731187931196</v>
      </c>
      <c r="R1055" s="122">
        <v>49102.732782111714</v>
      </c>
      <c r="S1055" s="122">
        <v>152044.73147177027</v>
      </c>
      <c r="T1055" s="122">
        <v>618309.66314805718</v>
      </c>
      <c r="U1055" s="122">
        <v>182116.6972133409</v>
      </c>
      <c r="V1055" s="54"/>
      <c r="W1055" s="54"/>
      <c r="X1055" s="54"/>
      <c r="Y1055" s="54"/>
      <c r="Z1055" s="54"/>
      <c r="AA1055" s="54"/>
      <c r="AB1055" s="54"/>
      <c r="AC1055" s="54"/>
      <c r="AD1055" s="54"/>
      <c r="AE1055" s="54"/>
      <c r="AF1055" s="54"/>
      <c r="AG1055" s="54"/>
      <c r="AH1055" s="54"/>
      <c r="AI1055" s="117">
        <f>SUM(F1055:AH1055)</f>
        <v>1803859.4526140885</v>
      </c>
      <c r="AJ1055" s="117">
        <f>SUM(F1055:U1055)</f>
        <v>1803859.4526140885</v>
      </c>
      <c r="AK1055" s="117">
        <f>SUM(W1055:AH1055)</f>
        <v>0</v>
      </c>
      <c r="AL1055" s="4"/>
      <c r="AM1055" s="127" t="b">
        <f>IF(INDEX($AO1055:$BM1055,0,$F$14)=1,TRUE,FALSE)</f>
        <v>0</v>
      </c>
      <c r="AN1055" s="127" t="str">
        <f>IF(AM1055,A1055&amp;", "&amp;B1055,"")</f>
        <v/>
      </c>
      <c r="AO1055" s="129"/>
      <c r="AP1055" s="129"/>
      <c r="AQ1055" s="129"/>
      <c r="AR1055" s="129"/>
      <c r="AS1055" s="129"/>
      <c r="AT1055" s="129"/>
      <c r="AU1055" s="129"/>
      <c r="AV1055" s="129"/>
      <c r="AW1055" s="129"/>
      <c r="AX1055" s="197"/>
      <c r="AY1055" s="197"/>
      <c r="AZ1055" s="197"/>
      <c r="BA1055" s="197"/>
      <c r="BB1055" s="129"/>
      <c r="BC1055" s="129"/>
      <c r="BD1055" s="129"/>
      <c r="BE1055" s="129"/>
      <c r="BF1055" s="129"/>
      <c r="BG1055" s="129"/>
      <c r="BH1055" s="129"/>
      <c r="BI1055" s="129"/>
      <c r="BJ1055" s="129">
        <v>1</v>
      </c>
      <c r="BK1055" s="129"/>
      <c r="BL1055" s="129"/>
      <c r="BM1055" s="197"/>
    </row>
    <row r="1056" spans="1:65" x14ac:dyDescent="0.25">
      <c r="A1056" s="153"/>
      <c r="B1056" s="153"/>
      <c r="C1056" s="172"/>
      <c r="D1056" s="131"/>
      <c r="E1056" s="23"/>
      <c r="F1056" s="54"/>
      <c r="G1056" s="54"/>
      <c r="H1056" s="54"/>
      <c r="I1056" s="54"/>
      <c r="J1056" s="54"/>
      <c r="K1056" s="54"/>
      <c r="L1056" s="54"/>
      <c r="M1056" s="54"/>
      <c r="N1056" s="54"/>
      <c r="O1056" s="54"/>
      <c r="P1056" s="54"/>
      <c r="Q1056" s="54"/>
      <c r="R1056" s="54"/>
      <c r="S1056" s="54"/>
      <c r="T1056" s="54"/>
      <c r="U1056" s="54"/>
      <c r="V1056" s="54"/>
      <c r="W1056" s="54"/>
      <c r="X1056" s="54"/>
      <c r="Y1056" s="54"/>
      <c r="Z1056" s="54"/>
      <c r="AA1056" s="54"/>
      <c r="AB1056" s="54"/>
      <c r="AC1056" s="54"/>
      <c r="AD1056" s="54"/>
      <c r="AE1056" s="54"/>
      <c r="AF1056" s="54"/>
      <c r="AG1056" s="54"/>
      <c r="AH1056" s="54"/>
      <c r="AI1056" s="117"/>
      <c r="AJ1056" s="117"/>
      <c r="AK1056" s="117"/>
      <c r="AL1056" s="4"/>
      <c r="AM1056" s="127"/>
      <c r="AN1056" s="127"/>
      <c r="AO1056" s="129"/>
      <c r="AP1056" s="129"/>
      <c r="AQ1056" s="129"/>
      <c r="AR1056" s="129"/>
      <c r="AS1056" s="129"/>
      <c r="AT1056" s="129"/>
      <c r="AU1056" s="129"/>
      <c r="AV1056" s="129"/>
      <c r="AW1056" s="129"/>
      <c r="AX1056" s="197"/>
      <c r="AY1056" s="197"/>
      <c r="AZ1056" s="197"/>
      <c r="BA1056" s="197"/>
      <c r="BB1056" s="129"/>
      <c r="BC1056" s="129"/>
      <c r="BD1056" s="129"/>
      <c r="BE1056" s="129"/>
      <c r="BF1056" s="129"/>
      <c r="BG1056" s="129"/>
      <c r="BH1056" s="129"/>
      <c r="BI1056" s="129"/>
      <c r="BJ1056" s="129"/>
      <c r="BK1056" s="129"/>
      <c r="BL1056" s="129"/>
      <c r="BM1056" s="197"/>
    </row>
    <row r="1057" spans="1:65" x14ac:dyDescent="0.25">
      <c r="A1057" s="168" t="s">
        <v>155</v>
      </c>
      <c r="B1057" s="168" t="s">
        <v>25</v>
      </c>
      <c r="C1057" s="172" t="s">
        <v>387</v>
      </c>
      <c r="D1057" s="161">
        <v>23</v>
      </c>
      <c r="E1057" s="168" t="str">
        <f>INDEX(ra_ScName,MATCH(D1057,ra_ScNumber,0))</f>
        <v>Further revenue effects</v>
      </c>
      <c r="F1057" s="122">
        <v>38894.774452477097</v>
      </c>
      <c r="G1057" s="122">
        <v>87334.39363361767</v>
      </c>
      <c r="H1057" s="122">
        <v>10844.375884058798</v>
      </c>
      <c r="I1057" s="122">
        <v>31733.527435201988</v>
      </c>
      <c r="J1057" s="122">
        <v>34473.440248413746</v>
      </c>
      <c r="K1057" s="122">
        <v>18200.62093078444</v>
      </c>
      <c r="L1057" s="122">
        <v>30059.199335689882</v>
      </c>
      <c r="M1057" s="122">
        <v>9806.4539999999979</v>
      </c>
      <c r="N1057" s="122">
        <v>38627.483777210975</v>
      </c>
      <c r="O1057" s="122">
        <v>31581.077152022062</v>
      </c>
      <c r="P1057" s="122">
        <v>331443.55178975052</v>
      </c>
      <c r="Q1057" s="122">
        <v>34911.954635336566</v>
      </c>
      <c r="R1057" s="122">
        <v>36706.285557111216</v>
      </c>
      <c r="S1057" s="122">
        <v>119732.09493155802</v>
      </c>
      <c r="T1057" s="122">
        <v>606478.14068742306</v>
      </c>
      <c r="U1057" s="122">
        <v>160259.89016518235</v>
      </c>
      <c r="V1057" s="54"/>
      <c r="W1057" s="54"/>
      <c r="X1057" s="54"/>
      <c r="Y1057" s="54"/>
      <c r="Z1057" s="54"/>
      <c r="AA1057" s="54"/>
      <c r="AB1057" s="54"/>
      <c r="AC1057" s="54"/>
      <c r="AD1057" s="54"/>
      <c r="AE1057" s="54"/>
      <c r="AF1057" s="54"/>
      <c r="AG1057" s="54"/>
      <c r="AH1057" s="54"/>
      <c r="AI1057" s="117">
        <f>SUM(F1057:AH1057)</f>
        <v>1621087.2646158384</v>
      </c>
      <c r="AJ1057" s="117">
        <f>SUM(F1057:U1057)</f>
        <v>1621087.2646158384</v>
      </c>
      <c r="AK1057" s="117">
        <f>SUM(W1057:AH1057)</f>
        <v>0</v>
      </c>
      <c r="AL1057" s="4"/>
      <c r="AM1057" s="127" t="b">
        <f>IF(INDEX($AO1057:$BM1057,0,$F$14)=1,TRUE,FALSE)</f>
        <v>0</v>
      </c>
      <c r="AN1057" s="127" t="str">
        <f>IF(AM1057,A1057&amp;", "&amp;B1057,"")</f>
        <v/>
      </c>
      <c r="AO1057" s="129"/>
      <c r="AP1057" s="129"/>
      <c r="AQ1057" s="129"/>
      <c r="AR1057" s="129"/>
      <c r="AS1057" s="129"/>
      <c r="AT1057" s="129"/>
      <c r="AU1057" s="129"/>
      <c r="AV1057" s="129"/>
      <c r="AW1057" s="129"/>
      <c r="AX1057" s="197"/>
      <c r="AY1057" s="197"/>
      <c r="AZ1057" s="197"/>
      <c r="BA1057" s="197"/>
      <c r="BB1057" s="129"/>
      <c r="BC1057" s="129"/>
      <c r="BD1057" s="129"/>
      <c r="BE1057" s="129"/>
      <c r="BF1057" s="129"/>
      <c r="BG1057" s="129"/>
      <c r="BH1057" s="129"/>
      <c r="BI1057" s="129"/>
      <c r="BJ1057" s="129"/>
      <c r="BK1057" s="129">
        <v>1</v>
      </c>
      <c r="BL1057" s="129"/>
      <c r="BM1057" s="197"/>
    </row>
    <row r="1058" spans="1:65" x14ac:dyDescent="0.25">
      <c r="A1058" s="168" t="s">
        <v>155</v>
      </c>
      <c r="B1058" s="168" t="s">
        <v>26</v>
      </c>
      <c r="C1058" s="172" t="s">
        <v>387</v>
      </c>
      <c r="D1058" s="161">
        <v>23</v>
      </c>
      <c r="E1058" s="168" t="str">
        <f>INDEX(ra_ScName,MATCH(D1058,ra_ScNumber,0))</f>
        <v>Further revenue effects</v>
      </c>
      <c r="F1058" s="122">
        <v>42382.216682090599</v>
      </c>
      <c r="G1058" s="122">
        <v>84966.881622061512</v>
      </c>
      <c r="H1058" s="122">
        <v>11215.874415926412</v>
      </c>
      <c r="I1058" s="122">
        <v>31596.960406863785</v>
      </c>
      <c r="J1058" s="122">
        <v>36995.085552762859</v>
      </c>
      <c r="K1058" s="122">
        <v>17894.775994065894</v>
      </c>
      <c r="L1058" s="122">
        <v>30253.663791486913</v>
      </c>
      <c r="M1058" s="122">
        <v>9863.1015124038622</v>
      </c>
      <c r="N1058" s="122">
        <v>40002.168328816078</v>
      </c>
      <c r="O1058" s="122">
        <v>32929.220485076316</v>
      </c>
      <c r="P1058" s="122">
        <v>346513.18839037907</v>
      </c>
      <c r="Q1058" s="122">
        <v>37042.731565504175</v>
      </c>
      <c r="R1058" s="122">
        <v>37132.525291006517</v>
      </c>
      <c r="S1058" s="122">
        <v>127646.78106307823</v>
      </c>
      <c r="T1058" s="122">
        <v>588556.55583884555</v>
      </c>
      <c r="U1058" s="122">
        <v>163631.23723910082</v>
      </c>
      <c r="V1058" s="54"/>
      <c r="W1058" s="54"/>
      <c r="X1058" s="54"/>
      <c r="Y1058" s="54"/>
      <c r="Z1058" s="54"/>
      <c r="AA1058" s="54"/>
      <c r="AB1058" s="54"/>
      <c r="AC1058" s="54"/>
      <c r="AD1058" s="54"/>
      <c r="AE1058" s="54"/>
      <c r="AF1058" s="54"/>
      <c r="AG1058" s="54"/>
      <c r="AH1058" s="54"/>
      <c r="AI1058" s="117">
        <f>SUM(F1058:AH1058)</f>
        <v>1638622.9681794685</v>
      </c>
      <c r="AJ1058" s="117">
        <f>SUM(F1058:U1058)</f>
        <v>1638622.9681794685</v>
      </c>
      <c r="AK1058" s="117">
        <f>SUM(W1058:AH1058)</f>
        <v>0</v>
      </c>
      <c r="AL1058" s="4"/>
      <c r="AM1058" s="127" t="b">
        <f>IF(INDEX($AO1058:$BM1058,0,$F$14)=1,TRUE,FALSE)</f>
        <v>0</v>
      </c>
      <c r="AN1058" s="127" t="str">
        <f>IF(AM1058,A1058&amp;", "&amp;B1058,"")</f>
        <v/>
      </c>
      <c r="AO1058" s="129"/>
      <c r="AP1058" s="129"/>
      <c r="AQ1058" s="129"/>
      <c r="AR1058" s="129"/>
      <c r="AS1058" s="129"/>
      <c r="AT1058" s="129"/>
      <c r="AU1058" s="129"/>
      <c r="AV1058" s="129"/>
      <c r="AW1058" s="129"/>
      <c r="AX1058" s="197"/>
      <c r="AY1058" s="197"/>
      <c r="AZ1058" s="197"/>
      <c r="BA1058" s="197"/>
      <c r="BB1058" s="129"/>
      <c r="BC1058" s="129"/>
      <c r="BD1058" s="129"/>
      <c r="BE1058" s="129"/>
      <c r="BF1058" s="129"/>
      <c r="BG1058" s="129"/>
      <c r="BH1058" s="129"/>
      <c r="BI1058" s="129"/>
      <c r="BJ1058" s="129"/>
      <c r="BK1058" s="129">
        <v>1</v>
      </c>
      <c r="BL1058" s="129"/>
      <c r="BM1058" s="197"/>
    </row>
    <row r="1059" spans="1:65" x14ac:dyDescent="0.25">
      <c r="A1059" s="168" t="s">
        <v>155</v>
      </c>
      <c r="B1059" s="168" t="s">
        <v>27</v>
      </c>
      <c r="C1059" s="172" t="s">
        <v>387</v>
      </c>
      <c r="D1059" s="161">
        <v>23</v>
      </c>
      <c r="E1059" s="168" t="str">
        <f>INDEX(ra_ScName,MATCH(D1059,ra_ScNumber,0))</f>
        <v>Further revenue effects</v>
      </c>
      <c r="F1059" s="122">
        <v>74512.064204056427</v>
      </c>
      <c r="G1059" s="122">
        <v>92787.032034320029</v>
      </c>
      <c r="H1059" s="122">
        <v>15186.813532869721</v>
      </c>
      <c r="I1059" s="122">
        <v>33148.855345746189</v>
      </c>
      <c r="J1059" s="122">
        <v>40748.232835228329</v>
      </c>
      <c r="K1059" s="122">
        <v>19922.7762525424</v>
      </c>
      <c r="L1059" s="122">
        <v>31897.546412549629</v>
      </c>
      <c r="M1059" s="122">
        <v>10534.437260000001</v>
      </c>
      <c r="N1059" s="122">
        <v>42109.640629929076</v>
      </c>
      <c r="O1059" s="122">
        <v>35436.775067769137</v>
      </c>
      <c r="P1059" s="122">
        <v>367494.7128162171</v>
      </c>
      <c r="Q1059" s="122">
        <v>38409.342740507549</v>
      </c>
      <c r="R1059" s="122">
        <v>49127.157788915196</v>
      </c>
      <c r="S1059" s="122">
        <v>152045.34219475318</v>
      </c>
      <c r="T1059" s="122">
        <v>618310.10937407601</v>
      </c>
      <c r="U1059" s="122">
        <v>182116.76033686195</v>
      </c>
      <c r="V1059" s="54"/>
      <c r="W1059" s="54"/>
      <c r="X1059" s="54"/>
      <c r="Y1059" s="54"/>
      <c r="Z1059" s="54"/>
      <c r="AA1059" s="54"/>
      <c r="AB1059" s="54"/>
      <c r="AC1059" s="54"/>
      <c r="AD1059" s="54"/>
      <c r="AE1059" s="54"/>
      <c r="AF1059" s="54"/>
      <c r="AG1059" s="54"/>
      <c r="AH1059" s="54"/>
      <c r="AI1059" s="117">
        <f>SUM(F1059:AH1059)</f>
        <v>1803787.5988263418</v>
      </c>
      <c r="AJ1059" s="117">
        <f>SUM(F1059:U1059)</f>
        <v>1803787.5988263418</v>
      </c>
      <c r="AK1059" s="117">
        <f>SUM(W1059:AH1059)</f>
        <v>0</v>
      </c>
      <c r="AL1059" s="4"/>
      <c r="AM1059" s="127" t="b">
        <f>IF(INDEX($AO1059:$BM1059,0,$F$14)=1,TRUE,FALSE)</f>
        <v>0</v>
      </c>
      <c r="AN1059" s="127" t="str">
        <f>IF(AM1059,A1059&amp;", "&amp;B1059,"")</f>
        <v/>
      </c>
      <c r="AO1059" s="129"/>
      <c r="AP1059" s="129"/>
      <c r="AQ1059" s="129"/>
      <c r="AR1059" s="129"/>
      <c r="AS1059" s="129"/>
      <c r="AT1059" s="129"/>
      <c r="AU1059" s="129"/>
      <c r="AV1059" s="129"/>
      <c r="AW1059" s="129"/>
      <c r="AX1059" s="197"/>
      <c r="AY1059" s="197"/>
      <c r="AZ1059" s="197"/>
      <c r="BA1059" s="197"/>
      <c r="BB1059" s="129"/>
      <c r="BC1059" s="129"/>
      <c r="BD1059" s="129"/>
      <c r="BE1059" s="129"/>
      <c r="BF1059" s="129"/>
      <c r="BG1059" s="129"/>
      <c r="BH1059" s="129"/>
      <c r="BI1059" s="129"/>
      <c r="BJ1059" s="129"/>
      <c r="BK1059" s="129">
        <v>1</v>
      </c>
      <c r="BL1059" s="129"/>
      <c r="BM1059" s="197"/>
    </row>
    <row r="1060" spans="1:65" x14ac:dyDescent="0.25">
      <c r="A1060" s="168"/>
      <c r="B1060" s="168"/>
      <c r="C1060" s="172"/>
      <c r="D1060" s="131"/>
      <c r="AO1060" s="4"/>
      <c r="AR1060" s="4"/>
      <c r="AS1060" s="4"/>
      <c r="AT1060" s="4"/>
      <c r="AU1060" s="4"/>
      <c r="AV1060" s="4"/>
      <c r="AW1060" s="4"/>
      <c r="AX1060" s="4"/>
      <c r="BJ1060" s="4"/>
    </row>
  </sheetData>
  <autoFilter ref="A36:BM1059"/>
  <sortState ref="A934:C958">
    <sortCondition ref="A934:A958"/>
  </sortState>
  <pageMargins left="0.23622047244094491" right="0.23622047244094491" top="0.74803149606299213" bottom="0.74803149606299213" header="0.31496062992125984" footer="0.31496062992125984"/>
  <pageSetup paperSize="9" scale="21" fitToHeight="0" orientation="landscape" r:id="rId1"/>
  <headerFooter>
    <oddFooter>&amp;L&amp;F&amp;C&amp;A&amp;R&amp;P</oddFoot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D97E55"/>
    <pageSetUpPr fitToPage="1"/>
  </sheetPr>
  <dimension ref="A1:H76"/>
  <sheetViews>
    <sheetView showGridLines="0" view="pageBreakPreview" zoomScaleNormal="100" zoomScaleSheetLayoutView="100" workbookViewId="0"/>
  </sheetViews>
  <sheetFormatPr defaultColWidth="9.140625" defaultRowHeight="15" x14ac:dyDescent="0.25"/>
  <cols>
    <col min="1" max="1" width="67.42578125" customWidth="1"/>
    <col min="2" max="8" width="11.42578125" customWidth="1"/>
    <col min="9" max="9" width="2.7109375" customWidth="1"/>
  </cols>
  <sheetData>
    <row r="1" spans="1:8" ht="39.950000000000003" customHeight="1" x14ac:dyDescent="0.25">
      <c r="A1" s="37" t="s">
        <v>595</v>
      </c>
      <c r="B1" s="23"/>
      <c r="C1" s="23"/>
      <c r="D1" s="23"/>
      <c r="E1" s="23"/>
      <c r="F1" s="23"/>
      <c r="G1" s="23"/>
      <c r="H1" s="23"/>
    </row>
    <row r="2" spans="1:8" ht="20.100000000000001" customHeight="1" x14ac:dyDescent="0.25">
      <c r="A2" s="27" t="s">
        <v>320</v>
      </c>
      <c r="B2" s="45"/>
      <c r="C2" s="23"/>
      <c r="D2" s="23"/>
      <c r="E2" s="23"/>
      <c r="F2" s="23"/>
      <c r="G2" s="23"/>
      <c r="H2" s="23"/>
    </row>
    <row r="3" spans="1:8" s="4" customFormat="1" ht="39.950000000000003" customHeight="1" x14ac:dyDescent="0.3">
      <c r="A3" s="53" t="s">
        <v>321</v>
      </c>
      <c r="C3" s="25"/>
      <c r="D3" s="25"/>
      <c r="E3" s="25"/>
      <c r="F3" s="25"/>
      <c r="G3" s="25"/>
      <c r="H3" s="25"/>
    </row>
    <row r="4" spans="1:8" x14ac:dyDescent="0.25">
      <c r="A4" s="77" t="s">
        <v>11</v>
      </c>
      <c r="B4" s="28" t="s">
        <v>183</v>
      </c>
      <c r="C4" s="204" t="s">
        <v>9</v>
      </c>
      <c r="D4" s="204"/>
      <c r="E4" s="125"/>
      <c r="F4" s="125"/>
      <c r="G4" s="125"/>
      <c r="H4" s="23"/>
    </row>
    <row r="5" spans="1:8" x14ac:dyDescent="0.25">
      <c r="A5" s="30" t="s">
        <v>188</v>
      </c>
      <c r="B5" s="56">
        <f>Outputs!C4</f>
        <v>31</v>
      </c>
      <c r="C5" s="221" t="s">
        <v>478</v>
      </c>
      <c r="D5" s="221"/>
      <c r="E5" s="96"/>
      <c r="F5" s="96"/>
      <c r="G5" s="96"/>
      <c r="H5" s="23"/>
    </row>
    <row r="6" spans="1:8" x14ac:dyDescent="0.25">
      <c r="A6" s="30" t="s">
        <v>190</v>
      </c>
      <c r="B6" s="56">
        <f>INDEX(Inputs!$F$37:$AK$37,MATCH($C$5,Inputs!$F$36:$AK$36,0))</f>
        <v>31</v>
      </c>
      <c r="C6" s="115"/>
      <c r="D6" s="202"/>
      <c r="E6" s="202"/>
      <c r="F6" s="202"/>
      <c r="G6" s="202"/>
      <c r="H6" s="23"/>
    </row>
    <row r="7" spans="1:8" s="4" customFormat="1" x14ac:dyDescent="0.25">
      <c r="A7" s="30" t="s">
        <v>191</v>
      </c>
      <c r="B7" s="56">
        <f>MATCH($B$5,Inputs!$A$37:$AK$37,0)</f>
        <v>36</v>
      </c>
      <c r="C7" s="115"/>
      <c r="D7" s="202"/>
      <c r="E7" s="202"/>
      <c r="F7" s="202"/>
      <c r="G7" s="202"/>
      <c r="H7" s="23"/>
    </row>
    <row r="8" spans="1:8" x14ac:dyDescent="0.25">
      <c r="A8" s="38" t="s">
        <v>156</v>
      </c>
      <c r="B8" s="44"/>
      <c r="C8" s="49"/>
      <c r="D8" s="49"/>
      <c r="E8" s="49"/>
      <c r="F8" s="49"/>
      <c r="G8" s="49"/>
      <c r="H8" s="25"/>
    </row>
    <row r="9" spans="1:8" x14ac:dyDescent="0.25">
      <c r="A9" s="30" t="s">
        <v>189</v>
      </c>
      <c r="B9" s="56">
        <f>Outputs!C5</f>
        <v>10</v>
      </c>
      <c r="C9" s="221" t="s">
        <v>556</v>
      </c>
      <c r="D9" s="222"/>
      <c r="E9" s="223"/>
      <c r="F9" s="223"/>
      <c r="G9" s="223"/>
      <c r="H9" s="25"/>
    </row>
    <row r="10" spans="1:8" x14ac:dyDescent="0.25">
      <c r="A10" s="30" t="s">
        <v>161</v>
      </c>
      <c r="B10" s="56">
        <f>INDEX(ra_ScNumber,MATCH($C$9,ra_ScName,0))</f>
        <v>10</v>
      </c>
      <c r="C10" s="49"/>
      <c r="D10" s="49"/>
      <c r="E10" s="49"/>
      <c r="F10" s="49"/>
      <c r="G10" s="49"/>
      <c r="H10" s="25"/>
    </row>
    <row r="11" spans="1:8" ht="39.950000000000003" customHeight="1" x14ac:dyDescent="0.3">
      <c r="A11" s="53" t="s">
        <v>349</v>
      </c>
      <c r="C11" s="25"/>
      <c r="D11" s="25"/>
      <c r="E11" s="25"/>
      <c r="F11" s="25"/>
      <c r="G11" s="25"/>
      <c r="H11" s="25"/>
    </row>
    <row r="12" spans="1:8" s="4" customFormat="1" x14ac:dyDescent="0.25">
      <c r="A12" s="46"/>
      <c r="B12" s="46" t="s">
        <v>46</v>
      </c>
      <c r="C12"/>
      <c r="D12"/>
      <c r="E12"/>
      <c r="F12"/>
      <c r="G12"/>
      <c r="H12"/>
    </row>
    <row r="13" spans="1:8" x14ac:dyDescent="0.25">
      <c r="A13" s="84" t="s">
        <v>151</v>
      </c>
      <c r="B13" s="90">
        <f>Inputs!F22</f>
        <v>8.77E-2</v>
      </c>
      <c r="C13" s="25"/>
      <c r="D13" s="25"/>
      <c r="E13" s="25"/>
      <c r="F13" s="25"/>
      <c r="G13" s="25"/>
      <c r="H13" s="25"/>
    </row>
    <row r="14" spans="1:8" x14ac:dyDescent="0.25">
      <c r="A14" s="49" t="s">
        <v>21</v>
      </c>
      <c r="B14" s="58">
        <f>Inputs!F23</f>
        <v>0.44</v>
      </c>
      <c r="C14" s="25"/>
      <c r="D14" s="25"/>
      <c r="E14" s="25"/>
      <c r="F14" s="25"/>
      <c r="G14" s="25"/>
      <c r="H14" s="25"/>
    </row>
    <row r="15" spans="1:8" ht="39.950000000000003" customHeight="1" x14ac:dyDescent="0.3">
      <c r="A15" s="53" t="s">
        <v>13</v>
      </c>
      <c r="B15" s="25"/>
      <c r="C15" s="25"/>
      <c r="D15" s="25"/>
      <c r="E15" s="25"/>
      <c r="F15" s="25"/>
      <c r="G15" s="25"/>
      <c r="H15" s="25"/>
    </row>
    <row r="16" spans="1:8" x14ac:dyDescent="0.25">
      <c r="A16" s="49"/>
      <c r="B16" s="49"/>
      <c r="C16" s="46" t="s">
        <v>22</v>
      </c>
      <c r="D16" s="46" t="s">
        <v>23</v>
      </c>
      <c r="E16" s="46" t="s">
        <v>24</v>
      </c>
      <c r="F16" s="46" t="s">
        <v>25</v>
      </c>
      <c r="G16" s="46" t="s">
        <v>26</v>
      </c>
      <c r="H16" s="46" t="s">
        <v>27</v>
      </c>
    </row>
    <row r="17" spans="1:8" x14ac:dyDescent="0.25">
      <c r="A17" s="49" t="s">
        <v>51</v>
      </c>
      <c r="B17" s="49"/>
      <c r="C17" s="120">
        <f>Inputs!G26</f>
        <v>0.3</v>
      </c>
      <c r="D17" s="120">
        <f>Inputs!H26</f>
        <v>0.3</v>
      </c>
      <c r="E17" s="120">
        <f>Inputs!I26</f>
        <v>0.28000000000000003</v>
      </c>
      <c r="F17" s="120">
        <f>Inputs!J26</f>
        <v>0.28000000000000003</v>
      </c>
      <c r="G17" s="120">
        <f>Inputs!K26</f>
        <v>0.28000000000000003</v>
      </c>
      <c r="H17" s="120">
        <f>Inputs!L26</f>
        <v>0.28000000000000003</v>
      </c>
    </row>
    <row r="18" spans="1:8" s="4" customFormat="1" ht="39.950000000000003" customHeight="1" x14ac:dyDescent="0.3">
      <c r="A18" s="53" t="s">
        <v>194</v>
      </c>
      <c r="B18" s="25"/>
      <c r="C18" s="25"/>
      <c r="D18" s="25"/>
      <c r="E18" s="25"/>
      <c r="F18" s="25"/>
      <c r="G18" s="25"/>
      <c r="H18" s="25"/>
    </row>
    <row r="19" spans="1:8" s="4" customFormat="1" x14ac:dyDescent="0.25">
      <c r="A19" s="49"/>
      <c r="B19" s="46" t="s">
        <v>46</v>
      </c>
      <c r="C19" s="46" t="s">
        <v>22</v>
      </c>
      <c r="D19" s="46" t="s">
        <v>23</v>
      </c>
      <c r="E19" s="46" t="s">
        <v>24</v>
      </c>
      <c r="F19" s="46" t="s">
        <v>25</v>
      </c>
      <c r="G19" s="46" t="s">
        <v>26</v>
      </c>
      <c r="H19" s="46" t="s">
        <v>27</v>
      </c>
    </row>
    <row r="20" spans="1:8" x14ac:dyDescent="0.25">
      <c r="A20" s="49" t="s">
        <v>103</v>
      </c>
      <c r="B20" s="49"/>
      <c r="C20" s="130">
        <f>IFERROR(INDEX(Inputs!$A$29:$Q$34,MATCH($A20,Inputs!$AN$29:$AN$34,0),MATCH(C$19,Inputs!$A$25:$Q$25,0)),0)</f>
        <v>7.9299999999999995E-2</v>
      </c>
      <c r="D20" s="130">
        <f>IFERROR(INDEX(Inputs!$A$29:$Q$34,MATCH($A20,Inputs!$AN$29:$AN$34,0),MATCH(D$19,Inputs!$A$25:$Q$25,0)),0)</f>
        <v>7.5499999999999998E-2</v>
      </c>
      <c r="E20" s="130">
        <f>IFERROR(INDEX(Inputs!$A$29:$Q$34,MATCH($A20,Inputs!$AN$29:$AN$34,0),MATCH(E$19,Inputs!$A$25:$Q$25,0)),0)</f>
        <v>6.7100000000000007E-2</v>
      </c>
      <c r="F20" s="130">
        <f>IFERROR(INDEX(Inputs!$A$29:$Q$34,MATCH($A20,Inputs!$AN$29:$AN$34,0),MATCH(F$19,Inputs!$A$25:$Q$25,0)),0)</f>
        <v>6.3100000000000003E-2</v>
      </c>
      <c r="G20" s="130">
        <f>IFERROR(INDEX(Inputs!$A$29:$Q$34,MATCH($A20,Inputs!$AN$29:$AN$34,0),MATCH(G$19,Inputs!$A$25:$Q$25,0)),0)</f>
        <v>5.5599999999999997E-2</v>
      </c>
      <c r="H20" s="130">
        <f>IFERROR(INDEX(Inputs!$A$29:$Q$34,MATCH($A20,Inputs!$AN$29:$AN$34,0),MATCH(H$19,Inputs!$A$25:$Q$25,0)),0)</f>
        <v>6.3600000000000004E-2</v>
      </c>
    </row>
    <row r="21" spans="1:8" x14ac:dyDescent="0.25">
      <c r="A21" s="187" t="s">
        <v>440</v>
      </c>
      <c r="B21" s="182" t="b">
        <f>IFERROR(INDEX(Inputs!$A$29:$Q$34,MATCH($A21,Inputs!$AN$29:$AN$34,0),MATCH(B$19,Inputs!$A$25:$Q$25,0)),0)</f>
        <v>1</v>
      </c>
    </row>
    <row r="22" spans="1:8" s="4" customFormat="1" x14ac:dyDescent="0.25">
      <c r="A22" s="198" t="s">
        <v>547</v>
      </c>
      <c r="B22" s="182" t="b">
        <f>IFERROR(INDEX(Inputs!$A$29:$Q$34,MATCH($A22,Inputs!$AN$29:$AN$34,0),MATCH(B$19,Inputs!$A$25:$Q$25,0)),0)</f>
        <v>1</v>
      </c>
    </row>
    <row r="23" spans="1:8" ht="39.950000000000003" customHeight="1" x14ac:dyDescent="0.3">
      <c r="A23" s="53" t="s">
        <v>195</v>
      </c>
      <c r="B23" s="25"/>
      <c r="C23" s="25"/>
      <c r="D23" s="25"/>
      <c r="E23" s="25"/>
      <c r="F23" s="25"/>
      <c r="G23" s="25"/>
      <c r="H23" s="25"/>
    </row>
    <row r="24" spans="1:8" x14ac:dyDescent="0.25">
      <c r="A24" s="59"/>
      <c r="B24" s="46"/>
      <c r="C24" s="46" t="s">
        <v>22</v>
      </c>
      <c r="D24" s="46" t="s">
        <v>23</v>
      </c>
      <c r="E24" s="46" t="s">
        <v>24</v>
      </c>
      <c r="F24" s="46" t="s">
        <v>25</v>
      </c>
      <c r="G24" s="46" t="s">
        <v>26</v>
      </c>
      <c r="H24" s="46" t="s">
        <v>27</v>
      </c>
    </row>
    <row r="25" spans="1:8" x14ac:dyDescent="0.25">
      <c r="A25" s="119" t="s">
        <v>60</v>
      </c>
      <c r="B25" s="64"/>
      <c r="C25" s="93">
        <f>IFERROR(INDEX(Inputs!$A$38:$AK$1060,MATCH($A25&amp;", "&amp;$C$24,Inputs!$AN$38:$AN$1060,0),$B$7),0)</f>
        <v>6010082.4646555651</v>
      </c>
      <c r="D25" s="93"/>
      <c r="E25" s="93"/>
      <c r="F25" s="93"/>
      <c r="G25" s="93"/>
      <c r="H25" s="93"/>
    </row>
    <row r="26" spans="1:8" x14ac:dyDescent="0.25">
      <c r="A26" s="119" t="s">
        <v>49</v>
      </c>
      <c r="B26" s="64"/>
      <c r="C26" s="93">
        <f>IFERROR(INDEX(Inputs!$A$38:$AK$1060,MATCH($A26&amp;", "&amp;$C$24,Inputs!$AN$38:$AN$1060,0),$B$7),0)</f>
        <v>-484</v>
      </c>
      <c r="D26" s="93"/>
      <c r="E26" s="93"/>
      <c r="F26" s="93"/>
      <c r="G26" s="93"/>
      <c r="H26" s="93"/>
    </row>
    <row r="27" spans="1:8" x14ac:dyDescent="0.25">
      <c r="A27" s="119" t="s">
        <v>155</v>
      </c>
      <c r="B27" s="64"/>
      <c r="C27" s="93">
        <f>IFERROR(INDEX(Inputs!$A$38:$AK$1060,MATCH($A27&amp;", "&amp;$C$24,Inputs!$AN$38:$AN$1060,0),$B$7),0)</f>
        <v>0</v>
      </c>
      <c r="D27" s="93">
        <f>IFERROR(INDEX(Inputs!$A$38:$AK$1060,MATCH($A27&amp;", "&amp;$D$24,Inputs!$AN$38:$AN$1060,0),$B$7),0)</f>
        <v>1436422.43212</v>
      </c>
      <c r="E27" s="93">
        <f>IFERROR(INDEX(Inputs!$A$38:$AK$1060,MATCH($A27&amp;", "&amp;$E$24,Inputs!$AN$38:$AN$1060,0),$B$7),0)</f>
        <v>1498172.2072048993</v>
      </c>
      <c r="F27" s="93">
        <f>IFERROR(INDEX(Inputs!$A$38:$AK$1060,MATCH($A27&amp;", "&amp;$F$24,Inputs!$AN$38:$AN$1060,0),$B$7),0)</f>
        <v>1616063.5001622848</v>
      </c>
      <c r="G27" s="93">
        <f>IFERROR(INDEX(Inputs!$A$38:$AK$1060,MATCH($A27&amp;", "&amp;$G$24,Inputs!$AN$38:$AN$1060,0),$B$7),0)</f>
        <v>1638092.8953368003</v>
      </c>
      <c r="H27" s="93">
        <f>IFERROR(INDEX(Inputs!$A$38:$AK$1060,MATCH($A27&amp;", "&amp;$H$24,Inputs!$AN$38:$AN$1060,0),$B$7),0)</f>
        <v>1761319.8522549374</v>
      </c>
    </row>
    <row r="28" spans="1:8" x14ac:dyDescent="0.25">
      <c r="A28" s="119" t="s">
        <v>398</v>
      </c>
      <c r="B28" s="64"/>
      <c r="C28" s="93">
        <f>IFERROR(INDEX(Inputs!$A$38:$AK$1060,MATCH($A28&amp;", "&amp;$C$24,Inputs!$AN$38:$AN$1060,0),$B$7),0)</f>
        <v>0</v>
      </c>
      <c r="D28" s="93">
        <f>IFERROR(INDEX(Inputs!$A$38:$AK$1060,MATCH($A28&amp;", "&amp;$D$24,Inputs!$AN$38:$AN$1060,0),$B$7),0)</f>
        <v>0</v>
      </c>
      <c r="E28" s="93">
        <f>IFERROR(INDEX(Inputs!$A$38:$AK$1060,MATCH($A28&amp;", "&amp;$E$24,Inputs!$AN$38:$AN$1060,0),$B$7),0)</f>
        <v>0</v>
      </c>
      <c r="F28" s="93">
        <f>IFERROR(INDEX(Inputs!$A$38:$AK$1060,MATCH($A28&amp;", "&amp;$F$24,Inputs!$AN$38:$AN$1060,0),$B$7),0)</f>
        <v>0</v>
      </c>
      <c r="G28" s="93">
        <f>IFERROR(INDEX(Inputs!$A$38:$AK$1060,MATCH($A28&amp;", "&amp;$G$24,Inputs!$AN$38:$AN$1060,0),$B$7),0)</f>
        <v>0</v>
      </c>
      <c r="H28" s="93">
        <f>IFERROR(INDEX(Inputs!$A$38:$AK$1060,MATCH($A28&amp;", "&amp;$H$24,Inputs!$AN$38:$AN$1060,0),$B$7),0)</f>
        <v>47345.166550750815</v>
      </c>
    </row>
    <row r="29" spans="1:8" x14ac:dyDescent="0.25">
      <c r="A29" s="119" t="s">
        <v>72</v>
      </c>
      <c r="B29" s="64"/>
      <c r="C29" s="93">
        <f>IFERROR(INDEX(Inputs!$A$38:$AK$1060,MATCH($A29&amp;", "&amp;$C$24,Inputs!$AN$38:$AN$1060,0),$B$7),0)</f>
        <v>0</v>
      </c>
      <c r="D29" s="93">
        <f>IFERROR(INDEX(Inputs!$A$38:$AK$1060,MATCH($A29&amp;", "&amp;$D$24,Inputs!$AN$38:$AN$1060,0),$B$7),0)</f>
        <v>-17159.38749973787</v>
      </c>
      <c r="E29" s="93">
        <f>IFERROR(INDEX(Inputs!$A$38:$AK$1060,MATCH($A29&amp;", "&amp;$E$24,Inputs!$AN$38:$AN$1060,0),$B$7),0)</f>
        <v>-16957.487485992002</v>
      </c>
      <c r="F29" s="93">
        <f>IFERROR(INDEX(Inputs!$A$38:$AK$1060,MATCH($A29&amp;", "&amp;$F$24,Inputs!$AN$38:$AN$1060,0),$B$7),0)</f>
        <v>-14022.281071722276</v>
      </c>
      <c r="G29" s="93">
        <f>IFERROR(INDEX(Inputs!$A$38:$AK$1060,MATCH($A29&amp;", "&amp;$G$24,Inputs!$AN$38:$AN$1060,0),$B$7),0)</f>
        <v>-21375.117417715508</v>
      </c>
      <c r="H29" s="93">
        <f>IFERROR(INDEX(Inputs!$A$38:$AK$1060,MATCH($A29&amp;", "&amp;$H$24,Inputs!$AN$38:$AN$1060,0),$B$7),0)</f>
        <v>-21716.842660153208</v>
      </c>
    </row>
    <row r="30" spans="1:8" ht="15" customHeight="1" x14ac:dyDescent="0.25">
      <c r="A30" s="119" t="s">
        <v>73</v>
      </c>
      <c r="B30" s="64"/>
      <c r="C30" s="93">
        <f>IFERROR(INDEX(Inputs!$A$38:$AK$1060,MATCH($A30&amp;", "&amp;$C$24,Inputs!$AN$38:$AN$1060,0),$B$7),0)</f>
        <v>0</v>
      </c>
      <c r="D30" s="93">
        <f>IFERROR(INDEX(Inputs!$A$38:$AK$1060,MATCH($A30&amp;", "&amp;$D$24,Inputs!$AN$38:$AN$1060,0),$B$7),0)</f>
        <v>17065.457750000001</v>
      </c>
      <c r="E30" s="93">
        <f>IFERROR(INDEX(Inputs!$A$38:$AK$1060,MATCH($A30&amp;", "&amp;$E$24,Inputs!$AN$38:$AN$1060,0),$B$7),0)</f>
        <v>13690.733043900002</v>
      </c>
      <c r="F30" s="93">
        <f>IFERROR(INDEX(Inputs!$A$38:$AK$1060,MATCH($A30&amp;", "&amp;$F$24,Inputs!$AN$38:$AN$1060,0),$B$7),0)</f>
        <v>15587.820707826088</v>
      </c>
      <c r="G30" s="93">
        <f>IFERROR(INDEX(Inputs!$A$38:$AK$1060,MATCH($A30&amp;", "&amp;$G$24,Inputs!$AN$38:$AN$1060,0),$B$7),0)</f>
        <v>11281.340220434784</v>
      </c>
      <c r="H30" s="93">
        <f>IFERROR(INDEX(Inputs!$A$38:$AK$1060,MATCH($A30&amp;", "&amp;$H$24,Inputs!$AN$38:$AN$1060,0),$B$7),0)</f>
        <v>7710.8289449999993</v>
      </c>
    </row>
    <row r="31" spans="1:8" x14ac:dyDescent="0.25">
      <c r="A31" s="119" t="s">
        <v>74</v>
      </c>
      <c r="B31" s="64"/>
      <c r="C31" s="93">
        <f>IFERROR(INDEX(Inputs!$A$38:$AK$1060,MATCH($A31&amp;", "&amp;$C$24,Inputs!$AN$38:$AN$1060,0),$B$7),0)</f>
        <v>0</v>
      </c>
      <c r="D31" s="93">
        <f>IFERROR(INDEX(Inputs!$A$38:$AK$1060,MATCH($A31&amp;", "&amp;$D$24,Inputs!$AN$38:$AN$1060,0),$B$7),0)</f>
        <v>289033.17589000001</v>
      </c>
      <c r="E31" s="93">
        <f>IFERROR(INDEX(Inputs!$A$38:$AK$1060,MATCH($A31&amp;", "&amp;$E$24,Inputs!$AN$38:$AN$1060,0),$B$7),0)</f>
        <v>315191.54201403877</v>
      </c>
      <c r="F31" s="93">
        <f>IFERROR(INDEX(Inputs!$A$38:$AK$1060,MATCH($A31&amp;", "&amp;$F$24,Inputs!$AN$38:$AN$1060,0),$B$7),0)</f>
        <v>323027.13125599857</v>
      </c>
      <c r="G31" s="93">
        <f>IFERROR(INDEX(Inputs!$A$38:$AK$1060,MATCH($A31&amp;", "&amp;$G$24,Inputs!$AN$38:$AN$1060,0),$B$7),0)</f>
        <v>351243.90413086204</v>
      </c>
      <c r="H31" s="93">
        <f>IFERROR(INDEX(Inputs!$A$38:$AK$1060,MATCH($A31&amp;", "&amp;$H$24,Inputs!$AN$38:$AN$1060,0),$B$7),0)</f>
        <v>351314.87059046159</v>
      </c>
    </row>
    <row r="32" spans="1:8" x14ac:dyDescent="0.25">
      <c r="A32" s="119" t="s">
        <v>141</v>
      </c>
      <c r="B32" s="64"/>
      <c r="C32" s="93">
        <f>IFERROR(INDEX(Inputs!$A$38:$AK$1060,MATCH($A32&amp;", "&amp;$C$24,Inputs!$AN$38:$AN$1060,0),$B$7),0)</f>
        <v>0</v>
      </c>
      <c r="D32" s="93">
        <f>IFERROR(INDEX(Inputs!$A$38:$AK$1060,MATCH($A32&amp;", "&amp;$D$24,Inputs!$AN$38:$AN$1060,0),$B$7),0)</f>
        <v>0</v>
      </c>
      <c r="E32" s="93">
        <f>IFERROR(INDEX(Inputs!$A$38:$AK$1060,MATCH($A32&amp;", "&amp;$E$24,Inputs!$AN$38:$AN$1060,0),$B$7),0)</f>
        <v>0</v>
      </c>
      <c r="F32" s="93">
        <f>IFERROR(INDEX(Inputs!$A$38:$AK$1060,MATCH($A32&amp;", "&amp;$F$24,Inputs!$AN$38:$AN$1060,0),$B$7),0)</f>
        <v>20</v>
      </c>
      <c r="G32" s="93">
        <f>IFERROR(INDEX(Inputs!$A$38:$AK$1060,MATCH($A32&amp;", "&amp;$G$24,Inputs!$AN$38:$AN$1060,0),$B$7),0)</f>
        <v>40</v>
      </c>
      <c r="H32" s="93">
        <f>IFERROR(INDEX(Inputs!$A$38:$AK$1060,MATCH($A32&amp;", "&amp;$H$24,Inputs!$AN$38:$AN$1060,0),$B$7),0)</f>
        <v>14965.54467347826</v>
      </c>
    </row>
    <row r="33" spans="1:8" x14ac:dyDescent="0.25">
      <c r="A33" s="119" t="s">
        <v>142</v>
      </c>
      <c r="B33" s="64"/>
      <c r="C33" s="93">
        <f>IFERROR(INDEX(Inputs!$A$38:$AK$1060,MATCH($A33&amp;", "&amp;$C$24,Inputs!$AN$38:$AN$1060,0),$B$7),0)</f>
        <v>0</v>
      </c>
      <c r="D33" s="93">
        <f>IFERROR(INDEX(Inputs!$A$38:$AK$1060,MATCH($A33&amp;", "&amp;$D$24,Inputs!$AN$38:$AN$1060,0),$B$7),0)</f>
        <v>0</v>
      </c>
      <c r="E33" s="93">
        <f>IFERROR(INDEX(Inputs!$A$38:$AK$1060,MATCH($A33&amp;", "&amp;$E$24,Inputs!$AN$38:$AN$1060,0),$B$7),0)</f>
        <v>0</v>
      </c>
      <c r="F33" s="93">
        <f>IFERROR(INDEX(Inputs!$A$38:$AK$1060,MATCH($A33&amp;", "&amp;$F$24,Inputs!$AN$38:$AN$1060,0),$B$7),0)</f>
        <v>11</v>
      </c>
      <c r="G33" s="93">
        <f>IFERROR(INDEX(Inputs!$A$38:$AK$1060,MATCH($A33&amp;", "&amp;$G$24,Inputs!$AN$38:$AN$1060,0),$B$7),0)</f>
        <v>25</v>
      </c>
      <c r="H33" s="93">
        <f>IFERROR(INDEX(Inputs!$A$38:$AK$1060,MATCH($A33&amp;", "&amp;$H$24,Inputs!$AN$38:$AN$1060,0),$B$7),0)</f>
        <v>3631.276288</v>
      </c>
    </row>
    <row r="34" spans="1:8" x14ac:dyDescent="0.25">
      <c r="A34" s="119" t="s">
        <v>143</v>
      </c>
      <c r="B34" s="64"/>
      <c r="C34" s="93">
        <f>IFERROR(INDEX(Inputs!$A$38:$AK$1060,MATCH($A34&amp;", "&amp;$C$24,Inputs!$AN$38:$AN$1060,0),$B$7),0)</f>
        <v>0</v>
      </c>
      <c r="D34" s="93">
        <f>IFERROR(INDEX(Inputs!$A$38:$AK$1060,MATCH($A34&amp;", "&amp;$D$24,Inputs!$AN$38:$AN$1060,0),$B$7),0)</f>
        <v>0</v>
      </c>
      <c r="E34" s="93">
        <f>IFERROR(INDEX(Inputs!$A$38:$AK$1060,MATCH($A34&amp;", "&amp;$E$24,Inputs!$AN$38:$AN$1060,0),$B$7),0)</f>
        <v>0</v>
      </c>
      <c r="F34" s="93">
        <f>IFERROR(INDEX(Inputs!$A$38:$AK$1060,MATCH($A34&amp;", "&amp;$F$24,Inputs!$AN$38:$AN$1060,0),$B$7),0)</f>
        <v>17</v>
      </c>
      <c r="G34" s="93">
        <f>IFERROR(INDEX(Inputs!$A$38:$AK$1060,MATCH($A34&amp;", "&amp;$G$24,Inputs!$AN$38:$AN$1060,0),$B$7),0)</f>
        <v>12</v>
      </c>
      <c r="H34" s="93">
        <f>IFERROR(INDEX(Inputs!$A$38:$AK$1060,MATCH($A34&amp;", "&amp;$H$24,Inputs!$AN$38:$AN$1060,0),$B$7),0)</f>
        <v>5230.0956800000004</v>
      </c>
    </row>
    <row r="35" spans="1:8" x14ac:dyDescent="0.25">
      <c r="A35" s="119" t="s">
        <v>144</v>
      </c>
      <c r="B35" s="64"/>
      <c r="C35" s="93">
        <f>IFERROR(INDEX(Inputs!$A$38:$AK$1060,MATCH($A35&amp;", "&amp;$C$24,Inputs!$AN$38:$AN$1060,0),$B$7),0)</f>
        <v>0</v>
      </c>
      <c r="D35" s="93">
        <f>IFERROR(INDEX(Inputs!$A$38:$AK$1060,MATCH($A35&amp;", "&amp;$D$24,Inputs!$AN$38:$AN$1060,0),$B$7),0)</f>
        <v>0</v>
      </c>
      <c r="E35" s="93">
        <f>IFERROR(INDEX(Inputs!$A$38:$AK$1060,MATCH($A35&amp;", "&amp;$E$24,Inputs!$AN$38:$AN$1060,0),$B$7),0)</f>
        <v>0</v>
      </c>
      <c r="F35" s="93">
        <f>IFERROR(INDEX(Inputs!$A$38:$AK$1060,MATCH($A35&amp;", "&amp;$F$24,Inputs!$AN$38:$AN$1060,0),$B$7),0)</f>
        <v>0</v>
      </c>
      <c r="G35" s="93">
        <f>IFERROR(INDEX(Inputs!$A$38:$AK$1060,MATCH($A35&amp;", "&amp;$G$24,Inputs!$AN$38:$AN$1060,0),$B$7),0)</f>
        <v>0</v>
      </c>
      <c r="H35" s="93">
        <f>IFERROR(INDEX(Inputs!$A$38:$AK$1060,MATCH($A35&amp;", "&amp;$H$24,Inputs!$AN$38:$AN$1060,0),$B$7),0)</f>
        <v>8.9175199999999997</v>
      </c>
    </row>
    <row r="36" spans="1:8" x14ac:dyDescent="0.25">
      <c r="A36" s="119" t="s">
        <v>145</v>
      </c>
      <c r="B36" s="64"/>
      <c r="C36" s="93">
        <f>IFERROR(INDEX(Inputs!$A$38:$AK$1060,MATCH($A36&amp;", "&amp;$C$24,Inputs!$AN$38:$AN$1060,0),$B$7),0)</f>
        <v>0</v>
      </c>
      <c r="D36" s="93">
        <f>IFERROR(INDEX(Inputs!$A$38:$AK$1060,MATCH($A36&amp;", "&amp;$D$24,Inputs!$AN$38:$AN$1060,0),$B$7),0)</f>
        <v>0</v>
      </c>
      <c r="E36" s="93">
        <f>IFERROR(INDEX(Inputs!$A$38:$AK$1060,MATCH($A36&amp;", "&amp;$E$24,Inputs!$AN$38:$AN$1060,0),$B$7),0)</f>
        <v>0</v>
      </c>
      <c r="F36" s="93">
        <f>IFERROR(INDEX(Inputs!$A$38:$AK$1060,MATCH($A36&amp;", "&amp;$F$24,Inputs!$AN$38:$AN$1060,0),$B$7),0)</f>
        <v>2397</v>
      </c>
      <c r="G36" s="93">
        <f>IFERROR(INDEX(Inputs!$A$38:$AK$1060,MATCH($A36&amp;", "&amp;$G$24,Inputs!$AN$38:$AN$1060,0),$B$7),0)</f>
        <v>2584</v>
      </c>
      <c r="H36" s="93">
        <f>IFERROR(INDEX(Inputs!$A$38:$AK$1060,MATCH($A36&amp;", "&amp;$H$24,Inputs!$AN$38:$AN$1060,0),$B$7),0)</f>
        <v>490122.51042000001</v>
      </c>
    </row>
    <row r="37" spans="1:8" x14ac:dyDescent="0.25">
      <c r="A37" s="119" t="s">
        <v>146</v>
      </c>
      <c r="B37" s="64"/>
      <c r="C37" s="93">
        <f>IFERROR(INDEX(Inputs!$A$38:$AK$1060,MATCH($A37&amp;", "&amp;$C$24,Inputs!$AN$38:$AN$1060,0),$B$7),0)</f>
        <v>0</v>
      </c>
      <c r="D37" s="93">
        <f>IFERROR(INDEX(Inputs!$A$38:$AK$1060,MATCH($A37&amp;", "&amp;$D$24,Inputs!$AN$38:$AN$1060,0),$B$7),0)</f>
        <v>0</v>
      </c>
      <c r="E37" s="93">
        <f>IFERROR(INDEX(Inputs!$A$38:$AK$1060,MATCH($A37&amp;", "&amp;$E$24,Inputs!$AN$38:$AN$1060,0),$B$7),0)</f>
        <v>0</v>
      </c>
      <c r="F37" s="93">
        <f>IFERROR(INDEX(Inputs!$A$38:$AK$1060,MATCH($A37&amp;", "&amp;$F$24,Inputs!$AN$38:$AN$1060,0),$B$7),0)</f>
        <v>232</v>
      </c>
      <c r="G37" s="93">
        <f>IFERROR(INDEX(Inputs!$A$38:$AK$1060,MATCH($A37&amp;", "&amp;$G$24,Inputs!$AN$38:$AN$1060,0),$B$7),0)</f>
        <v>113</v>
      </c>
      <c r="H37" s="93">
        <f>IFERROR(INDEX(Inputs!$A$38:$AK$1060,MATCH($A37&amp;", "&amp;$H$24,Inputs!$AN$38:$AN$1060,0),$B$7),0)</f>
        <v>23798.760249999999</v>
      </c>
    </row>
    <row r="38" spans="1:8" x14ac:dyDescent="0.25">
      <c r="A38" s="119" t="s">
        <v>147</v>
      </c>
      <c r="B38" s="64"/>
      <c r="C38" s="93">
        <f>IFERROR(INDEX(Inputs!$A$38:$AK$1060,MATCH($A38&amp;", "&amp;$C$24,Inputs!$AN$38:$AN$1060,0),$B$7),0)</f>
        <v>0</v>
      </c>
      <c r="D38" s="93">
        <f>IFERROR(INDEX(Inputs!$A$38:$AK$1060,MATCH($A38&amp;", "&amp;$D$24,Inputs!$AN$38:$AN$1060,0),$B$7),0)</f>
        <v>0</v>
      </c>
      <c r="E38" s="93">
        <f>IFERROR(INDEX(Inputs!$A$38:$AK$1060,MATCH($A38&amp;", "&amp;$E$24,Inputs!$AN$38:$AN$1060,0),$B$7),0)</f>
        <v>0</v>
      </c>
      <c r="F38" s="93">
        <f>IFERROR(INDEX(Inputs!$A$38:$AK$1060,MATCH($A38&amp;", "&amp;$F$24,Inputs!$AN$38:$AN$1060,0),$B$7),0)</f>
        <v>0</v>
      </c>
      <c r="G38" s="93">
        <f>IFERROR(INDEX(Inputs!$A$38:$AK$1060,MATCH($A38&amp;", "&amp;$G$24,Inputs!$AN$38:$AN$1060,0),$B$7),0)</f>
        <v>0</v>
      </c>
      <c r="H38" s="93">
        <f>IFERROR(INDEX(Inputs!$A$38:$AK$1060,MATCH($A38&amp;", "&amp;$H$24,Inputs!$AN$38:$AN$1060,0),$B$7),0)</f>
        <v>136.88123999999999</v>
      </c>
    </row>
    <row r="39" spans="1:8" x14ac:dyDescent="0.25">
      <c r="A39" s="119" t="s">
        <v>148</v>
      </c>
      <c r="B39" s="64"/>
      <c r="C39" s="93">
        <f>IFERROR(INDEX(Inputs!$A$38:$AK$1060,MATCH($A39&amp;", "&amp;$C$24,Inputs!$AN$38:$AN$1060,0),$B$7),0)</f>
        <v>0</v>
      </c>
      <c r="D39" s="93">
        <f>IFERROR(INDEX(Inputs!$A$38:$AK$1060,MATCH($A39&amp;", "&amp;$D$24,Inputs!$AN$38:$AN$1060,0),$B$7),0)</f>
        <v>0</v>
      </c>
      <c r="E39" s="93">
        <f>IFERROR(INDEX(Inputs!$A$38:$AK$1060,MATCH($A39&amp;", "&amp;$E$24,Inputs!$AN$38:$AN$1060,0),$B$7),0)</f>
        <v>0</v>
      </c>
      <c r="F39" s="93">
        <f>IFERROR(INDEX(Inputs!$A$38:$AK$1060,MATCH($A39&amp;", "&amp;$F$24,Inputs!$AN$38:$AN$1060,0),$B$7),0)</f>
        <v>0</v>
      </c>
      <c r="G39" s="93">
        <f>IFERROR(INDEX(Inputs!$A$38:$AK$1060,MATCH($A39&amp;", "&amp;$G$24,Inputs!$AN$38:$AN$1060,0),$B$7),0)</f>
        <v>0</v>
      </c>
      <c r="H39" s="93">
        <f>IFERROR(INDEX(Inputs!$A$38:$AK$1060,MATCH($A39&amp;", "&amp;$H$24,Inputs!$AN$38:$AN$1060,0),$B$7),0)</f>
        <v>46136.714698333337</v>
      </c>
    </row>
    <row r="40" spans="1:8" x14ac:dyDescent="0.25">
      <c r="A40" s="119" t="s">
        <v>149</v>
      </c>
      <c r="B40" s="64"/>
      <c r="C40" s="93">
        <f>IFERROR(INDEX(Inputs!$A$38:$AK$1060,MATCH($A40&amp;", "&amp;$C$24,Inputs!$AN$38:$AN$1060,0),$B$7),0)</f>
        <v>0</v>
      </c>
      <c r="D40" s="93">
        <f>IFERROR(INDEX(Inputs!$A$38:$AK$1060,MATCH($A40&amp;", "&amp;$D$24,Inputs!$AN$38:$AN$1060,0),$B$7),0)</f>
        <v>0</v>
      </c>
      <c r="E40" s="93">
        <f>IFERROR(INDEX(Inputs!$A$38:$AK$1060,MATCH($A40&amp;", "&amp;$E$24,Inputs!$AN$38:$AN$1060,0),$B$7),0)</f>
        <v>0</v>
      </c>
      <c r="F40" s="93">
        <f>IFERROR(INDEX(Inputs!$A$38:$AK$1060,MATCH($A40&amp;", "&amp;$F$24,Inputs!$AN$38:$AN$1060,0),$B$7),0)</f>
        <v>0</v>
      </c>
      <c r="G40" s="93">
        <f>IFERROR(INDEX(Inputs!$A$38:$AK$1060,MATCH($A40&amp;", "&amp;$G$24,Inputs!$AN$38:$AN$1060,0),$B$7),0)</f>
        <v>0</v>
      </c>
      <c r="H40" s="93">
        <f>IFERROR(INDEX(Inputs!$A$38:$AK$1060,MATCH($A40&amp;", "&amp;$H$24,Inputs!$AN$38:$AN$1060,0),$B$7),0)</f>
        <v>0</v>
      </c>
    </row>
    <row r="41" spans="1:8" x14ac:dyDescent="0.25">
      <c r="A41" s="119" t="s">
        <v>150</v>
      </c>
      <c r="B41" s="64"/>
      <c r="C41" s="93">
        <f>IFERROR(INDEX(Inputs!$A$38:$AK$1060,MATCH($A41&amp;", "&amp;$C$24,Inputs!$AN$38:$AN$1060,0),$B$7),0)</f>
        <v>0</v>
      </c>
      <c r="D41" s="93">
        <f>IFERROR(INDEX(Inputs!$A$38:$AK$1060,MATCH($A41&amp;", "&amp;$D$24,Inputs!$AN$38:$AN$1060,0),$B$7),0)</f>
        <v>391019.93420999998</v>
      </c>
      <c r="E41" s="93">
        <f>IFERROR(INDEX(Inputs!$A$38:$AK$1060,MATCH($A41&amp;", "&amp;$E$24,Inputs!$AN$38:$AN$1060,0),$B$7),0)</f>
        <v>407495.12934808613</v>
      </c>
      <c r="F41" s="93">
        <f>IFERROR(INDEX(Inputs!$A$38:$AK$1060,MATCH($A41&amp;", "&amp;$F$24,Inputs!$AN$38:$AN$1060,0),$B$7),0)</f>
        <v>488320.81635365216</v>
      </c>
      <c r="G41" s="93">
        <f>IFERROR(INDEX(Inputs!$A$38:$AK$1060,MATCH($A41&amp;", "&amp;$G$24,Inputs!$AN$38:$AN$1060,0),$B$7),0)</f>
        <v>508823.89529800002</v>
      </c>
      <c r="H41" s="93">
        <f>IFERROR(INDEX(Inputs!$A$38:$AK$1060,MATCH($A41&amp;", "&amp;$H$24,Inputs!$AN$38:$AN$1060,0),$B$7),0)</f>
        <v>796.00399999999991</v>
      </c>
    </row>
    <row r="42" spans="1:8" x14ac:dyDescent="0.25">
      <c r="A42" s="119" t="s">
        <v>129</v>
      </c>
      <c r="B42" s="64"/>
      <c r="C42" s="93">
        <f>IFERROR(INDEX(Inputs!$A$38:$AK$1060,MATCH($A42&amp;", "&amp;$C$24,Inputs!$AN$38:$AN$1060,0),$B$7),0)</f>
        <v>0</v>
      </c>
      <c r="D42" s="93">
        <f>IFERROR(INDEX(Inputs!$A$38:$AK$1060,MATCH($A42&amp;", "&amp;$D$24,Inputs!$AN$38:$AN$1060,0),$B$7),0)</f>
        <v>0</v>
      </c>
      <c r="E42" s="93">
        <f>IFERROR(INDEX(Inputs!$A$38:$AK$1060,MATCH($A42&amp;", "&amp;$E$24,Inputs!$AN$38:$AN$1060,0),$B$7),0)</f>
        <v>0</v>
      </c>
      <c r="F42" s="93">
        <f>IFERROR(INDEX(Inputs!$A$38:$AK$1060,MATCH($A42&amp;", "&amp;$F$24,Inputs!$AN$38:$AN$1060,0),$B$7),0)</f>
        <v>0</v>
      </c>
      <c r="G42" s="93">
        <f>IFERROR(INDEX(Inputs!$A$38:$AK$1060,MATCH($A42&amp;", "&amp;$G$24,Inputs!$AN$38:$AN$1060,0),$B$7),0)</f>
        <v>0</v>
      </c>
      <c r="H42" s="93">
        <f>IFERROR(INDEX(Inputs!$A$38:$AK$1060,MATCH($A42&amp;", "&amp;$H$24,Inputs!$AN$38:$AN$1060,0),$B$7),0)</f>
        <v>0</v>
      </c>
    </row>
    <row r="43" spans="1:8" x14ac:dyDescent="0.25">
      <c r="A43" s="119" t="s">
        <v>130</v>
      </c>
      <c r="B43" s="64"/>
      <c r="C43" s="93">
        <f>IFERROR(INDEX(Inputs!$A$38:$AK$1060,MATCH($A43&amp;", "&amp;$C$24,Inputs!$AN$38:$AN$1060,0),$B$7),0)</f>
        <v>0</v>
      </c>
      <c r="D43" s="93">
        <f>IFERROR(INDEX(Inputs!$A$38:$AK$1060,MATCH($A43&amp;", "&amp;$D$24,Inputs!$AN$38:$AN$1060,0),$B$7),0)</f>
        <v>0</v>
      </c>
      <c r="E43" s="93">
        <f>IFERROR(INDEX(Inputs!$A$38:$AK$1060,MATCH($A43&amp;", "&amp;$E$24,Inputs!$AN$38:$AN$1060,0),$B$7),0)</f>
        <v>0</v>
      </c>
      <c r="F43" s="93">
        <f>IFERROR(INDEX(Inputs!$A$38:$AK$1060,MATCH($A43&amp;", "&amp;$F$24,Inputs!$AN$38:$AN$1060,0),$B$7),0)</f>
        <v>0</v>
      </c>
      <c r="G43" s="93">
        <f>IFERROR(INDEX(Inputs!$A$38:$AK$1060,MATCH($A43&amp;", "&amp;$G$24,Inputs!$AN$38:$AN$1060,0),$B$7),0)</f>
        <v>0</v>
      </c>
      <c r="H43" s="93">
        <f>IFERROR(INDEX(Inputs!$A$38:$AK$1060,MATCH($A43&amp;", "&amp;$H$24,Inputs!$AN$38:$AN$1060,0),$B$7),0)</f>
        <v>0</v>
      </c>
    </row>
    <row r="44" spans="1:8" x14ac:dyDescent="0.25">
      <c r="A44" s="119" t="s">
        <v>131</v>
      </c>
      <c r="B44" s="64"/>
      <c r="C44" s="93">
        <f>IFERROR(INDEX(Inputs!$A$38:$AK$1060,MATCH($A44&amp;", "&amp;$C$24,Inputs!$AN$38:$AN$1060,0),$B$7),0)</f>
        <v>0</v>
      </c>
      <c r="D44" s="93">
        <f>IFERROR(INDEX(Inputs!$A$38:$AK$1060,MATCH($A44&amp;", "&amp;$D$24,Inputs!$AN$38:$AN$1060,0),$B$7),0)</f>
        <v>0</v>
      </c>
      <c r="E44" s="93">
        <f>IFERROR(INDEX(Inputs!$A$38:$AK$1060,MATCH($A44&amp;", "&amp;$E$24,Inputs!$AN$38:$AN$1060,0),$B$7),0)</f>
        <v>0</v>
      </c>
      <c r="F44" s="93">
        <f>IFERROR(INDEX(Inputs!$A$38:$AK$1060,MATCH($A44&amp;", "&amp;$F$24,Inputs!$AN$38:$AN$1060,0),$B$7),0)</f>
        <v>0</v>
      </c>
      <c r="G44" s="93">
        <f>IFERROR(INDEX(Inputs!$A$38:$AK$1060,MATCH($A44&amp;", "&amp;$G$24,Inputs!$AN$38:$AN$1060,0),$B$7),0)</f>
        <v>0</v>
      </c>
      <c r="H44" s="93">
        <f>IFERROR(INDEX(Inputs!$A$38:$AK$1060,MATCH($A44&amp;", "&amp;$H$24,Inputs!$AN$38:$AN$1060,0),$B$7),0)</f>
        <v>0</v>
      </c>
    </row>
    <row r="45" spans="1:8" x14ac:dyDescent="0.25">
      <c r="A45" s="119" t="s">
        <v>132</v>
      </c>
      <c r="B45" s="64"/>
      <c r="C45" s="93">
        <f>IFERROR(INDEX(Inputs!$A$38:$AK$1060,MATCH($A45&amp;", "&amp;$C$24,Inputs!$AN$38:$AN$1060,0),$B$7),0)</f>
        <v>0</v>
      </c>
      <c r="D45" s="93">
        <f>IFERROR(INDEX(Inputs!$A$38:$AK$1060,MATCH($A45&amp;", "&amp;$D$24,Inputs!$AN$38:$AN$1060,0),$B$7),0)</f>
        <v>0</v>
      </c>
      <c r="E45" s="93">
        <f>IFERROR(INDEX(Inputs!$A$38:$AK$1060,MATCH($A45&amp;", "&amp;$E$24,Inputs!$AN$38:$AN$1060,0),$B$7),0)</f>
        <v>0</v>
      </c>
      <c r="F45" s="93">
        <f>IFERROR(INDEX(Inputs!$A$38:$AK$1060,MATCH($A45&amp;", "&amp;$F$24,Inputs!$AN$38:$AN$1060,0),$B$7),0)</f>
        <v>0</v>
      </c>
      <c r="G45" s="93">
        <f>IFERROR(INDEX(Inputs!$A$38:$AK$1060,MATCH($A45&amp;", "&amp;$G$24,Inputs!$AN$38:$AN$1060,0),$B$7),0)</f>
        <v>0</v>
      </c>
      <c r="H45" s="93">
        <f>IFERROR(INDEX(Inputs!$A$38:$AK$1060,MATCH($A45&amp;", "&amp;$H$24,Inputs!$AN$38:$AN$1060,0),$B$7),0)</f>
        <v>0</v>
      </c>
    </row>
    <row r="46" spans="1:8" x14ac:dyDescent="0.25">
      <c r="A46" s="119" t="s">
        <v>133</v>
      </c>
      <c r="B46" s="64"/>
      <c r="C46" s="93">
        <f>IFERROR(INDEX(Inputs!$A$38:$AK$1060,MATCH($A46&amp;", "&amp;$C$24,Inputs!$AN$38:$AN$1060,0),$B$7),0)</f>
        <v>0</v>
      </c>
      <c r="D46" s="93">
        <f>IFERROR(INDEX(Inputs!$A$38:$AK$1060,MATCH($A46&amp;", "&amp;$D$24,Inputs!$AN$38:$AN$1060,0),$B$7),0)</f>
        <v>0</v>
      </c>
      <c r="E46" s="93">
        <f>IFERROR(INDEX(Inputs!$A$38:$AK$1060,MATCH($A46&amp;", "&amp;$E$24,Inputs!$AN$38:$AN$1060,0),$B$7),0)</f>
        <v>0</v>
      </c>
      <c r="F46" s="93">
        <f>IFERROR(INDEX(Inputs!$A$38:$AK$1060,MATCH($A46&amp;", "&amp;$F$24,Inputs!$AN$38:$AN$1060,0),$B$7),0)</f>
        <v>0</v>
      </c>
      <c r="G46" s="93">
        <f>IFERROR(INDEX(Inputs!$A$38:$AK$1060,MATCH($A46&amp;", "&amp;$G$24,Inputs!$AN$38:$AN$1060,0),$B$7),0)</f>
        <v>0</v>
      </c>
      <c r="H46" s="93">
        <f>IFERROR(INDEX(Inputs!$A$38:$AK$1060,MATCH($A46&amp;", "&amp;$H$24,Inputs!$AN$38:$AN$1060,0),$B$7),0)</f>
        <v>0</v>
      </c>
    </row>
    <row r="47" spans="1:8" x14ac:dyDescent="0.25">
      <c r="A47" s="119" t="s">
        <v>134</v>
      </c>
      <c r="B47" s="64"/>
      <c r="C47" s="93">
        <f>IFERROR(INDEX(Inputs!$A$38:$AK$1060,MATCH($A47&amp;", "&amp;$C$24,Inputs!$AN$38:$AN$1060,0),$B$7),0)</f>
        <v>0</v>
      </c>
      <c r="D47" s="93">
        <f>IFERROR(INDEX(Inputs!$A$38:$AK$1060,MATCH($A47&amp;", "&amp;$D$24,Inputs!$AN$38:$AN$1060,0),$B$7),0)</f>
        <v>0</v>
      </c>
      <c r="E47" s="93">
        <f>IFERROR(INDEX(Inputs!$A$38:$AK$1060,MATCH($A47&amp;", "&amp;$E$24,Inputs!$AN$38:$AN$1060,0),$B$7),0)</f>
        <v>0</v>
      </c>
      <c r="F47" s="93">
        <f>IFERROR(INDEX(Inputs!$A$38:$AK$1060,MATCH($A47&amp;", "&amp;$F$24,Inputs!$AN$38:$AN$1060,0),$B$7),0)</f>
        <v>0</v>
      </c>
      <c r="G47" s="93">
        <f>IFERROR(INDEX(Inputs!$A$38:$AK$1060,MATCH($A47&amp;", "&amp;$G$24,Inputs!$AN$38:$AN$1060,0),$B$7),0)</f>
        <v>0</v>
      </c>
      <c r="H47" s="93">
        <f>IFERROR(INDEX(Inputs!$A$38:$AK$1060,MATCH($A47&amp;", "&amp;$H$24,Inputs!$AN$38:$AN$1060,0),$B$7),0)</f>
        <v>0</v>
      </c>
    </row>
    <row r="48" spans="1:8" x14ac:dyDescent="0.25">
      <c r="A48" s="119" t="s">
        <v>135</v>
      </c>
      <c r="B48" s="64"/>
      <c r="C48" s="93">
        <f>IFERROR(INDEX(Inputs!$A$38:$AK$1060,MATCH($A48&amp;", "&amp;$C$24,Inputs!$AN$38:$AN$1060,0),$B$7),0)</f>
        <v>0</v>
      </c>
      <c r="D48" s="93">
        <f>IFERROR(INDEX(Inputs!$A$38:$AK$1060,MATCH($A48&amp;", "&amp;$D$24,Inputs!$AN$38:$AN$1060,0),$B$7),0)</f>
        <v>0</v>
      </c>
      <c r="E48" s="93">
        <f>IFERROR(INDEX(Inputs!$A$38:$AK$1060,MATCH($A48&amp;", "&amp;$E$24,Inputs!$AN$38:$AN$1060,0),$B$7),0)</f>
        <v>0</v>
      </c>
      <c r="F48" s="93">
        <f>IFERROR(INDEX(Inputs!$A$38:$AK$1060,MATCH($A48&amp;", "&amp;$F$24,Inputs!$AN$38:$AN$1060,0),$B$7),0)</f>
        <v>0</v>
      </c>
      <c r="G48" s="93">
        <f>IFERROR(INDEX(Inputs!$A$38:$AK$1060,MATCH($A48&amp;", "&amp;$G$24,Inputs!$AN$38:$AN$1060,0),$B$7),0)</f>
        <v>0</v>
      </c>
      <c r="H48" s="93">
        <f>IFERROR(INDEX(Inputs!$A$38:$AK$1060,MATCH($A48&amp;", "&amp;$H$24,Inputs!$AN$38:$AN$1060,0),$B$7),0)</f>
        <v>0</v>
      </c>
    </row>
    <row r="49" spans="1:8" x14ac:dyDescent="0.25">
      <c r="A49" s="119" t="s">
        <v>136</v>
      </c>
      <c r="B49" s="64"/>
      <c r="C49" s="93">
        <f>IFERROR(INDEX(Inputs!$A$38:$AK$1060,MATCH($A49&amp;", "&amp;$C$24,Inputs!$AN$38:$AN$1060,0),$B$7),0)</f>
        <v>0</v>
      </c>
      <c r="D49" s="93">
        <f>IFERROR(INDEX(Inputs!$A$38:$AK$1060,MATCH($A49&amp;", "&amp;$D$24,Inputs!$AN$38:$AN$1060,0),$B$7),0)</f>
        <v>0</v>
      </c>
      <c r="E49" s="93">
        <f>IFERROR(INDEX(Inputs!$A$38:$AK$1060,MATCH($A49&amp;", "&amp;$E$24,Inputs!$AN$38:$AN$1060,0),$B$7),0)</f>
        <v>0</v>
      </c>
      <c r="F49" s="93">
        <f>IFERROR(INDEX(Inputs!$A$38:$AK$1060,MATCH($A49&amp;", "&amp;$F$24,Inputs!$AN$38:$AN$1060,0),$B$7),0)</f>
        <v>0</v>
      </c>
      <c r="G49" s="93">
        <f>IFERROR(INDEX(Inputs!$A$38:$AK$1060,MATCH($A49&amp;", "&amp;$G$24,Inputs!$AN$38:$AN$1060,0),$B$7),0)</f>
        <v>0</v>
      </c>
      <c r="H49" s="93">
        <f>IFERROR(INDEX(Inputs!$A$38:$AK$1060,MATCH($A49&amp;", "&amp;$H$24,Inputs!$AN$38:$AN$1060,0),$B$7),0)</f>
        <v>0</v>
      </c>
    </row>
    <row r="50" spans="1:8" x14ac:dyDescent="0.25">
      <c r="A50" s="119" t="s">
        <v>137</v>
      </c>
      <c r="B50" s="64"/>
      <c r="C50" s="93">
        <f>IFERROR(INDEX(Inputs!$A$38:$AK$1060,MATCH($A50&amp;", "&amp;$C$24,Inputs!$AN$38:$AN$1060,0),$B$7),0)</f>
        <v>0</v>
      </c>
      <c r="D50" s="93">
        <f>IFERROR(INDEX(Inputs!$A$38:$AK$1060,MATCH($A50&amp;", "&amp;$D$24,Inputs!$AN$38:$AN$1060,0),$B$7),0)</f>
        <v>0</v>
      </c>
      <c r="E50" s="93">
        <f>IFERROR(INDEX(Inputs!$A$38:$AK$1060,MATCH($A50&amp;", "&amp;$E$24,Inputs!$AN$38:$AN$1060,0),$B$7),0)</f>
        <v>0</v>
      </c>
      <c r="F50" s="93">
        <f>IFERROR(INDEX(Inputs!$A$38:$AK$1060,MATCH($A50&amp;", "&amp;$F$24,Inputs!$AN$38:$AN$1060,0),$B$7),0)</f>
        <v>0</v>
      </c>
      <c r="G50" s="93">
        <f>IFERROR(INDEX(Inputs!$A$38:$AK$1060,MATCH($A50&amp;", "&amp;$G$24,Inputs!$AN$38:$AN$1060,0),$B$7),0)</f>
        <v>0</v>
      </c>
      <c r="H50" s="93">
        <f>IFERROR(INDEX(Inputs!$A$38:$AK$1060,MATCH($A50&amp;", "&amp;$H$24,Inputs!$AN$38:$AN$1060,0),$B$7),0)</f>
        <v>0</v>
      </c>
    </row>
    <row r="51" spans="1:8" x14ac:dyDescent="0.25">
      <c r="A51" s="119" t="s">
        <v>138</v>
      </c>
      <c r="B51" s="64"/>
      <c r="C51" s="93">
        <f>IFERROR(INDEX(Inputs!$A$38:$AK$1060,MATCH($A51&amp;", "&amp;$C$24,Inputs!$AN$38:$AN$1060,0),$B$7),0)</f>
        <v>0</v>
      </c>
      <c r="D51" s="93">
        <f>IFERROR(INDEX(Inputs!$A$38:$AK$1060,MATCH($A51&amp;", "&amp;$D$24,Inputs!$AN$38:$AN$1060,0),$B$7),0)</f>
        <v>0</v>
      </c>
      <c r="E51" s="93">
        <f>IFERROR(INDEX(Inputs!$A$38:$AK$1060,MATCH($A51&amp;", "&amp;$E$24,Inputs!$AN$38:$AN$1060,0),$B$7),0)</f>
        <v>0</v>
      </c>
      <c r="F51" s="93">
        <f>IFERROR(INDEX(Inputs!$A$38:$AK$1060,MATCH($A51&amp;", "&amp;$F$24,Inputs!$AN$38:$AN$1060,0),$B$7),0)</f>
        <v>0</v>
      </c>
      <c r="G51" s="93">
        <f>IFERROR(INDEX(Inputs!$A$38:$AK$1060,MATCH($A51&amp;", "&amp;$G$24,Inputs!$AN$38:$AN$1060,0),$B$7),0)</f>
        <v>0</v>
      </c>
      <c r="H51" s="93">
        <f>IFERROR(INDEX(Inputs!$A$38:$AK$1060,MATCH($A51&amp;", "&amp;$H$24,Inputs!$AN$38:$AN$1060,0),$B$7),0)</f>
        <v>0</v>
      </c>
    </row>
    <row r="52" spans="1:8" x14ac:dyDescent="0.25">
      <c r="A52" s="119" t="s">
        <v>139</v>
      </c>
      <c r="B52" s="64"/>
      <c r="C52" s="93">
        <f>IFERROR(INDEX(Inputs!$A$38:$AK$1060,MATCH($A52&amp;", "&amp;$C$24,Inputs!$AN$38:$AN$1060,0),$B$7),0)</f>
        <v>0</v>
      </c>
      <c r="D52" s="93">
        <f>IFERROR(INDEX(Inputs!$A$38:$AK$1060,MATCH($A52&amp;", "&amp;$D$24,Inputs!$AN$38:$AN$1060,0),$B$7),0)</f>
        <v>0</v>
      </c>
      <c r="E52" s="93">
        <f>IFERROR(INDEX(Inputs!$A$38:$AK$1060,MATCH($A52&amp;", "&amp;$E$24,Inputs!$AN$38:$AN$1060,0),$B$7),0)</f>
        <v>0</v>
      </c>
      <c r="F52" s="93">
        <f>IFERROR(INDEX(Inputs!$A$38:$AK$1060,MATCH($A52&amp;", "&amp;$F$24,Inputs!$AN$38:$AN$1060,0),$B$7),0)</f>
        <v>0</v>
      </c>
      <c r="G52" s="93">
        <f>IFERROR(INDEX(Inputs!$A$38:$AK$1060,MATCH($A52&amp;", "&amp;$G$24,Inputs!$AN$38:$AN$1060,0),$B$7),0)</f>
        <v>0</v>
      </c>
      <c r="H52" s="93">
        <f>IFERROR(INDEX(Inputs!$A$38:$AK$1060,MATCH($A52&amp;", "&amp;$H$24,Inputs!$AN$38:$AN$1060,0),$B$7),0)</f>
        <v>0</v>
      </c>
    </row>
    <row r="53" spans="1:8" x14ac:dyDescent="0.25">
      <c r="A53" s="119" t="s">
        <v>140</v>
      </c>
      <c r="B53" s="64"/>
      <c r="C53" s="93">
        <f>IFERROR(INDEX(Inputs!$A$38:$AK$1060,MATCH($A53&amp;", "&amp;$C$24,Inputs!$AN$38:$AN$1060,0),$B$7),0)</f>
        <v>0</v>
      </c>
      <c r="D53" s="93">
        <f>IFERROR(INDEX(Inputs!$A$38:$AK$1060,MATCH($A53&amp;", "&amp;$D$24,Inputs!$AN$38:$AN$1060,0),$B$7),0)</f>
        <v>0</v>
      </c>
      <c r="E53" s="93">
        <f>IFERROR(INDEX(Inputs!$A$38:$AK$1060,MATCH($A53&amp;", "&amp;$E$24,Inputs!$AN$38:$AN$1060,0),$B$7),0)</f>
        <v>0</v>
      </c>
      <c r="F53" s="93">
        <f>IFERROR(INDEX(Inputs!$A$38:$AK$1060,MATCH($A53&amp;", "&amp;$F$24,Inputs!$AN$38:$AN$1060,0),$B$7),0)</f>
        <v>0</v>
      </c>
      <c r="G53" s="93">
        <f>IFERROR(INDEX(Inputs!$A$38:$AK$1060,MATCH($A53&amp;", "&amp;$G$24,Inputs!$AN$38:$AN$1060,0),$B$7),0)</f>
        <v>0</v>
      </c>
      <c r="H53" s="93">
        <f>IFERROR(INDEX(Inputs!$A$38:$AK$1060,MATCH($A53&amp;", "&amp;$H$24,Inputs!$AN$38:$AN$1060,0),$B$7),0)</f>
        <v>0</v>
      </c>
    </row>
    <row r="54" spans="1:8" x14ac:dyDescent="0.25">
      <c r="A54" s="119" t="s">
        <v>44</v>
      </c>
      <c r="B54" s="64"/>
      <c r="C54" s="93">
        <f>IFERROR(INDEX(Inputs!$A$38:$AK$1060,MATCH($A54&amp;", "&amp;$C$24,Inputs!$AN$38:$AN$1060,0),$B$7),0)</f>
        <v>241934.9992391202</v>
      </c>
      <c r="D54" s="93">
        <f>IFERROR(INDEX(Inputs!$A$38:$AK$1060,MATCH($A54&amp;", "&amp;$D$24,Inputs!$AN$38:$AN$1060,0),$B$7),0)</f>
        <v>249184.79825379152</v>
      </c>
      <c r="E54" s="93">
        <f>IFERROR(INDEX(Inputs!$A$38:$AK$1060,MATCH($A54&amp;", "&amp;$E$24,Inputs!$AN$38:$AN$1060,0),$B$7),0)</f>
        <v>262635.21001464606</v>
      </c>
      <c r="F54" s="93">
        <f>IFERROR(INDEX(Inputs!$A$38:$AK$1060,MATCH($A54&amp;", "&amp;$F$24,Inputs!$AN$38:$AN$1060,0),$B$7),0)</f>
        <v>259817.7441649067</v>
      </c>
      <c r="G54" s="93">
        <f>IFERROR(INDEX(Inputs!$A$38:$AK$1060,MATCH($A54&amp;", "&amp;$G$24,Inputs!$AN$38:$AN$1060,0),$B$7),0)</f>
        <v>272300.44722101337</v>
      </c>
      <c r="H54" s="93">
        <f>IFERROR(INDEX(Inputs!$A$38:$AK$1060,MATCH($A54&amp;", "&amp;$H$24,Inputs!$AN$38:$AN$1060,0),$B$7),0)</f>
        <v>271453.78359519353</v>
      </c>
    </row>
    <row r="55" spans="1:8" x14ac:dyDescent="0.25">
      <c r="A55" s="119" t="s">
        <v>77</v>
      </c>
      <c r="B55" s="64"/>
      <c r="C55" s="93">
        <f>IFERROR(INDEX(Inputs!$A$38:$AK$1060,MATCH($A55&amp;", "&amp;$C$24,Inputs!$AN$38:$AN$1060,0),$B$7),0)</f>
        <v>122516.40129977374</v>
      </c>
      <c r="D55" s="93">
        <f>IFERROR(INDEX(Inputs!$A$38:$AK$1060,MATCH($A55&amp;", "&amp;$D$24,Inputs!$AN$38:$AN$1060,0),$B$7),0)</f>
        <v>149515.59365835579</v>
      </c>
      <c r="E55" s="93">
        <f>IFERROR(INDEX(Inputs!$A$38:$AK$1060,MATCH($A55&amp;", "&amp;$E$24,Inputs!$AN$38:$AN$1060,0),$B$7),0)</f>
        <v>100365.20621952781</v>
      </c>
      <c r="F55" s="93">
        <f>IFERROR(INDEX(Inputs!$A$38:$AK$1060,MATCH($A55&amp;", "&amp;$F$24,Inputs!$AN$38:$AN$1060,0),$B$7),0)</f>
        <v>55871.639122972279</v>
      </c>
      <c r="G55" s="93">
        <f>IFERROR(INDEX(Inputs!$A$38:$AK$1060,MATCH($A55&amp;", "&amp;$G$24,Inputs!$AN$38:$AN$1060,0),$B$7),0)</f>
        <v>101825.46098452678</v>
      </c>
      <c r="H55" s="93">
        <f>IFERROR(INDEX(Inputs!$A$38:$AK$1060,MATCH($A55&amp;", "&amp;$H$24,Inputs!$AN$38:$AN$1060,0),$B$7),0)</f>
        <v>5785.129321744681</v>
      </c>
    </row>
    <row r="56" spans="1:8" x14ac:dyDescent="0.25">
      <c r="A56" s="119" t="s">
        <v>52</v>
      </c>
      <c r="B56" s="64"/>
      <c r="C56" s="93">
        <f>IFERROR(INDEX(Inputs!$A$38:$AK$1060,MATCH($A56&amp;", "&amp;$C$24,Inputs!$AN$38:$AN$1060,0),$B$7),0)</f>
        <v>335613.36077573971</v>
      </c>
      <c r="D56" s="93">
        <f>IFERROR(INDEX(Inputs!$A$38:$AK$1060,MATCH($A56&amp;", "&amp;$D$24,Inputs!$AN$38:$AN$1060,0),$B$7),0)</f>
        <v>339981.96621765615</v>
      </c>
      <c r="E56" s="93">
        <f>IFERROR(INDEX(Inputs!$A$38:$AK$1060,MATCH($A56&amp;", "&amp;$E$24,Inputs!$AN$38:$AN$1060,0),$B$7),0)</f>
        <v>287149.85047793452</v>
      </c>
      <c r="F56" s="93">
        <f>IFERROR(INDEX(Inputs!$A$38:$AK$1060,MATCH($A56&amp;", "&amp;$F$24,Inputs!$AN$38:$AN$1060,0),$B$7),0)</f>
        <v>370648.68868279323</v>
      </c>
      <c r="G56" s="93">
        <f>IFERROR(INDEX(Inputs!$A$38:$AK$1060,MATCH($A56&amp;", "&amp;$G$24,Inputs!$AN$38:$AN$1060,0),$B$7),0)</f>
        <v>445754.5894643619</v>
      </c>
      <c r="H56" s="93">
        <f>IFERROR(INDEX(Inputs!$A$38:$AK$1060,MATCH($A56&amp;", "&amp;$H$24,Inputs!$AN$38:$AN$1060,0),$B$7),0)</f>
        <v>486977.03662084346</v>
      </c>
    </row>
    <row r="57" spans="1:8" x14ac:dyDescent="0.25">
      <c r="A57" s="119" t="s">
        <v>63</v>
      </c>
      <c r="B57" s="64"/>
      <c r="C57" s="93">
        <f>IFERROR(INDEX(Inputs!$A$38:$AK$1060,MATCH($A57&amp;", "&amp;$C$24,Inputs!$AN$38:$AN$1060,0),$B$7),0)</f>
        <v>20103.161148379117</v>
      </c>
      <c r="D57" s="93">
        <f>IFERROR(INDEX(Inputs!$A$38:$AK$1060,MATCH($A57&amp;", "&amp;$D$24,Inputs!$AN$38:$AN$1060,0),$B$7),0)</f>
        <v>16399.469717938206</v>
      </c>
      <c r="E57" s="93">
        <f>IFERROR(INDEX(Inputs!$A$38:$AK$1060,MATCH($A57&amp;", "&amp;$E$24,Inputs!$AN$38:$AN$1060,0),$B$7),0)</f>
        <v>30636.742620548423</v>
      </c>
      <c r="F57" s="93">
        <f>IFERROR(INDEX(Inputs!$A$38:$AK$1060,MATCH($A57&amp;", "&amp;$F$24,Inputs!$AN$38:$AN$1060,0),$B$7),0)</f>
        <v>15457.557236204935</v>
      </c>
      <c r="G57" s="93">
        <f>IFERROR(INDEX(Inputs!$A$38:$AK$1060,MATCH($A57&amp;", "&amp;$G$24,Inputs!$AN$38:$AN$1060,0),$B$7),0)</f>
        <v>25296.816540321164</v>
      </c>
      <c r="H57" s="93">
        <f>IFERROR(INDEX(Inputs!$A$38:$AK$1060,MATCH($A57&amp;", "&amp;$H$24,Inputs!$AN$38:$AN$1060,0),$B$7),0)</f>
        <v>25169.381785220132</v>
      </c>
    </row>
    <row r="58" spans="1:8" x14ac:dyDescent="0.25">
      <c r="A58" s="119" t="s">
        <v>78</v>
      </c>
      <c r="B58" s="64"/>
      <c r="C58" s="93">
        <f>IFERROR(INDEX(Inputs!$A$38:$AK$1060,MATCH($A58&amp;", "&amp;$C$24,Inputs!$AN$38:$AN$1060,0),$B$7),0)</f>
        <v>199</v>
      </c>
      <c r="D58" s="93">
        <f>IFERROR(INDEX(Inputs!$A$38:$AK$1060,MATCH($A58&amp;", "&amp;$D$24,Inputs!$AN$38:$AN$1060,0),$B$7),0)</f>
        <v>803.52670708345534</v>
      </c>
      <c r="E58" s="93">
        <f>IFERROR(INDEX(Inputs!$A$38:$AK$1060,MATCH($A58&amp;", "&amp;$E$24,Inputs!$AN$38:$AN$1060,0),$B$7),0)</f>
        <v>295</v>
      </c>
      <c r="F58" s="93">
        <f>IFERROR(INDEX(Inputs!$A$38:$AK$1060,MATCH($A58&amp;", "&amp;$F$24,Inputs!$AN$38:$AN$1060,0),$B$7),0)</f>
        <v>0</v>
      </c>
      <c r="G58" s="93">
        <f>IFERROR(INDEX(Inputs!$A$38:$AK$1060,MATCH($A58&amp;", "&amp;$G$24,Inputs!$AN$38:$AN$1060,0),$B$7),0)</f>
        <v>-0.47</v>
      </c>
      <c r="H58" s="93">
        <f>IFERROR(INDEX(Inputs!$A$38:$AK$1060,MATCH($A58&amp;", "&amp;$H$24,Inputs!$AN$38:$AN$1060,0),$B$7),0)</f>
        <v>817</v>
      </c>
    </row>
    <row r="59" spans="1:8" x14ac:dyDescent="0.25">
      <c r="A59" s="119" t="s">
        <v>65</v>
      </c>
      <c r="B59" s="64"/>
      <c r="C59" s="93">
        <f>IFERROR(INDEX(Inputs!$A$38:$AK$1060,MATCH($A59&amp;", "&amp;$C$24,Inputs!$AN$38:$AN$1060,0),$B$7),0)</f>
        <v>834</v>
      </c>
      <c r="D59" s="93">
        <f>IFERROR(INDEX(Inputs!$A$38:$AK$1060,MATCH($A59&amp;", "&amp;$D$24,Inputs!$AN$38:$AN$1060,0),$B$7),0)</f>
        <v>1112</v>
      </c>
      <c r="E59" s="93">
        <f>IFERROR(INDEX(Inputs!$A$38:$AK$1060,MATCH($A59&amp;", "&amp;$E$24,Inputs!$AN$38:$AN$1060,0),$B$7),0)</f>
        <v>-34</v>
      </c>
      <c r="F59" s="93">
        <f>IFERROR(INDEX(Inputs!$A$38:$AK$1060,MATCH($A59&amp;", "&amp;$F$24,Inputs!$AN$38:$AN$1060,0),$B$7),0)</f>
        <v>-78.123223516900907</v>
      </c>
      <c r="G59" s="93">
        <f>IFERROR(INDEX(Inputs!$A$38:$AK$1060,MATCH($A59&amp;", "&amp;$G$24,Inputs!$AN$38:$AN$1060,0),$B$7),0)</f>
        <v>-1411.7477848500926</v>
      </c>
      <c r="H59" s="93">
        <f>IFERROR(INDEX(Inputs!$A$38:$AK$1060,MATCH($A59&amp;", "&amp;$H$24,Inputs!$AN$38:$AN$1060,0),$B$7),0)</f>
        <v>146.57844524635004</v>
      </c>
    </row>
    <row r="60" spans="1:8" s="4" customFormat="1" x14ac:dyDescent="0.25">
      <c r="A60" s="157" t="s">
        <v>351</v>
      </c>
      <c r="B60" s="64"/>
      <c r="C60" s="93">
        <f>IFERROR(INDEX(Inputs!$A$38:$AK$1060,MATCH($A60&amp;", "&amp;$C$24,Inputs!$AN$38:$AN$1060,0),$B$7),0)</f>
        <v>0</v>
      </c>
      <c r="D60" s="93">
        <f>IFERROR(INDEX(Inputs!$A$38:$AK$1060,MATCH($A60&amp;", "&amp;$D$24,Inputs!$AN$38:$AN$1060,0),$B$7),0)</f>
        <v>0</v>
      </c>
      <c r="E60" s="93">
        <f>IFERROR(INDEX(Inputs!$A$38:$AK$1060,MATCH($A60&amp;", "&amp;$E$24,Inputs!$AN$38:$AN$1060,0),$B$7),0)</f>
        <v>0</v>
      </c>
      <c r="F60" s="93">
        <f>IFERROR(INDEX(Inputs!$A$38:$AK$1060,MATCH($A60&amp;", "&amp;$F$24,Inputs!$AN$38:$AN$1060,0),$B$7),0)</f>
        <v>0</v>
      </c>
      <c r="G60" s="93">
        <f>IFERROR(INDEX(Inputs!$A$38:$AK$1060,MATCH($A60&amp;", "&amp;$G$24,Inputs!$AN$38:$AN$1060,0),$B$7),0)</f>
        <v>0</v>
      </c>
      <c r="H60" s="93">
        <f>IFERROR(INDEX(Inputs!$A$38:$AK$1060,MATCH($A60&amp;", "&amp;$H$24,Inputs!$AN$38:$AN$1060,0),$B$7),0)</f>
        <v>0</v>
      </c>
    </row>
    <row r="61" spans="1:8" s="4" customFormat="1" x14ac:dyDescent="0.25">
      <c r="A61" s="180" t="s">
        <v>428</v>
      </c>
      <c r="B61" s="64"/>
      <c r="C61" s="93">
        <f>IFERROR(INDEX(Inputs!$A$38:$AK$1060,MATCH($A61&amp;", "&amp;$C$24,Inputs!$AN$38:$AN$1060,0),$B$7),0)</f>
        <v>0</v>
      </c>
      <c r="D61" s="93">
        <f>IFERROR(INDEX(Inputs!$A$38:$AK$1060,MATCH($A61&amp;", "&amp;$D$24,Inputs!$AN$38:$AN$1060,0),$B$7),0)</f>
        <v>0</v>
      </c>
      <c r="E61" s="93">
        <f>IFERROR(INDEX(Inputs!$A$38:$AK$1060,MATCH($A61&amp;", "&amp;$E$24,Inputs!$AN$38:$AN$1060,0),$B$7),0)</f>
        <v>0</v>
      </c>
      <c r="F61" s="93">
        <f>IFERROR(INDEX(Inputs!$A$38:$AK$1060,MATCH($A61&amp;", "&amp;$F$24,Inputs!$AN$38:$AN$1060,0),$B$7),0)</f>
        <v>0</v>
      </c>
      <c r="G61" s="93">
        <f>IFERROR(INDEX(Inputs!$A$38:$AK$1060,MATCH($A61&amp;", "&amp;$G$24,Inputs!$AN$38:$AN$1060,0),$B$7),0)</f>
        <v>0</v>
      </c>
      <c r="H61" s="93">
        <f>IFERROR(INDEX(Inputs!$A$38:$AK$1060,MATCH($A61&amp;", "&amp;$H$24,Inputs!$AN$38:$AN$1060,0),$B$7),0)</f>
        <v>0</v>
      </c>
    </row>
    <row r="62" spans="1:8" x14ac:dyDescent="0.25">
      <c r="A62" s="119" t="s">
        <v>50</v>
      </c>
      <c r="B62" s="64"/>
      <c r="C62" s="93">
        <f>IFERROR(INDEX(Inputs!$A$38:$AK$1060,MATCH($A62&amp;", "&amp;$C$24,Inputs!$AN$38:$AN$1060,0),$B$7),0)</f>
        <v>0</v>
      </c>
      <c r="D62" s="93">
        <f>IFERROR(INDEX(Inputs!$A$38:$AK$1060,MATCH($A62&amp;", "&amp;$D$24,Inputs!$AN$38:$AN$1060,0),$B$7),0)</f>
        <v>737.16868479776849</v>
      </c>
      <c r="E62" s="93">
        <f>IFERROR(INDEX(Inputs!$A$38:$AK$1060,MATCH($A62&amp;", "&amp;$E$24,Inputs!$AN$38:$AN$1060,0),$B$7),0)</f>
        <v>505.05683458999999</v>
      </c>
      <c r="F62" s="93">
        <f>IFERROR(INDEX(Inputs!$A$38:$AK$1060,MATCH($A62&amp;", "&amp;$F$24,Inputs!$AN$38:$AN$1060,0),$B$7),0)</f>
        <v>504.00406373541858</v>
      </c>
      <c r="G62" s="93">
        <f>IFERROR(INDEX(Inputs!$A$38:$AK$1060,MATCH($A62&amp;", "&amp;$G$24,Inputs!$AN$38:$AN$1060,0),$B$7),0)</f>
        <v>1084.1504138256339</v>
      </c>
      <c r="H62" s="93">
        <f>IFERROR(INDEX(Inputs!$A$38:$AK$1060,MATCH($A62&amp;", "&amp;$H$24,Inputs!$AN$38:$AN$1060,0),$B$7),0)</f>
        <v>1081.1390508290979</v>
      </c>
    </row>
    <row r="63" spans="1:8" x14ac:dyDescent="0.25">
      <c r="A63" s="119" t="s">
        <v>126</v>
      </c>
      <c r="B63" s="64"/>
      <c r="C63" s="93">
        <f>IFERROR(INDEX(Inputs!$A$38:$AK$1060,MATCH($A63&amp;", "&amp;$C$24,Inputs!$AN$38:$AN$1060,0),$B$7),0)</f>
        <v>239278.6038406626</v>
      </c>
      <c r="D63" s="93">
        <f>IFERROR(INDEX(Inputs!$A$38:$AK$1060,MATCH($A63&amp;", "&amp;$D$24,Inputs!$AN$38:$AN$1060,0),$B$7),0)</f>
        <v>241853.34931699312</v>
      </c>
      <c r="E63" s="93">
        <f>IFERROR(INDEX(Inputs!$A$38:$AK$1060,MATCH($A63&amp;", "&amp;$E$24,Inputs!$AN$38:$AN$1060,0),$B$7),0)</f>
        <v>251500.92683533247</v>
      </c>
      <c r="F63" s="93">
        <f>IFERROR(INDEX(Inputs!$A$38:$AK$1060,MATCH($A63&amp;", "&amp;$F$24,Inputs!$AN$38:$AN$1060,0),$B$7),0)</f>
        <v>245459.68432787925</v>
      </c>
      <c r="G63" s="93">
        <f>IFERROR(INDEX(Inputs!$A$38:$AK$1060,MATCH($A63&amp;", "&amp;$G$24,Inputs!$AN$38:$AN$1060,0),$B$7),0)</f>
        <v>253760.88314734775</v>
      </c>
      <c r="H63" s="93">
        <f>IFERROR(INDEX(Inputs!$A$38:$AK$1060,MATCH($A63&amp;", "&amp;$H$24,Inputs!$AN$38:$AN$1060,0),$B$7),0)</f>
        <v>252103.94675248998</v>
      </c>
    </row>
    <row r="64" spans="1:8" x14ac:dyDescent="0.25">
      <c r="A64" s="119" t="s">
        <v>127</v>
      </c>
      <c r="B64" s="64"/>
      <c r="C64" s="93">
        <f>IFERROR(INDEX(Inputs!$A$38:$AK$1060,MATCH($A64&amp;", "&amp;$C$24,Inputs!$AN$38:$AN$1060,0),$B$7),0)</f>
        <v>258456.65811093905</v>
      </c>
      <c r="D64" s="93">
        <f>IFERROR(INDEX(Inputs!$A$38:$AK$1060,MATCH($A64&amp;", "&amp;$D$24,Inputs!$AN$38:$AN$1060,0),$B$7),0)</f>
        <v>259709.98810865628</v>
      </c>
      <c r="E64" s="93">
        <f>IFERROR(INDEX(Inputs!$A$38:$AK$1060,MATCH($A64&amp;", "&amp;$E$24,Inputs!$AN$38:$AN$1060,0),$B$7),0)</f>
        <v>291213.95353216352</v>
      </c>
      <c r="F64" s="93">
        <f>IFERROR(INDEX(Inputs!$A$38:$AK$1060,MATCH($A64&amp;", "&amp;$F$24,Inputs!$AN$38:$AN$1060,0),$B$7),0)</f>
        <v>269857.20421660371</v>
      </c>
      <c r="G64" s="93">
        <f>IFERROR(INDEX(Inputs!$A$38:$AK$1060,MATCH($A64&amp;", "&amp;$G$24,Inputs!$AN$38:$AN$1060,0),$B$7),0)</f>
        <v>285541.39893710648</v>
      </c>
      <c r="H64" s="93">
        <f>IFERROR(INDEX(Inputs!$A$38:$AK$1060,MATCH($A64&amp;", "&amp;$H$24,Inputs!$AN$38:$AN$1060,0),$B$7),0)</f>
        <v>298981.31138240627</v>
      </c>
    </row>
    <row r="65" spans="1:8" x14ac:dyDescent="0.25">
      <c r="A65" s="119" t="s">
        <v>82</v>
      </c>
      <c r="B65" s="64"/>
      <c r="C65" s="93">
        <f>IFERROR(INDEX(Inputs!$A$38:$AK$1060,MATCH($A65&amp;", "&amp;$C$24,Inputs!$AN$38:$AN$1060,0),$B$7),0)</f>
        <v>-683.71144162484097</v>
      </c>
      <c r="D65" s="93">
        <f>IFERROR(INDEX(Inputs!$A$38:$AK$1060,MATCH($A65&amp;", "&amp;$D$24,Inputs!$AN$38:$AN$1060,0),$B$7),0)</f>
        <v>-2122.2847849238242</v>
      </c>
      <c r="E65" s="93">
        <f>IFERROR(INDEX(Inputs!$A$38:$AK$1060,MATCH($A65&amp;", "&amp;$E$24,Inputs!$AN$38:$AN$1060,0),$B$7),0)</f>
        <v>-3243.1103420738941</v>
      </c>
      <c r="F65" s="93">
        <f>IFERROR(INDEX(Inputs!$A$38:$AK$1060,MATCH($A65&amp;", "&amp;$F$24,Inputs!$AN$38:$AN$1060,0),$B$7),0)</f>
        <v>-1333.1807760520837</v>
      </c>
      <c r="G65" s="93">
        <f>IFERROR(INDEX(Inputs!$A$38:$AK$1060,MATCH($A65&amp;", "&amp;$G$24,Inputs!$AN$38:$AN$1060,0),$B$7),0)</f>
        <v>563.90460145723114</v>
      </c>
      <c r="H65" s="93">
        <f>IFERROR(INDEX(Inputs!$A$38:$AK$1060,MATCH($A65&amp;", "&amp;$H$24,Inputs!$AN$38:$AN$1060,0),$B$7),0)</f>
        <v>-1474.3558061122085</v>
      </c>
    </row>
    <row r="66" spans="1:8" x14ac:dyDescent="0.25">
      <c r="A66" s="119" t="s">
        <v>84</v>
      </c>
      <c r="B66" s="64"/>
      <c r="C66" s="93">
        <f>IFERROR(INDEX(Inputs!$A$38:$AK$1060,MATCH($A66&amp;", "&amp;$C$24,Inputs!$AN$38:$AN$1060,0),$B$7),0)</f>
        <v>4325</v>
      </c>
      <c r="D66" s="93">
        <f>IFERROR(INDEX(Inputs!$A$38:$AK$1060,MATCH($A66&amp;", "&amp;$D$24,Inputs!$AN$38:$AN$1060,0),$B$7),0)</f>
        <v>2610.2002480000001</v>
      </c>
      <c r="E66" s="93">
        <f>IFERROR(INDEX(Inputs!$A$38:$AK$1060,MATCH($A66&amp;", "&amp;$E$24,Inputs!$AN$38:$AN$1060,0),$B$7),0)</f>
        <v>2342.3996946151915</v>
      </c>
      <c r="F66" s="93">
        <f>IFERROR(INDEX(Inputs!$A$38:$AK$1060,MATCH($A66&amp;", "&amp;$F$24,Inputs!$AN$38:$AN$1060,0),$B$7),0)</f>
        <v>1431.7905807458128</v>
      </c>
      <c r="G66" s="93">
        <f>IFERROR(INDEX(Inputs!$A$38:$AK$1060,MATCH($A66&amp;", "&amp;$G$24,Inputs!$AN$38:$AN$1060,0),$B$7),0)</f>
        <v>3135.94308</v>
      </c>
      <c r="H66" s="93">
        <f>IFERROR(INDEX(Inputs!$A$38:$AK$1060,MATCH($A66&amp;", "&amp;$H$24,Inputs!$AN$38:$AN$1060,0),$B$7),0)</f>
        <v>1905</v>
      </c>
    </row>
    <row r="67" spans="1:8" x14ac:dyDescent="0.25">
      <c r="A67" s="119" t="s">
        <v>128</v>
      </c>
      <c r="B67" s="64"/>
      <c r="C67" s="93">
        <f>IFERROR(INDEX(Inputs!$A$38:$AK$1060,MATCH($A67&amp;", "&amp;$C$24,Inputs!$AN$38:$AN$1060,0),$B$7),0)</f>
        <v>20086.494481712449</v>
      </c>
      <c r="D67" s="93">
        <f>IFERROR(INDEX(Inputs!$A$38:$AK$1060,MATCH($A67&amp;", "&amp;$D$24,Inputs!$AN$38:$AN$1060,0),$B$7),0)</f>
        <v>16836.13638460487</v>
      </c>
      <c r="E67" s="93">
        <f>IFERROR(INDEX(Inputs!$A$38:$AK$1060,MATCH($A67&amp;", "&amp;$E$24,Inputs!$AN$38:$AN$1060,0),$B$7),0)</f>
        <v>30608.171191976995</v>
      </c>
      <c r="F67" s="93">
        <f>IFERROR(INDEX(Inputs!$A$38:$AK$1060,MATCH($A67&amp;", "&amp;$F$24,Inputs!$AN$38:$AN$1060,0),$B$7),0)</f>
        <v>17941.553565633418</v>
      </c>
      <c r="G67" s="93">
        <f>IFERROR(INDEX(Inputs!$A$38:$AK$1060,MATCH($A67&amp;", "&amp;$G$24,Inputs!$AN$38:$AN$1060,0),$B$7),0)</f>
        <v>18971.714747896076</v>
      </c>
      <c r="H67" s="93">
        <f>IFERROR(INDEX(Inputs!$A$38:$AK$1060,MATCH($A67&amp;", "&amp;$H$24,Inputs!$AN$38:$AN$1060,0),$B$7),0)</f>
        <v>21924.757682682273</v>
      </c>
    </row>
    <row r="68" spans="1:8" x14ac:dyDescent="0.25">
      <c r="A68" s="119" t="s">
        <v>86</v>
      </c>
      <c r="B68" s="64"/>
      <c r="C68" s="93">
        <f>IFERROR(INDEX(Inputs!$A$38:$AK$1060,MATCH($A68&amp;", "&amp;$C$24,Inputs!$AN$38:$AN$1060,0),$B$7),0)</f>
        <v>3396.2795702154049</v>
      </c>
      <c r="D68" s="93">
        <f>IFERROR(INDEX(Inputs!$A$38:$AK$1060,MATCH($A68&amp;", "&amp;$D$24,Inputs!$AN$38:$AN$1060,0),$B$7),0)</f>
        <v>-32</v>
      </c>
      <c r="E68" s="93">
        <f>IFERROR(INDEX(Inputs!$A$38:$AK$1060,MATCH($A68&amp;", "&amp;$E$24,Inputs!$AN$38:$AN$1060,0),$B$7),0)</f>
        <v>-1690.1850434397916</v>
      </c>
      <c r="F68" s="93">
        <f>IFERROR(INDEX(Inputs!$A$38:$AK$1060,MATCH($A68&amp;", "&amp;$F$24,Inputs!$AN$38:$AN$1060,0),$B$7),0)</f>
        <v>256</v>
      </c>
      <c r="G68" s="93">
        <f>IFERROR(INDEX(Inputs!$A$38:$AK$1060,MATCH($A68&amp;", "&amp;$G$24,Inputs!$AN$38:$AN$1060,0),$B$7),0)</f>
        <v>172.80267000000001</v>
      </c>
      <c r="H68" s="93">
        <f>IFERROR(INDEX(Inputs!$A$38:$AK$1060,MATCH($A68&amp;", "&amp;$H$24,Inputs!$AN$38:$AN$1060,0),$B$7),0)</f>
        <v>-11.779214324606874</v>
      </c>
    </row>
    <row r="69" spans="1:8" x14ac:dyDescent="0.25">
      <c r="A69" s="119" t="s">
        <v>91</v>
      </c>
      <c r="B69" s="64"/>
      <c r="C69" s="93">
        <f>IFERROR(INDEX(Inputs!$A$38:$AK$1060,MATCH($A69&amp;", "&amp;$C$24,Inputs!$AN$38:$AN$1060,0),$B$7),0)</f>
        <v>0</v>
      </c>
      <c r="D69" s="93">
        <f>IFERROR(INDEX(Inputs!$A$38:$AK$1060,MATCH($A69&amp;", "&amp;$D$24,Inputs!$AN$38:$AN$1060,0),$B$7),0)</f>
        <v>9761.2934402915434</v>
      </c>
      <c r="E69" s="93">
        <f>IFERROR(INDEX(Inputs!$A$38:$AK$1060,MATCH($A69&amp;", "&amp;$E$24,Inputs!$AN$38:$AN$1060,0),$B$7),0)</f>
        <v>10082.83170629714</v>
      </c>
      <c r="F69" s="93">
        <f>IFERROR(INDEX(Inputs!$A$38:$AK$1060,MATCH($A69&amp;", "&amp;$F$24,Inputs!$AN$38:$AN$1060,0),$B$7),0)</f>
        <v>10115.965</v>
      </c>
      <c r="G69" s="93">
        <f>IFERROR(INDEX(Inputs!$A$38:$AK$1060,MATCH($A69&amp;", "&amp;$G$24,Inputs!$AN$38:$AN$1060,0),$B$7),0)</f>
        <v>10552.932005999999</v>
      </c>
      <c r="H69" s="93">
        <f>IFERROR(INDEX(Inputs!$A$38:$AK$1060,MATCH($A69&amp;", "&amp;$H$24,Inputs!$AN$38:$AN$1060,0),$B$7),0)</f>
        <v>10813</v>
      </c>
    </row>
    <row r="70" spans="1:8" x14ac:dyDescent="0.25">
      <c r="A70" s="119" t="s">
        <v>92</v>
      </c>
      <c r="B70" s="64"/>
      <c r="C70" s="93">
        <f>IFERROR(INDEX(Inputs!$A$38:$AK$1060,MATCH($A70&amp;", "&amp;$C$24,Inputs!$AN$38:$AN$1060,0),$B$7),0)</f>
        <v>0</v>
      </c>
      <c r="D70" s="93">
        <f>IFERROR(INDEX(Inputs!$A$38:$AK$1060,MATCH($A70&amp;", "&amp;$D$24,Inputs!$AN$38:$AN$1060,0),$B$7),0)</f>
        <v>4014.3310522451511</v>
      </c>
      <c r="E70" s="93">
        <f>IFERROR(INDEX(Inputs!$A$38:$AK$1060,MATCH($A70&amp;", "&amp;$E$24,Inputs!$AN$38:$AN$1060,0),$B$7),0)</f>
        <v>4146.5636353148784</v>
      </c>
      <c r="F70" s="93">
        <f>IFERROR(INDEX(Inputs!$A$38:$AK$1060,MATCH($A70&amp;", "&amp;$F$24,Inputs!$AN$38:$AN$1060,0),$B$7),0)</f>
        <v>5711.7035872999995</v>
      </c>
      <c r="G70" s="93">
        <f>IFERROR(INDEX(Inputs!$A$38:$AK$1060,MATCH($A70&amp;", "&amp;$G$24,Inputs!$AN$38:$AN$1060,0),$B$7),0)</f>
        <v>6039.2842115050635</v>
      </c>
      <c r="H70" s="93">
        <f>IFERROR(INDEX(Inputs!$A$38:$AK$1060,MATCH($A70&amp;", "&amp;$H$24,Inputs!$AN$38:$AN$1060,0),$B$7),0)</f>
        <v>1250.4364325653671</v>
      </c>
    </row>
    <row r="71" spans="1:8" x14ac:dyDescent="0.25">
      <c r="A71" s="119" t="s">
        <v>93</v>
      </c>
      <c r="B71" s="64"/>
      <c r="C71" s="93">
        <f>IFERROR(INDEX(Inputs!$A$38:$AK$1060,MATCH($A71&amp;", "&amp;$C$24,Inputs!$AN$38:$AN$1060,0),$B$7),0)</f>
        <v>89229.495182222716</v>
      </c>
      <c r="D71" s="93">
        <f>IFERROR(INDEX(Inputs!$A$38:$AK$1060,MATCH($A71&amp;", "&amp;$D$24,Inputs!$AN$38:$AN$1060,0),$B$7),0)</f>
        <v>88741.917679977021</v>
      </c>
      <c r="E71" s="93">
        <f>IFERROR(INDEX(Inputs!$A$38:$AK$1060,MATCH($A71&amp;", "&amp;$E$24,Inputs!$AN$38:$AN$1060,0),$B$7),0)</f>
        <v>88486.845516672576</v>
      </c>
      <c r="F71" s="93">
        <f>IFERROR(INDEX(Inputs!$A$38:$AK$1060,MATCH($A71&amp;", "&amp;$F$24,Inputs!$AN$38:$AN$1060,0),$B$7),0)</f>
        <v>87952.241985921864</v>
      </c>
      <c r="G71" s="93">
        <f>IFERROR(INDEX(Inputs!$A$38:$AK$1060,MATCH($A71&amp;", "&amp;$G$24,Inputs!$AN$38:$AN$1060,0),$B$7),0)</f>
        <v>86575.787273680355</v>
      </c>
      <c r="H71" s="93">
        <f>IFERROR(INDEX(Inputs!$A$38:$AK$1060,MATCH($A71&amp;", "&amp;$H$24,Inputs!$AN$38:$AN$1060,0),$B$7),0)</f>
        <v>84715.259737370812</v>
      </c>
    </row>
    <row r="72" spans="1:8" x14ac:dyDescent="0.25">
      <c r="A72" s="119" t="s">
        <v>94</v>
      </c>
      <c r="B72" s="64"/>
      <c r="C72" s="93">
        <f>IFERROR(INDEX(Inputs!$A$38:$AK$1060,MATCH($A72&amp;", "&amp;$C$24,Inputs!$AN$38:$AN$1060,0),$B$7),0)</f>
        <v>0</v>
      </c>
      <c r="D72" s="93">
        <f>IFERROR(INDEX(Inputs!$A$38:$AK$1060,MATCH($A72&amp;", "&amp;$D$24,Inputs!$AN$38:$AN$1060,0),$B$7),0)</f>
        <v>15774.179189287435</v>
      </c>
      <c r="E72" s="93">
        <f>IFERROR(INDEX(Inputs!$A$38:$AK$1060,MATCH($A72&amp;", "&amp;$E$24,Inputs!$AN$38:$AN$1060,0),$B$7),0)</f>
        <v>16293.782688066545</v>
      </c>
      <c r="F72" s="93">
        <f>IFERROR(INDEX(Inputs!$A$38:$AK$1060,MATCH($A72&amp;", "&amp;$F$24,Inputs!$AN$38:$AN$1060,0),$B$7),0)</f>
        <v>14176.144553895556</v>
      </c>
      <c r="G72" s="93">
        <f>IFERROR(INDEX(Inputs!$A$38:$AK$1060,MATCH($A72&amp;", "&amp;$G$24,Inputs!$AN$38:$AN$1060,0),$B$7),0)</f>
        <v>17091.564073665686</v>
      </c>
      <c r="H72" s="93">
        <f>IFERROR(INDEX(Inputs!$A$38:$AK$1060,MATCH($A72&amp;", "&amp;$H$24,Inputs!$AN$38:$AN$1060,0),$B$7),0)</f>
        <v>19349.836842703582</v>
      </c>
    </row>
    <row r="73" spans="1:8" x14ac:dyDescent="0.25">
      <c r="A73" s="119" t="s">
        <v>95</v>
      </c>
      <c r="B73" s="64"/>
      <c r="C73" s="93">
        <f>IFERROR(INDEX(Inputs!$A$38:$AK$1060,MATCH($A73&amp;", "&amp;$C$24,Inputs!$AN$38:$AN$1060,0),$B$7),0)</f>
        <v>0</v>
      </c>
      <c r="D73" s="93">
        <f>IFERROR(INDEX(Inputs!$A$38:$AK$1060,MATCH($A73&amp;", "&amp;$D$24,Inputs!$AN$38:$AN$1060,0),$B$7),0)</f>
        <v>0</v>
      </c>
      <c r="E73" s="93">
        <f>IFERROR(INDEX(Inputs!$A$38:$AK$1060,MATCH($A73&amp;", "&amp;$E$24,Inputs!$AN$38:$AN$1060,0),$B$7),0)</f>
        <v>2047</v>
      </c>
      <c r="F73" s="93">
        <f>IFERROR(INDEX(Inputs!$A$38:$AK$1060,MATCH($A73&amp;", "&amp;$F$24,Inputs!$AN$38:$AN$1060,0),$B$7),0)</f>
        <v>14</v>
      </c>
      <c r="G73" s="93">
        <f>IFERROR(INDEX(Inputs!$A$38:$AK$1060,MATCH($A73&amp;", "&amp;$G$24,Inputs!$AN$38:$AN$1060,0),$B$7),0)</f>
        <v>2369</v>
      </c>
      <c r="H73" s="93">
        <f>IFERROR(INDEX(Inputs!$A$38:$AK$1060,MATCH($A73&amp;", "&amp;$H$24,Inputs!$AN$38:$AN$1060,0),$B$7),0)</f>
        <v>1.8090544993210675</v>
      </c>
    </row>
    <row r="74" spans="1:8" x14ac:dyDescent="0.25">
      <c r="A74" s="119" t="s">
        <v>96</v>
      </c>
      <c r="B74" s="64"/>
      <c r="C74" s="93">
        <f>IFERROR(INDEX(Inputs!$A$38:$AK$1060,MATCH($A74&amp;", "&amp;$C$24,Inputs!$AN$38:$AN$1060,0),$B$7),0)</f>
        <v>0</v>
      </c>
      <c r="D74" s="93">
        <f>IFERROR(INDEX(Inputs!$A$38:$AK$1060,MATCH($A74&amp;", "&amp;$D$24,Inputs!$AN$38:$AN$1060,0),$B$7),0)</f>
        <v>14029.184443652706</v>
      </c>
      <c r="E74" s="93">
        <f>IFERROR(INDEX(Inputs!$A$38:$AK$1060,MATCH($A74&amp;", "&amp;$E$24,Inputs!$AN$38:$AN$1060,0),$B$7),0)</f>
        <v>14491.307590249771</v>
      </c>
      <c r="F74" s="93">
        <f>IFERROR(INDEX(Inputs!$A$38:$AK$1060,MATCH($A74&amp;", "&amp;$F$24,Inputs!$AN$38:$AN$1060,0),$B$7),0)</f>
        <v>14437</v>
      </c>
      <c r="G74" s="93">
        <f>IFERROR(INDEX(Inputs!$A$38:$AK$1060,MATCH($A74&amp;", "&amp;$G$24,Inputs!$AN$38:$AN$1060,0),$B$7),0)</f>
        <v>15145.28097</v>
      </c>
      <c r="H74" s="93">
        <f>IFERROR(INDEX(Inputs!$A$38:$AK$1060,MATCH($A74&amp;", "&amp;$H$24,Inputs!$AN$38:$AN$1060,0),$B$7),0)</f>
        <v>15668.785339999999</v>
      </c>
    </row>
    <row r="75" spans="1:8" x14ac:dyDescent="0.25">
      <c r="A75" s="119" t="s">
        <v>97</v>
      </c>
      <c r="B75" s="64"/>
      <c r="C75" s="93">
        <f>IFERROR(INDEX(Inputs!$A$38:$AK$1060,MATCH($A75&amp;", "&amp;$C$24,Inputs!$AN$38:$AN$1060,0),$B$7),0)</f>
        <v>0</v>
      </c>
      <c r="D75" s="93">
        <f>IFERROR(INDEX(Inputs!$A$38:$AK$1060,MATCH($A75&amp;", "&amp;$D$24,Inputs!$AN$38:$AN$1060,0),$B$7),0)</f>
        <v>3682.6030736586686</v>
      </c>
      <c r="E75" s="93">
        <f>IFERROR(INDEX(Inputs!$A$38:$AK$1060,MATCH($A75&amp;", "&amp;$E$24,Inputs!$AN$38:$AN$1060,0),$B$7),0)</f>
        <v>3803.9084942910931</v>
      </c>
      <c r="F75" s="93">
        <f>IFERROR(INDEX(Inputs!$A$38:$AK$1060,MATCH($A75&amp;", "&amp;$F$24,Inputs!$AN$38:$AN$1060,0),$B$7),0)</f>
        <v>4842.6081877814595</v>
      </c>
      <c r="G75" s="93">
        <f>IFERROR(INDEX(Inputs!$A$38:$AK$1060,MATCH($A75&amp;", "&amp;$G$24,Inputs!$AN$38:$AN$1060,0),$B$7),0)</f>
        <v>7083.4393809769454</v>
      </c>
      <c r="H75" s="93">
        <f>IFERROR(INDEX(Inputs!$A$38:$AK$1060,MATCH($A75&amp;", "&amp;$H$24,Inputs!$AN$38:$AN$1060,0),$B$7),0)</f>
        <v>1.256</v>
      </c>
    </row>
    <row r="76" spans="1:8" x14ac:dyDescent="0.25">
      <c r="A76" s="25"/>
      <c r="B76" s="25"/>
      <c r="C76" s="25"/>
      <c r="D76" s="25"/>
      <c r="E76" s="25"/>
      <c r="F76" s="25"/>
      <c r="G76" s="25"/>
      <c r="H76" s="25"/>
    </row>
  </sheetData>
  <mergeCells count="2">
    <mergeCell ref="C5:D5"/>
    <mergeCell ref="C9:G9"/>
  </mergeCells>
  <dataValidations count="1">
    <dataValidation type="list" allowBlank="1" showInputMessage="1" showErrorMessage="1" sqref="C9:D9">
      <formula1>ra_ScName</formula1>
    </dataValidation>
  </dataValidations>
  <pageMargins left="0.23622047244094491" right="0.23622047244094491" top="0.74803149606299213" bottom="0.74803149606299213" header="0.31496062992125984" footer="0.31496062992125984"/>
  <pageSetup paperSize="9" scale="66" fitToHeight="0" orientation="portrait" r:id="rId1"/>
  <headerFooter>
    <oddFooter>&amp;L&amp;F&amp;C&amp;A&amp;R&amp;P</oddFooter>
  </headerFooter>
  <rowBreaks count="1" manualBreakCount="1">
    <brk id="22" max="8"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Inputs!$F$36:$AK$36</xm:f>
          </x14:formula1>
          <xm:sqref>C5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D97E55"/>
    <pageSetUpPr fitToPage="1"/>
  </sheetPr>
  <dimension ref="A1:J184"/>
  <sheetViews>
    <sheetView showGridLines="0" view="pageBreakPreview" zoomScaleNormal="100" zoomScaleSheetLayoutView="100" workbookViewId="0"/>
  </sheetViews>
  <sheetFormatPr defaultColWidth="9.140625" defaultRowHeight="15" x14ac:dyDescent="0.25"/>
  <cols>
    <col min="1" max="1" width="67.42578125" customWidth="1"/>
    <col min="2" max="8" width="11.42578125" customWidth="1"/>
    <col min="9" max="9" width="43.140625" bestFit="1" customWidth="1"/>
    <col min="10" max="10" width="2.7109375" customWidth="1"/>
  </cols>
  <sheetData>
    <row r="1" spans="1:10" ht="39.950000000000003" customHeight="1" x14ac:dyDescent="0.25">
      <c r="A1" s="37" t="s">
        <v>596</v>
      </c>
      <c r="B1" s="4"/>
      <c r="E1" s="4"/>
      <c r="F1" s="4"/>
      <c r="G1" s="4"/>
      <c r="H1" s="4"/>
      <c r="I1" s="4"/>
      <c r="J1" s="4"/>
    </row>
    <row r="2" spans="1:10" ht="15" customHeight="1" x14ac:dyDescent="0.25">
      <c r="B2" s="205" t="s">
        <v>588</v>
      </c>
      <c r="C2" s="202"/>
      <c r="D2" s="206" t="str">
        <f>EDB_Name</f>
        <v>DPP Total</v>
      </c>
      <c r="E2" s="202"/>
      <c r="F2" s="202"/>
      <c r="G2" s="202"/>
      <c r="H2" s="202"/>
      <c r="I2" s="4"/>
      <c r="J2" s="4"/>
    </row>
    <row r="3" spans="1:10" s="4" customFormat="1" ht="15" customHeight="1" x14ac:dyDescent="0.25">
      <c r="B3" s="205" t="s">
        <v>361</v>
      </c>
      <c r="C3" s="202"/>
      <c r="D3" s="206" t="str">
        <f>ra_ScenarioSelect</f>
        <v>Disclosed nominal return (incl actual asset revaluations)</v>
      </c>
      <c r="E3" s="202"/>
      <c r="F3" s="202"/>
      <c r="G3" s="202"/>
      <c r="H3" s="202"/>
    </row>
    <row r="4" spans="1:10" ht="39.950000000000003" customHeight="1" x14ac:dyDescent="0.35">
      <c r="A4" s="61" t="s">
        <v>7</v>
      </c>
      <c r="B4" s="4"/>
      <c r="C4" s="4"/>
      <c r="D4" s="4"/>
      <c r="E4" s="4"/>
      <c r="F4" s="4"/>
      <c r="G4" s="4"/>
      <c r="H4" s="4"/>
    </row>
    <row r="5" spans="1:10" ht="34.9" customHeight="1" x14ac:dyDescent="0.3">
      <c r="A5" s="62" t="s">
        <v>20</v>
      </c>
      <c r="B5" s="28" t="s">
        <v>46</v>
      </c>
      <c r="C5" s="28" t="s">
        <v>22</v>
      </c>
      <c r="D5" s="28" t="s">
        <v>23</v>
      </c>
      <c r="E5" s="28" t="s">
        <v>24</v>
      </c>
      <c r="F5" s="28" t="s">
        <v>25</v>
      </c>
      <c r="G5" s="28" t="s">
        <v>26</v>
      </c>
      <c r="H5" s="28" t="s">
        <v>27</v>
      </c>
    </row>
    <row r="6" spans="1:10" x14ac:dyDescent="0.25">
      <c r="A6" s="140" t="s">
        <v>42</v>
      </c>
      <c r="B6" s="32"/>
      <c r="C6" s="32">
        <v>1</v>
      </c>
      <c r="D6" s="32">
        <f>C6+1</f>
        <v>2</v>
      </c>
      <c r="E6" s="32">
        <f>D6+1</f>
        <v>3</v>
      </c>
      <c r="F6" s="32">
        <f>E6+1</f>
        <v>4</v>
      </c>
      <c r="G6" s="32">
        <f>F6+1</f>
        <v>5</v>
      </c>
      <c r="H6" s="32">
        <f>G6+1</f>
        <v>6</v>
      </c>
    </row>
    <row r="7" spans="1:10" ht="18.75" x14ac:dyDescent="0.3">
      <c r="A7" s="53" t="s">
        <v>102</v>
      </c>
      <c r="B7" s="25"/>
      <c r="C7" s="25"/>
      <c r="D7" s="4"/>
      <c r="E7" s="4"/>
      <c r="F7" s="4"/>
      <c r="G7" s="4"/>
      <c r="H7" s="4"/>
    </row>
    <row r="8" spans="1:10" x14ac:dyDescent="0.25">
      <c r="A8" s="141" t="s">
        <v>314</v>
      </c>
      <c r="B8" s="4"/>
      <c r="C8" s="87">
        <v>40268</v>
      </c>
      <c r="D8" s="87">
        <f>EOMONTH(C8,12)</f>
        <v>40633</v>
      </c>
      <c r="E8" s="87">
        <f>EOMONTH(D8,12)</f>
        <v>40999</v>
      </c>
      <c r="F8" s="87">
        <f>EOMONTH(E8,12)</f>
        <v>41364</v>
      </c>
      <c r="G8" s="87">
        <f>EOMONTH(F8,12)</f>
        <v>41729</v>
      </c>
      <c r="H8" s="87">
        <f>EOMONTH(G8,12)</f>
        <v>42094</v>
      </c>
    </row>
    <row r="9" spans="1:10" x14ac:dyDescent="0.25">
      <c r="A9" s="142" t="s">
        <v>315</v>
      </c>
      <c r="B9" s="172"/>
      <c r="C9" s="83">
        <f>Inputs!$F$17</f>
        <v>365</v>
      </c>
      <c r="D9" s="83">
        <f>Inputs!$F$17</f>
        <v>365</v>
      </c>
      <c r="E9" s="83">
        <f>Inputs!$F$17</f>
        <v>365</v>
      </c>
      <c r="F9" s="83">
        <f>Inputs!$F$17</f>
        <v>365</v>
      </c>
      <c r="G9" s="83">
        <f>Inputs!$F$17</f>
        <v>365</v>
      </c>
      <c r="H9" s="83">
        <f>Inputs!$F$17</f>
        <v>365</v>
      </c>
    </row>
    <row r="10" spans="1:10" x14ac:dyDescent="0.25">
      <c r="A10" s="142" t="s">
        <v>316</v>
      </c>
      <c r="B10" s="172"/>
      <c r="C10" s="83">
        <f>Inputs!$F$18</f>
        <v>182</v>
      </c>
      <c r="D10" s="83">
        <f>Inputs!$F$18</f>
        <v>182</v>
      </c>
      <c r="E10" s="83">
        <f>Inputs!$F$18</f>
        <v>182</v>
      </c>
      <c r="F10" s="83">
        <f>Inputs!$F$18</f>
        <v>182</v>
      </c>
      <c r="G10" s="83">
        <f>Inputs!$F$18</f>
        <v>182</v>
      </c>
      <c r="H10" s="83">
        <f>Inputs!$F$18</f>
        <v>182</v>
      </c>
    </row>
    <row r="11" spans="1:10" x14ac:dyDescent="0.25">
      <c r="A11" s="142" t="s">
        <v>317</v>
      </c>
      <c r="B11" s="172"/>
      <c r="C11" s="83">
        <f>Inputs!$F$19</f>
        <v>148</v>
      </c>
      <c r="D11" s="83">
        <f>Inputs!$F$19</f>
        <v>148</v>
      </c>
      <c r="E11" s="83">
        <f>Inputs!$F$19</f>
        <v>148</v>
      </c>
      <c r="F11" s="83">
        <f>Inputs!$F$19</f>
        <v>148</v>
      </c>
      <c r="G11" s="83">
        <f>Inputs!$F$19</f>
        <v>148</v>
      </c>
      <c r="H11" s="83">
        <f>Inputs!$F$19</f>
        <v>148</v>
      </c>
    </row>
    <row r="12" spans="1:10" x14ac:dyDescent="0.25">
      <c r="A12" s="142" t="s">
        <v>318</v>
      </c>
      <c r="B12" s="172"/>
      <c r="C12" s="83">
        <f>Inputs!$F$20</f>
        <v>0</v>
      </c>
      <c r="D12" s="83">
        <f>Inputs!$F$20</f>
        <v>0</v>
      </c>
      <c r="E12" s="83">
        <f>Inputs!$F$20</f>
        <v>0</v>
      </c>
      <c r="F12" s="83">
        <f>Inputs!$F$20</f>
        <v>0</v>
      </c>
      <c r="G12" s="83">
        <f>Inputs!$F$20</f>
        <v>0</v>
      </c>
      <c r="H12" s="83">
        <f>Inputs!$F$20</f>
        <v>0</v>
      </c>
    </row>
    <row r="13" spans="1:10" x14ac:dyDescent="0.25">
      <c r="A13" s="142" t="s">
        <v>319</v>
      </c>
      <c r="B13" s="172"/>
      <c r="C13" s="83">
        <f>Inputs!$F$21</f>
        <v>0</v>
      </c>
      <c r="D13" s="83">
        <f>Inputs!$F$21</f>
        <v>0</v>
      </c>
      <c r="E13" s="83">
        <f>Inputs!$F$21</f>
        <v>0</v>
      </c>
      <c r="F13" s="83">
        <f>Inputs!$F$21</f>
        <v>0</v>
      </c>
      <c r="G13" s="83">
        <f>Inputs!$F$21</f>
        <v>0</v>
      </c>
      <c r="H13" s="83">
        <f>Inputs!$F$21</f>
        <v>0</v>
      </c>
    </row>
    <row r="14" spans="1:10" x14ac:dyDescent="0.25">
      <c r="A14" s="143" t="s">
        <v>21</v>
      </c>
      <c r="B14" s="172"/>
      <c r="C14" s="85">
        <f>Selection!B14</f>
        <v>0.44</v>
      </c>
      <c r="D14" s="4"/>
      <c r="E14" s="4"/>
      <c r="F14" s="4"/>
      <c r="G14" s="4"/>
      <c r="H14" s="4"/>
    </row>
    <row r="15" spans="1:10" x14ac:dyDescent="0.25">
      <c r="A15" s="143" t="s">
        <v>160</v>
      </c>
      <c r="B15" s="172"/>
      <c r="C15" s="85">
        <f>Selection!C20</f>
        <v>7.9299999999999995E-2</v>
      </c>
      <c r="D15" s="85">
        <f>Selection!D20</f>
        <v>7.5499999999999998E-2</v>
      </c>
      <c r="E15" s="85">
        <f>Selection!E20</f>
        <v>6.7100000000000007E-2</v>
      </c>
      <c r="F15" s="85">
        <f>Selection!F20</f>
        <v>6.3100000000000003E-2</v>
      </c>
      <c r="G15" s="85">
        <f>Selection!G20</f>
        <v>5.5599999999999997E-2</v>
      </c>
      <c r="H15" s="85">
        <f>Selection!H20</f>
        <v>6.3600000000000004E-2</v>
      </c>
    </row>
    <row r="16" spans="1:10" x14ac:dyDescent="0.25">
      <c r="A16" s="140" t="s">
        <v>51</v>
      </c>
      <c r="B16" s="172"/>
      <c r="C16" s="85">
        <f>Selection!C17</f>
        <v>0.3</v>
      </c>
      <c r="D16" s="85">
        <f>Selection!D17</f>
        <v>0.3</v>
      </c>
      <c r="E16" s="85">
        <f>Selection!E17</f>
        <v>0.28000000000000003</v>
      </c>
      <c r="F16" s="85">
        <f>Selection!F17</f>
        <v>0.28000000000000003</v>
      </c>
      <c r="G16" s="85">
        <f>Selection!G17</f>
        <v>0.28000000000000003</v>
      </c>
      <c r="H16" s="85">
        <f>Selection!H17</f>
        <v>0.28000000000000003</v>
      </c>
    </row>
    <row r="17" spans="1:8" x14ac:dyDescent="0.25">
      <c r="A17" s="140" t="s">
        <v>440</v>
      </c>
      <c r="B17" s="187" t="b">
        <f>Selection!B21</f>
        <v>1</v>
      </c>
      <c r="C17" s="85"/>
      <c r="D17" s="85"/>
      <c r="E17" s="85"/>
      <c r="F17" s="85"/>
      <c r="G17" s="85"/>
      <c r="H17" s="85"/>
    </row>
    <row r="18" spans="1:8" ht="18.75" x14ac:dyDescent="0.3">
      <c r="A18" s="53" t="s">
        <v>14</v>
      </c>
      <c r="B18" s="172"/>
      <c r="C18" s="4"/>
      <c r="D18" s="4"/>
      <c r="E18" s="4"/>
      <c r="F18" s="4"/>
      <c r="G18" s="4"/>
      <c r="H18" s="4"/>
    </row>
    <row r="19" spans="1:8" ht="14.45" customHeight="1" x14ac:dyDescent="0.25">
      <c r="A19" s="140" t="s">
        <v>60</v>
      </c>
      <c r="B19" s="172"/>
      <c r="C19" s="83">
        <f>Selection!C25</f>
        <v>6010082.4646555651</v>
      </c>
      <c r="D19" s="83"/>
      <c r="E19" s="83"/>
      <c r="F19" s="83"/>
      <c r="G19" s="83"/>
      <c r="H19" s="83"/>
    </row>
    <row r="20" spans="1:8" x14ac:dyDescent="0.25">
      <c r="A20" s="140" t="s">
        <v>49</v>
      </c>
      <c r="B20" s="172"/>
      <c r="C20" s="83">
        <f>Selection!C26</f>
        <v>-484</v>
      </c>
      <c r="D20" s="83"/>
      <c r="E20" s="83"/>
      <c r="F20" s="83"/>
      <c r="G20" s="83"/>
      <c r="H20" s="83"/>
    </row>
    <row r="21" spans="1:8" x14ac:dyDescent="0.25">
      <c r="A21" s="144" t="s">
        <v>155</v>
      </c>
      <c r="B21" s="172"/>
      <c r="C21" s="83">
        <f>Selection!C27</f>
        <v>0</v>
      </c>
      <c r="D21" s="83">
        <f>Selection!D27</f>
        <v>1436422.43212</v>
      </c>
      <c r="E21" s="83">
        <f>Selection!E27</f>
        <v>1498172.2072048993</v>
      </c>
      <c r="F21" s="83">
        <f>Selection!F27</f>
        <v>1616063.5001622848</v>
      </c>
      <c r="G21" s="83">
        <f>Selection!G27</f>
        <v>1638092.8953368003</v>
      </c>
      <c r="H21" s="83">
        <f>Selection!H27</f>
        <v>1761319.8522549374</v>
      </c>
    </row>
    <row r="22" spans="1:8" x14ac:dyDescent="0.25">
      <c r="A22" s="144" t="s">
        <v>398</v>
      </c>
      <c r="B22" s="172"/>
      <c r="C22" s="83">
        <f>Selection!C28</f>
        <v>0</v>
      </c>
      <c r="D22" s="83">
        <f>Selection!D28</f>
        <v>0</v>
      </c>
      <c r="E22" s="83">
        <f>Selection!E28</f>
        <v>0</v>
      </c>
      <c r="F22" s="83">
        <f>Selection!F28</f>
        <v>0</v>
      </c>
      <c r="G22" s="83">
        <f>Selection!G28</f>
        <v>0</v>
      </c>
      <c r="H22" s="83">
        <f>Selection!H28</f>
        <v>47345.166550750815</v>
      </c>
    </row>
    <row r="23" spans="1:8" x14ac:dyDescent="0.25">
      <c r="A23" s="140" t="s">
        <v>72</v>
      </c>
      <c r="B23" s="172"/>
      <c r="C23" s="83">
        <f>Selection!C29</f>
        <v>0</v>
      </c>
      <c r="D23" s="83">
        <f>Selection!D29</f>
        <v>-17159.38749973787</v>
      </c>
      <c r="E23" s="83">
        <f>Selection!E29</f>
        <v>-16957.487485992002</v>
      </c>
      <c r="F23" s="83">
        <f>Selection!F29</f>
        <v>-14022.281071722276</v>
      </c>
      <c r="G23" s="83">
        <f>Selection!G29</f>
        <v>-21375.117417715508</v>
      </c>
      <c r="H23" s="83">
        <f>Selection!H29</f>
        <v>-21716.842660153208</v>
      </c>
    </row>
    <row r="24" spans="1:8" x14ac:dyDescent="0.25">
      <c r="A24" s="140" t="s">
        <v>73</v>
      </c>
      <c r="B24" s="172"/>
      <c r="C24" s="83">
        <f>Selection!C30</f>
        <v>0</v>
      </c>
      <c r="D24" s="83">
        <f>Selection!D30</f>
        <v>17065.457750000001</v>
      </c>
      <c r="E24" s="83">
        <f>Selection!E30</f>
        <v>13690.733043900002</v>
      </c>
      <c r="F24" s="83">
        <f>Selection!F30</f>
        <v>15587.820707826088</v>
      </c>
      <c r="G24" s="83">
        <f>Selection!G30</f>
        <v>11281.340220434784</v>
      </c>
      <c r="H24" s="83">
        <f>Selection!H30</f>
        <v>7710.8289449999993</v>
      </c>
    </row>
    <row r="25" spans="1:8" x14ac:dyDescent="0.25">
      <c r="A25" s="140" t="s">
        <v>74</v>
      </c>
      <c r="B25" s="172"/>
      <c r="C25" s="83">
        <f>Selection!C31</f>
        <v>0</v>
      </c>
      <c r="D25" s="83">
        <f>Selection!D31</f>
        <v>289033.17589000001</v>
      </c>
      <c r="E25" s="83">
        <f>Selection!E31</f>
        <v>315191.54201403877</v>
      </c>
      <c r="F25" s="83">
        <f>Selection!F31</f>
        <v>323027.13125599857</v>
      </c>
      <c r="G25" s="83">
        <f>Selection!G31</f>
        <v>351243.90413086204</v>
      </c>
      <c r="H25" s="83">
        <f>Selection!H31</f>
        <v>351314.87059046159</v>
      </c>
    </row>
    <row r="26" spans="1:8" x14ac:dyDescent="0.25">
      <c r="A26" s="140" t="s">
        <v>141</v>
      </c>
      <c r="B26" s="172"/>
      <c r="C26" s="83">
        <f>Selection!C32</f>
        <v>0</v>
      </c>
      <c r="D26" s="83">
        <f>Selection!D32</f>
        <v>0</v>
      </c>
      <c r="E26" s="83">
        <f>Selection!E32</f>
        <v>0</v>
      </c>
      <c r="F26" s="83">
        <f>Selection!F32</f>
        <v>20</v>
      </c>
      <c r="G26" s="83">
        <f>Selection!G32</f>
        <v>40</v>
      </c>
      <c r="H26" s="83">
        <f>Selection!H32</f>
        <v>14965.54467347826</v>
      </c>
    </row>
    <row r="27" spans="1:8" x14ac:dyDescent="0.25">
      <c r="A27" s="140" t="s">
        <v>142</v>
      </c>
      <c r="B27" s="172"/>
      <c r="C27" s="83">
        <f>Selection!C33</f>
        <v>0</v>
      </c>
      <c r="D27" s="83">
        <f>Selection!D33</f>
        <v>0</v>
      </c>
      <c r="E27" s="83">
        <f>Selection!E33</f>
        <v>0</v>
      </c>
      <c r="F27" s="83">
        <f>Selection!F33</f>
        <v>11</v>
      </c>
      <c r="G27" s="83">
        <f>Selection!G33</f>
        <v>25</v>
      </c>
      <c r="H27" s="83">
        <f>Selection!H33</f>
        <v>3631.276288</v>
      </c>
    </row>
    <row r="28" spans="1:8" x14ac:dyDescent="0.25">
      <c r="A28" s="140" t="s">
        <v>143</v>
      </c>
      <c r="B28" s="172"/>
      <c r="C28" s="83">
        <f>Selection!C34</f>
        <v>0</v>
      </c>
      <c r="D28" s="83">
        <f>Selection!D34</f>
        <v>0</v>
      </c>
      <c r="E28" s="83">
        <f>Selection!E34</f>
        <v>0</v>
      </c>
      <c r="F28" s="83">
        <f>Selection!F34</f>
        <v>17</v>
      </c>
      <c r="G28" s="83">
        <f>Selection!G34</f>
        <v>12</v>
      </c>
      <c r="H28" s="83">
        <f>Selection!H34</f>
        <v>5230.0956800000004</v>
      </c>
    </row>
    <row r="29" spans="1:8" x14ac:dyDescent="0.25">
      <c r="A29" s="140" t="s">
        <v>144</v>
      </c>
      <c r="B29" s="172"/>
      <c r="C29" s="83">
        <f>Selection!C35</f>
        <v>0</v>
      </c>
      <c r="D29" s="83">
        <f>Selection!D35</f>
        <v>0</v>
      </c>
      <c r="E29" s="83">
        <f>Selection!E35</f>
        <v>0</v>
      </c>
      <c r="F29" s="83">
        <f>Selection!F35</f>
        <v>0</v>
      </c>
      <c r="G29" s="83">
        <f>Selection!G35</f>
        <v>0</v>
      </c>
      <c r="H29" s="83">
        <f>Selection!H35</f>
        <v>8.9175199999999997</v>
      </c>
    </row>
    <row r="30" spans="1:8" x14ac:dyDescent="0.25">
      <c r="A30" s="140" t="s">
        <v>145</v>
      </c>
      <c r="B30" s="172"/>
      <c r="C30" s="83">
        <f>Selection!C36</f>
        <v>0</v>
      </c>
      <c r="D30" s="83">
        <f>Selection!D36</f>
        <v>0</v>
      </c>
      <c r="E30" s="83">
        <f>Selection!E36</f>
        <v>0</v>
      </c>
      <c r="F30" s="83">
        <f>Selection!F36</f>
        <v>2397</v>
      </c>
      <c r="G30" s="83">
        <f>Selection!G36</f>
        <v>2584</v>
      </c>
      <c r="H30" s="83">
        <f>Selection!H36</f>
        <v>490122.51042000001</v>
      </c>
    </row>
    <row r="31" spans="1:8" x14ac:dyDescent="0.25">
      <c r="A31" s="140" t="s">
        <v>146</v>
      </c>
      <c r="B31" s="172"/>
      <c r="C31" s="83">
        <f>Selection!C37</f>
        <v>0</v>
      </c>
      <c r="D31" s="83">
        <f>Selection!D37</f>
        <v>0</v>
      </c>
      <c r="E31" s="83">
        <f>Selection!E37</f>
        <v>0</v>
      </c>
      <c r="F31" s="83">
        <f>Selection!F37</f>
        <v>232</v>
      </c>
      <c r="G31" s="83">
        <f>Selection!G37</f>
        <v>113</v>
      </c>
      <c r="H31" s="83">
        <f>Selection!H37</f>
        <v>23798.760249999999</v>
      </c>
    </row>
    <row r="32" spans="1:8" x14ac:dyDescent="0.25">
      <c r="A32" s="140" t="s">
        <v>147</v>
      </c>
      <c r="B32" s="172"/>
      <c r="C32" s="83">
        <f>Selection!C38</f>
        <v>0</v>
      </c>
      <c r="D32" s="83">
        <f>Selection!D38</f>
        <v>0</v>
      </c>
      <c r="E32" s="83">
        <f>Selection!E38</f>
        <v>0</v>
      </c>
      <c r="F32" s="83">
        <f>Selection!F38</f>
        <v>0</v>
      </c>
      <c r="G32" s="83">
        <f>Selection!G38</f>
        <v>0</v>
      </c>
      <c r="H32" s="83">
        <f>Selection!H38</f>
        <v>136.88123999999999</v>
      </c>
    </row>
    <row r="33" spans="1:8" x14ac:dyDescent="0.25">
      <c r="A33" s="140" t="s">
        <v>148</v>
      </c>
      <c r="B33" s="172"/>
      <c r="C33" s="83">
        <f>Selection!C39</f>
        <v>0</v>
      </c>
      <c r="D33" s="83">
        <f>Selection!D39</f>
        <v>0</v>
      </c>
      <c r="E33" s="83">
        <f>Selection!E39</f>
        <v>0</v>
      </c>
      <c r="F33" s="83">
        <f>Selection!F39</f>
        <v>0</v>
      </c>
      <c r="G33" s="83">
        <f>Selection!G39</f>
        <v>0</v>
      </c>
      <c r="H33" s="83">
        <f>Selection!H39</f>
        <v>46136.714698333337</v>
      </c>
    </row>
    <row r="34" spans="1:8" x14ac:dyDescent="0.25">
      <c r="A34" s="140" t="s">
        <v>149</v>
      </c>
      <c r="B34" s="172"/>
      <c r="C34" s="83">
        <f>Selection!C40</f>
        <v>0</v>
      </c>
      <c r="D34" s="83">
        <f>Selection!D40</f>
        <v>0</v>
      </c>
      <c r="E34" s="83">
        <f>Selection!E40</f>
        <v>0</v>
      </c>
      <c r="F34" s="83">
        <f>Selection!F40</f>
        <v>0</v>
      </c>
      <c r="G34" s="83">
        <f>Selection!G40</f>
        <v>0</v>
      </c>
      <c r="H34" s="83">
        <f>Selection!H40</f>
        <v>0</v>
      </c>
    </row>
    <row r="35" spans="1:8" x14ac:dyDescent="0.25">
      <c r="A35" s="140" t="s">
        <v>150</v>
      </c>
      <c r="B35" s="172"/>
      <c r="C35" s="83">
        <f>Selection!C41</f>
        <v>0</v>
      </c>
      <c r="D35" s="83">
        <f>Selection!D41</f>
        <v>391019.93420999998</v>
      </c>
      <c r="E35" s="83">
        <f>Selection!E41</f>
        <v>407495.12934808613</v>
      </c>
      <c r="F35" s="83">
        <f>Selection!F41</f>
        <v>488320.81635365216</v>
      </c>
      <c r="G35" s="83">
        <f>Selection!G41</f>
        <v>508823.89529800002</v>
      </c>
      <c r="H35" s="83">
        <f>Selection!H41</f>
        <v>796.00399999999991</v>
      </c>
    </row>
    <row r="36" spans="1:8" x14ac:dyDescent="0.25">
      <c r="A36" s="140" t="s">
        <v>129</v>
      </c>
      <c r="B36" s="172"/>
      <c r="C36" s="83">
        <f>Selection!C42</f>
        <v>0</v>
      </c>
      <c r="D36" s="83">
        <f>Selection!D42</f>
        <v>0</v>
      </c>
      <c r="E36" s="83">
        <f>Selection!E42</f>
        <v>0</v>
      </c>
      <c r="F36" s="83">
        <f>Selection!F42</f>
        <v>0</v>
      </c>
      <c r="G36" s="83">
        <f>Selection!G42</f>
        <v>0</v>
      </c>
      <c r="H36" s="83">
        <f>Selection!H42</f>
        <v>0</v>
      </c>
    </row>
    <row r="37" spans="1:8" x14ac:dyDescent="0.25">
      <c r="A37" s="140" t="s">
        <v>130</v>
      </c>
      <c r="B37" s="172"/>
      <c r="C37" s="83">
        <f>Selection!C43</f>
        <v>0</v>
      </c>
      <c r="D37" s="83">
        <f>Selection!D43</f>
        <v>0</v>
      </c>
      <c r="E37" s="83">
        <f>Selection!E43</f>
        <v>0</v>
      </c>
      <c r="F37" s="83">
        <f>Selection!F43</f>
        <v>0</v>
      </c>
      <c r="G37" s="83">
        <f>Selection!G43</f>
        <v>0</v>
      </c>
      <c r="H37" s="83">
        <f>Selection!H43</f>
        <v>0</v>
      </c>
    </row>
    <row r="38" spans="1:8" x14ac:dyDescent="0.25">
      <c r="A38" s="140" t="s">
        <v>131</v>
      </c>
      <c r="B38" s="172"/>
      <c r="C38" s="83">
        <f>Selection!C44</f>
        <v>0</v>
      </c>
      <c r="D38" s="83">
        <f>Selection!D44</f>
        <v>0</v>
      </c>
      <c r="E38" s="83">
        <f>Selection!E44</f>
        <v>0</v>
      </c>
      <c r="F38" s="83">
        <f>Selection!F44</f>
        <v>0</v>
      </c>
      <c r="G38" s="83">
        <f>Selection!G44</f>
        <v>0</v>
      </c>
      <c r="H38" s="83">
        <f>Selection!H44</f>
        <v>0</v>
      </c>
    </row>
    <row r="39" spans="1:8" x14ac:dyDescent="0.25">
      <c r="A39" s="140" t="s">
        <v>132</v>
      </c>
      <c r="B39" s="172"/>
      <c r="C39" s="83">
        <f>Selection!C45</f>
        <v>0</v>
      </c>
      <c r="D39" s="83">
        <f>Selection!D45</f>
        <v>0</v>
      </c>
      <c r="E39" s="83">
        <f>Selection!E45</f>
        <v>0</v>
      </c>
      <c r="F39" s="83">
        <f>Selection!F45</f>
        <v>0</v>
      </c>
      <c r="G39" s="83">
        <f>Selection!G45</f>
        <v>0</v>
      </c>
      <c r="H39" s="83">
        <f>Selection!H45</f>
        <v>0</v>
      </c>
    </row>
    <row r="40" spans="1:8" x14ac:dyDescent="0.25">
      <c r="A40" s="140" t="s">
        <v>133</v>
      </c>
      <c r="B40" s="172"/>
      <c r="C40" s="83">
        <f>Selection!C46</f>
        <v>0</v>
      </c>
      <c r="D40" s="83">
        <f>Selection!D46</f>
        <v>0</v>
      </c>
      <c r="E40" s="83">
        <f>Selection!E46</f>
        <v>0</v>
      </c>
      <c r="F40" s="83">
        <f>Selection!F46</f>
        <v>0</v>
      </c>
      <c r="G40" s="83">
        <f>Selection!G46</f>
        <v>0</v>
      </c>
      <c r="H40" s="83">
        <f>Selection!H46</f>
        <v>0</v>
      </c>
    </row>
    <row r="41" spans="1:8" x14ac:dyDescent="0.25">
      <c r="A41" s="140" t="s">
        <v>134</v>
      </c>
      <c r="B41" s="172"/>
      <c r="C41" s="83">
        <f>Selection!C47</f>
        <v>0</v>
      </c>
      <c r="D41" s="83">
        <f>Selection!D47</f>
        <v>0</v>
      </c>
      <c r="E41" s="83">
        <f>Selection!E47</f>
        <v>0</v>
      </c>
      <c r="F41" s="83">
        <f>Selection!F47</f>
        <v>0</v>
      </c>
      <c r="G41" s="83">
        <f>Selection!G47</f>
        <v>0</v>
      </c>
      <c r="H41" s="83">
        <f>Selection!H47</f>
        <v>0</v>
      </c>
    </row>
    <row r="42" spans="1:8" x14ac:dyDescent="0.25">
      <c r="A42" s="140" t="s">
        <v>135</v>
      </c>
      <c r="B42" s="172"/>
      <c r="C42" s="83">
        <f>Selection!C48</f>
        <v>0</v>
      </c>
      <c r="D42" s="83">
        <f>Selection!D48</f>
        <v>0</v>
      </c>
      <c r="E42" s="83">
        <f>Selection!E48</f>
        <v>0</v>
      </c>
      <c r="F42" s="83">
        <f>Selection!F48</f>
        <v>0</v>
      </c>
      <c r="G42" s="83">
        <f>Selection!G48</f>
        <v>0</v>
      </c>
      <c r="H42" s="83">
        <f>Selection!H48</f>
        <v>0</v>
      </c>
    </row>
    <row r="43" spans="1:8" x14ac:dyDescent="0.25">
      <c r="A43" s="140" t="s">
        <v>136</v>
      </c>
      <c r="B43" s="172"/>
      <c r="C43" s="83">
        <f>Selection!C49</f>
        <v>0</v>
      </c>
      <c r="D43" s="83">
        <f>Selection!D49</f>
        <v>0</v>
      </c>
      <c r="E43" s="83">
        <f>Selection!E49</f>
        <v>0</v>
      </c>
      <c r="F43" s="83">
        <f>Selection!F49</f>
        <v>0</v>
      </c>
      <c r="G43" s="83">
        <f>Selection!G49</f>
        <v>0</v>
      </c>
      <c r="H43" s="83">
        <f>Selection!H49</f>
        <v>0</v>
      </c>
    </row>
    <row r="44" spans="1:8" x14ac:dyDescent="0.25">
      <c r="A44" s="140" t="s">
        <v>137</v>
      </c>
      <c r="B44" s="172"/>
      <c r="C44" s="83">
        <f>Selection!C50</f>
        <v>0</v>
      </c>
      <c r="D44" s="83">
        <f>Selection!D50</f>
        <v>0</v>
      </c>
      <c r="E44" s="83">
        <f>Selection!E50</f>
        <v>0</v>
      </c>
      <c r="F44" s="83">
        <f>Selection!F50</f>
        <v>0</v>
      </c>
      <c r="G44" s="83">
        <f>Selection!G50</f>
        <v>0</v>
      </c>
      <c r="H44" s="83">
        <f>Selection!H50</f>
        <v>0</v>
      </c>
    </row>
    <row r="45" spans="1:8" x14ac:dyDescent="0.25">
      <c r="A45" s="140" t="s">
        <v>138</v>
      </c>
      <c r="B45" s="172"/>
      <c r="C45" s="83">
        <f>Selection!C51</f>
        <v>0</v>
      </c>
      <c r="D45" s="83">
        <f>Selection!D51</f>
        <v>0</v>
      </c>
      <c r="E45" s="83">
        <f>Selection!E51</f>
        <v>0</v>
      </c>
      <c r="F45" s="83">
        <f>Selection!F51</f>
        <v>0</v>
      </c>
      <c r="G45" s="83">
        <f>Selection!G51</f>
        <v>0</v>
      </c>
      <c r="H45" s="83">
        <f>Selection!H51</f>
        <v>0</v>
      </c>
    </row>
    <row r="46" spans="1:8" x14ac:dyDescent="0.25">
      <c r="A46" s="140" t="s">
        <v>139</v>
      </c>
      <c r="B46" s="172"/>
      <c r="C46" s="83">
        <f>Selection!C52</f>
        <v>0</v>
      </c>
      <c r="D46" s="83">
        <f>Selection!D52</f>
        <v>0</v>
      </c>
      <c r="E46" s="83">
        <f>Selection!E52</f>
        <v>0</v>
      </c>
      <c r="F46" s="83">
        <f>Selection!F52</f>
        <v>0</v>
      </c>
      <c r="G46" s="83">
        <f>Selection!G52</f>
        <v>0</v>
      </c>
      <c r="H46" s="83">
        <f>Selection!H52</f>
        <v>0</v>
      </c>
    </row>
    <row r="47" spans="1:8" x14ac:dyDescent="0.25">
      <c r="A47" s="140" t="s">
        <v>140</v>
      </c>
      <c r="B47" s="172"/>
      <c r="C47" s="83">
        <f>Selection!C53</f>
        <v>0</v>
      </c>
      <c r="D47" s="83">
        <f>Selection!D53</f>
        <v>0</v>
      </c>
      <c r="E47" s="83">
        <f>Selection!E53</f>
        <v>0</v>
      </c>
      <c r="F47" s="83">
        <f>Selection!F53</f>
        <v>0</v>
      </c>
      <c r="G47" s="83">
        <f>Selection!G53</f>
        <v>0</v>
      </c>
      <c r="H47" s="83">
        <f>Selection!H53</f>
        <v>0</v>
      </c>
    </row>
    <row r="48" spans="1:8" x14ac:dyDescent="0.25">
      <c r="A48" s="140" t="s">
        <v>44</v>
      </c>
      <c r="B48" s="172"/>
      <c r="C48" s="83">
        <f>Selection!C54</f>
        <v>241934.9992391202</v>
      </c>
      <c r="D48" s="83">
        <f>Selection!D54</f>
        <v>249184.79825379152</v>
      </c>
      <c r="E48" s="83">
        <f>Selection!E54</f>
        <v>262635.21001464606</v>
      </c>
      <c r="F48" s="83">
        <f>Selection!F54</f>
        <v>259817.7441649067</v>
      </c>
      <c r="G48" s="83">
        <f>Selection!G54</f>
        <v>272300.44722101337</v>
      </c>
      <c r="H48" s="83">
        <f>Selection!H54</f>
        <v>271453.78359519353</v>
      </c>
    </row>
    <row r="49" spans="1:8" x14ac:dyDescent="0.25">
      <c r="A49" s="140" t="s">
        <v>77</v>
      </c>
      <c r="B49" s="172"/>
      <c r="C49" s="83">
        <f>Selection!C55</f>
        <v>122516.40129977374</v>
      </c>
      <c r="D49" s="83">
        <f>Selection!D55</f>
        <v>149515.59365835579</v>
      </c>
      <c r="E49" s="83">
        <f>Selection!E55</f>
        <v>100365.20621952781</v>
      </c>
      <c r="F49" s="83">
        <f>Selection!F55</f>
        <v>55871.639122972279</v>
      </c>
      <c r="G49" s="83">
        <f>Selection!G55</f>
        <v>101825.46098452678</v>
      </c>
      <c r="H49" s="83">
        <f>Selection!H55</f>
        <v>5785.129321744681</v>
      </c>
    </row>
    <row r="50" spans="1:8" x14ac:dyDescent="0.25">
      <c r="A50" s="140" t="s">
        <v>52</v>
      </c>
      <c r="B50" s="172"/>
      <c r="C50" s="83">
        <f>Selection!C56</f>
        <v>335613.36077573971</v>
      </c>
      <c r="D50" s="83">
        <f>Selection!D56</f>
        <v>339981.96621765615</v>
      </c>
      <c r="E50" s="83">
        <f>Selection!E56</f>
        <v>287149.85047793452</v>
      </c>
      <c r="F50" s="83">
        <f>Selection!F56</f>
        <v>370648.68868279323</v>
      </c>
      <c r="G50" s="83">
        <f>Selection!G56</f>
        <v>445754.5894643619</v>
      </c>
      <c r="H50" s="83">
        <f>Selection!H56</f>
        <v>486977.03662084346</v>
      </c>
    </row>
    <row r="51" spans="1:8" x14ac:dyDescent="0.25">
      <c r="A51" s="140" t="s">
        <v>63</v>
      </c>
      <c r="B51" s="172"/>
      <c r="C51" s="83">
        <f>Selection!C57</f>
        <v>20103.161148379117</v>
      </c>
      <c r="D51" s="83">
        <f>Selection!D57</f>
        <v>16399.469717938206</v>
      </c>
      <c r="E51" s="83">
        <f>Selection!E57</f>
        <v>30636.742620548423</v>
      </c>
      <c r="F51" s="83">
        <f>Selection!F57</f>
        <v>15457.557236204935</v>
      </c>
      <c r="G51" s="83">
        <f>Selection!G57</f>
        <v>25296.816540321164</v>
      </c>
      <c r="H51" s="83">
        <f>Selection!H57</f>
        <v>25169.381785220132</v>
      </c>
    </row>
    <row r="52" spans="1:8" x14ac:dyDescent="0.25">
      <c r="A52" s="140" t="s">
        <v>78</v>
      </c>
      <c r="B52" s="172"/>
      <c r="C52" s="83">
        <f>Selection!C58</f>
        <v>199</v>
      </c>
      <c r="D52" s="83">
        <f>Selection!D58</f>
        <v>803.52670708345534</v>
      </c>
      <c r="E52" s="83">
        <f>Selection!E58</f>
        <v>295</v>
      </c>
      <c r="F52" s="83">
        <f>Selection!F58</f>
        <v>0</v>
      </c>
      <c r="G52" s="83">
        <f>Selection!G58</f>
        <v>-0.47</v>
      </c>
      <c r="H52" s="83">
        <f>Selection!H58</f>
        <v>817</v>
      </c>
    </row>
    <row r="53" spans="1:8" x14ac:dyDescent="0.25">
      <c r="A53" s="140" t="s">
        <v>65</v>
      </c>
      <c r="B53" s="172"/>
      <c r="C53" s="83">
        <f>Selection!C59</f>
        <v>834</v>
      </c>
      <c r="D53" s="83">
        <f>Selection!D59</f>
        <v>1112</v>
      </c>
      <c r="E53" s="83">
        <f>Selection!E59</f>
        <v>-34</v>
      </c>
      <c r="F53" s="83">
        <f>Selection!F59</f>
        <v>-78.123223516900907</v>
      </c>
      <c r="G53" s="83">
        <f>Selection!G59</f>
        <v>-1411.7477848500926</v>
      </c>
      <c r="H53" s="83">
        <f>Selection!H59</f>
        <v>146.57844524635004</v>
      </c>
    </row>
    <row r="54" spans="1:8" x14ac:dyDescent="0.25">
      <c r="A54" s="140" t="s">
        <v>351</v>
      </c>
      <c r="B54" s="172"/>
      <c r="C54" s="83">
        <f>Selection!C60</f>
        <v>0</v>
      </c>
      <c r="D54" s="83">
        <f>Selection!D60</f>
        <v>0</v>
      </c>
      <c r="E54" s="83">
        <f>Selection!E60</f>
        <v>0</v>
      </c>
      <c r="F54" s="83">
        <f>Selection!F60</f>
        <v>0</v>
      </c>
      <c r="G54" s="83">
        <f>Selection!G60</f>
        <v>0</v>
      </c>
      <c r="H54" s="83">
        <f>Selection!H60</f>
        <v>0</v>
      </c>
    </row>
    <row r="55" spans="1:8" x14ac:dyDescent="0.25">
      <c r="A55" s="140" t="s">
        <v>428</v>
      </c>
      <c r="B55" s="180"/>
      <c r="C55" s="83">
        <f>Selection!C61</f>
        <v>0</v>
      </c>
      <c r="D55" s="83">
        <f>Selection!D61</f>
        <v>0</v>
      </c>
      <c r="E55" s="83">
        <f>Selection!E61</f>
        <v>0</v>
      </c>
      <c r="F55" s="83">
        <f>Selection!F61</f>
        <v>0</v>
      </c>
      <c r="G55" s="83">
        <f>Selection!G61</f>
        <v>0</v>
      </c>
      <c r="H55" s="83">
        <f>Selection!H61</f>
        <v>0</v>
      </c>
    </row>
    <row r="56" spans="1:8" x14ac:dyDescent="0.25">
      <c r="A56" s="140" t="s">
        <v>50</v>
      </c>
      <c r="B56" s="172"/>
      <c r="C56" s="83">
        <f>Selection!C62</f>
        <v>0</v>
      </c>
      <c r="D56" s="83">
        <f>Selection!D62</f>
        <v>737.16868479776849</v>
      </c>
      <c r="E56" s="83">
        <f>Selection!E62</f>
        <v>505.05683458999999</v>
      </c>
      <c r="F56" s="83">
        <f>Selection!F62</f>
        <v>504.00406373541858</v>
      </c>
      <c r="G56" s="83">
        <f>Selection!G62</f>
        <v>1084.1504138256339</v>
      </c>
      <c r="H56" s="83">
        <f>Selection!H62</f>
        <v>1081.1390508290979</v>
      </c>
    </row>
    <row r="57" spans="1:8" x14ac:dyDescent="0.25">
      <c r="A57" s="144" t="s">
        <v>126</v>
      </c>
      <c r="B57" s="172"/>
      <c r="C57" s="83">
        <f>Selection!C63</f>
        <v>239278.6038406626</v>
      </c>
      <c r="D57" s="83">
        <f>Selection!D63</f>
        <v>241853.34931699312</v>
      </c>
      <c r="E57" s="83">
        <f>Selection!E63</f>
        <v>251500.92683533247</v>
      </c>
      <c r="F57" s="83">
        <f>Selection!F63</f>
        <v>245459.68432787925</v>
      </c>
      <c r="G57" s="83">
        <f>Selection!G63</f>
        <v>253760.88314734775</v>
      </c>
      <c r="H57" s="83">
        <f>Selection!H63</f>
        <v>252103.94675248998</v>
      </c>
    </row>
    <row r="58" spans="1:8" x14ac:dyDescent="0.25">
      <c r="A58" s="144" t="s">
        <v>127</v>
      </c>
      <c r="B58" s="172"/>
      <c r="C58" s="83">
        <f>Selection!C64</f>
        <v>258456.65811093905</v>
      </c>
      <c r="D58" s="83">
        <f>Selection!D64</f>
        <v>259709.98810865628</v>
      </c>
      <c r="E58" s="83">
        <f>Selection!E64</f>
        <v>291213.95353216352</v>
      </c>
      <c r="F58" s="83">
        <f>Selection!F64</f>
        <v>269857.20421660371</v>
      </c>
      <c r="G58" s="83">
        <f>Selection!G64</f>
        <v>285541.39893710648</v>
      </c>
      <c r="H58" s="83">
        <f>Selection!H64</f>
        <v>298981.31138240627</v>
      </c>
    </row>
    <row r="59" spans="1:8" x14ac:dyDescent="0.25">
      <c r="A59" s="140" t="s">
        <v>82</v>
      </c>
      <c r="B59" s="172"/>
      <c r="C59" s="83">
        <f>Selection!C65</f>
        <v>-683.71144162484097</v>
      </c>
      <c r="D59" s="83">
        <f>Selection!D65</f>
        <v>-2122.2847849238242</v>
      </c>
      <c r="E59" s="83">
        <f>Selection!E65</f>
        <v>-3243.1103420738941</v>
      </c>
      <c r="F59" s="83">
        <f>Selection!F65</f>
        <v>-1333.1807760520837</v>
      </c>
      <c r="G59" s="83">
        <f>Selection!G65</f>
        <v>563.90460145723114</v>
      </c>
      <c r="H59" s="83">
        <f>Selection!H65</f>
        <v>-1474.3558061122085</v>
      </c>
    </row>
    <row r="60" spans="1:8" x14ac:dyDescent="0.25">
      <c r="A60" s="140" t="s">
        <v>84</v>
      </c>
      <c r="B60" s="172"/>
      <c r="C60" s="83">
        <f>Selection!C66</f>
        <v>4325</v>
      </c>
      <c r="D60" s="83">
        <f>Selection!D66</f>
        <v>2610.2002480000001</v>
      </c>
      <c r="E60" s="83">
        <f>Selection!E66</f>
        <v>2342.3996946151915</v>
      </c>
      <c r="F60" s="83">
        <f>Selection!F66</f>
        <v>1431.7905807458128</v>
      </c>
      <c r="G60" s="83">
        <f>Selection!G66</f>
        <v>3135.94308</v>
      </c>
      <c r="H60" s="83">
        <f>Selection!H66</f>
        <v>1905</v>
      </c>
    </row>
    <row r="61" spans="1:8" x14ac:dyDescent="0.25">
      <c r="A61" s="140" t="s">
        <v>128</v>
      </c>
      <c r="B61" s="172"/>
      <c r="C61" s="83">
        <f>Selection!C67</f>
        <v>20086.494481712449</v>
      </c>
      <c r="D61" s="83">
        <f>Selection!D67</f>
        <v>16836.13638460487</v>
      </c>
      <c r="E61" s="83">
        <f>Selection!E67</f>
        <v>30608.171191976995</v>
      </c>
      <c r="F61" s="83">
        <f>Selection!F67</f>
        <v>17941.553565633418</v>
      </c>
      <c r="G61" s="83">
        <f>Selection!G67</f>
        <v>18971.714747896076</v>
      </c>
      <c r="H61" s="83">
        <f>Selection!H67</f>
        <v>21924.757682682273</v>
      </c>
    </row>
    <row r="62" spans="1:8" x14ac:dyDescent="0.25">
      <c r="A62" s="140" t="s">
        <v>86</v>
      </c>
      <c r="B62" s="172"/>
      <c r="C62" s="83">
        <f>Selection!C68</f>
        <v>3396.2795702154049</v>
      </c>
      <c r="D62" s="83">
        <f>Selection!D68</f>
        <v>-32</v>
      </c>
      <c r="E62" s="83">
        <f>Selection!E68</f>
        <v>-1690.1850434397916</v>
      </c>
      <c r="F62" s="83">
        <f>Selection!F68</f>
        <v>256</v>
      </c>
      <c r="G62" s="83">
        <f>Selection!G68</f>
        <v>172.80267000000001</v>
      </c>
      <c r="H62" s="83">
        <f>Selection!H68</f>
        <v>-11.779214324606874</v>
      </c>
    </row>
    <row r="63" spans="1:8" x14ac:dyDescent="0.25">
      <c r="A63" s="140" t="s">
        <v>91</v>
      </c>
      <c r="B63" s="172"/>
      <c r="C63" s="83">
        <f>Selection!C69</f>
        <v>0</v>
      </c>
      <c r="D63" s="83">
        <f>Selection!D69</f>
        <v>9761.2934402915434</v>
      </c>
      <c r="E63" s="83">
        <f>Selection!E69</f>
        <v>10082.83170629714</v>
      </c>
      <c r="F63" s="83">
        <f>Selection!F69</f>
        <v>10115.965</v>
      </c>
      <c r="G63" s="83">
        <f>Selection!G69</f>
        <v>10552.932005999999</v>
      </c>
      <c r="H63" s="83">
        <f>Selection!H69</f>
        <v>10813</v>
      </c>
    </row>
    <row r="64" spans="1:8" x14ac:dyDescent="0.25">
      <c r="A64" s="140" t="s">
        <v>92</v>
      </c>
      <c r="B64" s="172"/>
      <c r="C64" s="83">
        <f>Selection!C70</f>
        <v>0</v>
      </c>
      <c r="D64" s="83">
        <f>Selection!D70</f>
        <v>4014.3310522451511</v>
      </c>
      <c r="E64" s="83">
        <f>Selection!E70</f>
        <v>4146.5636353148784</v>
      </c>
      <c r="F64" s="83">
        <f>Selection!F70</f>
        <v>5711.7035872999995</v>
      </c>
      <c r="G64" s="83">
        <f>Selection!G70</f>
        <v>6039.2842115050635</v>
      </c>
      <c r="H64" s="83">
        <f>Selection!H70</f>
        <v>1250.4364325653671</v>
      </c>
    </row>
    <row r="65" spans="1:9" x14ac:dyDescent="0.25">
      <c r="A65" s="140" t="s">
        <v>93</v>
      </c>
      <c r="B65" s="172"/>
      <c r="C65" s="83">
        <f>Selection!C71</f>
        <v>89229.495182222716</v>
      </c>
      <c r="D65" s="83">
        <f>Selection!D71</f>
        <v>88741.917679977021</v>
      </c>
      <c r="E65" s="83">
        <f>Selection!E71</f>
        <v>88486.845516672576</v>
      </c>
      <c r="F65" s="83">
        <f>Selection!F71</f>
        <v>87952.241985921864</v>
      </c>
      <c r="G65" s="83">
        <f>Selection!G71</f>
        <v>86575.787273680355</v>
      </c>
      <c r="H65" s="83">
        <f>Selection!H71</f>
        <v>84715.259737370812</v>
      </c>
    </row>
    <row r="66" spans="1:9" x14ac:dyDescent="0.25">
      <c r="A66" s="140" t="s">
        <v>94</v>
      </c>
      <c r="B66" s="172"/>
      <c r="C66" s="83">
        <f>Selection!C72</f>
        <v>0</v>
      </c>
      <c r="D66" s="83">
        <f>Selection!D72</f>
        <v>15774.179189287435</v>
      </c>
      <c r="E66" s="83">
        <f>Selection!E72</f>
        <v>16293.782688066545</v>
      </c>
      <c r="F66" s="83">
        <f>Selection!F72</f>
        <v>14176.144553895556</v>
      </c>
      <c r="G66" s="83">
        <f>Selection!G72</f>
        <v>17091.564073665686</v>
      </c>
      <c r="H66" s="83">
        <f>Selection!H72</f>
        <v>19349.836842703582</v>
      </c>
    </row>
    <row r="67" spans="1:9" x14ac:dyDescent="0.25">
      <c r="A67" s="140" t="s">
        <v>95</v>
      </c>
      <c r="B67" s="172"/>
      <c r="C67" s="83">
        <f>Selection!C73</f>
        <v>0</v>
      </c>
      <c r="D67" s="83">
        <f>Selection!D73</f>
        <v>0</v>
      </c>
      <c r="E67" s="83">
        <f>Selection!E73</f>
        <v>2047</v>
      </c>
      <c r="F67" s="83">
        <f>Selection!F73</f>
        <v>14</v>
      </c>
      <c r="G67" s="83">
        <f>Selection!G73</f>
        <v>2369</v>
      </c>
      <c r="H67" s="83">
        <f>Selection!H73</f>
        <v>1.8090544993210675</v>
      </c>
    </row>
    <row r="68" spans="1:9" x14ac:dyDescent="0.25">
      <c r="A68" s="140" t="s">
        <v>96</v>
      </c>
      <c r="B68" s="172"/>
      <c r="C68" s="83">
        <f>Selection!C74</f>
        <v>0</v>
      </c>
      <c r="D68" s="83">
        <f>Selection!D74</f>
        <v>14029.184443652706</v>
      </c>
      <c r="E68" s="83">
        <f>Selection!E74</f>
        <v>14491.307590249771</v>
      </c>
      <c r="F68" s="83">
        <f>Selection!F74</f>
        <v>14437</v>
      </c>
      <c r="G68" s="83">
        <f>Selection!G74</f>
        <v>15145.28097</v>
      </c>
      <c r="H68" s="83">
        <f>Selection!H74</f>
        <v>15668.785339999999</v>
      </c>
    </row>
    <row r="69" spans="1:9" x14ac:dyDescent="0.25">
      <c r="A69" s="140" t="s">
        <v>97</v>
      </c>
      <c r="B69" s="172"/>
      <c r="C69" s="83">
        <f>Selection!C75</f>
        <v>0</v>
      </c>
      <c r="D69" s="83">
        <f>Selection!D75</f>
        <v>3682.6030736586686</v>
      </c>
      <c r="E69" s="83">
        <f>Selection!E75</f>
        <v>3803.9084942910931</v>
      </c>
      <c r="F69" s="83">
        <f>Selection!F75</f>
        <v>4842.6081877814595</v>
      </c>
      <c r="G69" s="83">
        <f>Selection!G75</f>
        <v>7083.4393809769454</v>
      </c>
      <c r="H69" s="83">
        <f>Selection!H75</f>
        <v>1.256</v>
      </c>
    </row>
    <row r="70" spans="1:9" ht="39.950000000000003" customHeight="1" x14ac:dyDescent="0.35">
      <c r="A70" s="63" t="s">
        <v>17</v>
      </c>
      <c r="B70" s="4"/>
      <c r="C70" s="4"/>
      <c r="D70" s="4"/>
      <c r="E70" s="4"/>
      <c r="F70" s="4"/>
      <c r="G70" s="4"/>
      <c r="H70" s="4"/>
    </row>
    <row r="71" spans="1:9" ht="30" customHeight="1" x14ac:dyDescent="0.3">
      <c r="A71" s="62" t="s">
        <v>75</v>
      </c>
      <c r="B71" s="32"/>
      <c r="C71" s="28" t="s">
        <v>22</v>
      </c>
      <c r="D71" s="28" t="s">
        <v>23</v>
      </c>
      <c r="E71" s="28" t="s">
        <v>24</v>
      </c>
      <c r="F71" s="28" t="s">
        <v>25</v>
      </c>
      <c r="G71" s="28" t="s">
        <v>26</v>
      </c>
      <c r="H71" s="28" t="s">
        <v>27</v>
      </c>
      <c r="I71" s="28" t="s">
        <v>291</v>
      </c>
    </row>
    <row r="72" spans="1:9" x14ac:dyDescent="0.25">
      <c r="A72" s="140" t="s">
        <v>76</v>
      </c>
      <c r="B72" s="32"/>
      <c r="C72" s="79">
        <f>C19</f>
        <v>6010082.4646555651</v>
      </c>
      <c r="D72" s="57">
        <f>C80</f>
        <v>6207207.0663435785</v>
      </c>
      <c r="E72" s="57">
        <f>D80</f>
        <v>6433035.8849549452</v>
      </c>
      <c r="F72" s="57">
        <f>E80</f>
        <v>6527539.9890172137</v>
      </c>
      <c r="G72" s="57">
        <f>F80</f>
        <v>6678706.8921983512</v>
      </c>
      <c r="H72" s="57">
        <f>G80</f>
        <v>6927277.4611010551</v>
      </c>
      <c r="I72" s="156" t="s">
        <v>328</v>
      </c>
    </row>
    <row r="73" spans="1:9" x14ac:dyDescent="0.25">
      <c r="A73" s="140" t="s">
        <v>44</v>
      </c>
      <c r="B73" s="32"/>
      <c r="C73" s="57">
        <f t="shared" ref="C73:H79" si="0">C48</f>
        <v>241934.9992391202</v>
      </c>
      <c r="D73" s="57">
        <f t="shared" si="0"/>
        <v>249184.79825379152</v>
      </c>
      <c r="E73" s="57">
        <f t="shared" si="0"/>
        <v>262635.21001464606</v>
      </c>
      <c r="F73" s="57">
        <f t="shared" si="0"/>
        <v>259817.7441649067</v>
      </c>
      <c r="G73" s="57">
        <f t="shared" si="0"/>
        <v>272300.44722101337</v>
      </c>
      <c r="H73" s="57">
        <f t="shared" si="0"/>
        <v>271453.78359519353</v>
      </c>
      <c r="I73" s="156" t="s">
        <v>329</v>
      </c>
    </row>
    <row r="74" spans="1:9" x14ac:dyDescent="0.25">
      <c r="A74" s="140" t="s">
        <v>77</v>
      </c>
      <c r="B74" s="32"/>
      <c r="C74" s="57">
        <f t="shared" si="0"/>
        <v>122516.40129977374</v>
      </c>
      <c r="D74" s="57">
        <f t="shared" si="0"/>
        <v>149515.59365835579</v>
      </c>
      <c r="E74" s="57">
        <f t="shared" si="0"/>
        <v>100365.20621952781</v>
      </c>
      <c r="F74" s="57">
        <f t="shared" si="0"/>
        <v>55871.639122972279</v>
      </c>
      <c r="G74" s="57">
        <f t="shared" si="0"/>
        <v>101825.46098452678</v>
      </c>
      <c r="H74" s="57">
        <f t="shared" si="0"/>
        <v>5785.129321744681</v>
      </c>
      <c r="I74" s="156" t="s">
        <v>330</v>
      </c>
    </row>
    <row r="75" spans="1:9" x14ac:dyDescent="0.25">
      <c r="A75" s="144" t="s">
        <v>52</v>
      </c>
      <c r="B75" s="32"/>
      <c r="C75" s="57">
        <f t="shared" si="0"/>
        <v>335613.36077573971</v>
      </c>
      <c r="D75" s="57">
        <f t="shared" si="0"/>
        <v>339981.96621765615</v>
      </c>
      <c r="E75" s="57">
        <f t="shared" si="0"/>
        <v>287149.85047793452</v>
      </c>
      <c r="F75" s="57">
        <f t="shared" si="0"/>
        <v>370648.68868279323</v>
      </c>
      <c r="G75" s="57">
        <f t="shared" si="0"/>
        <v>445754.5894643619</v>
      </c>
      <c r="H75" s="57">
        <f t="shared" si="0"/>
        <v>486977.03662084346</v>
      </c>
      <c r="I75" s="156" t="s">
        <v>331</v>
      </c>
    </row>
    <row r="76" spans="1:9" x14ac:dyDescent="0.25">
      <c r="A76" s="144" t="s">
        <v>63</v>
      </c>
      <c r="B76" s="32"/>
      <c r="C76" s="57">
        <f t="shared" si="0"/>
        <v>20103.161148379117</v>
      </c>
      <c r="D76" s="57">
        <f t="shared" si="0"/>
        <v>16399.469717938206</v>
      </c>
      <c r="E76" s="57">
        <f t="shared" si="0"/>
        <v>30636.742620548423</v>
      </c>
      <c r="F76" s="57">
        <f t="shared" si="0"/>
        <v>15457.557236204935</v>
      </c>
      <c r="G76" s="57">
        <f t="shared" si="0"/>
        <v>25296.816540321164</v>
      </c>
      <c r="H76" s="57">
        <f t="shared" si="0"/>
        <v>25169.381785220132</v>
      </c>
      <c r="I76" s="156" t="s">
        <v>332</v>
      </c>
    </row>
    <row r="77" spans="1:9" x14ac:dyDescent="0.25">
      <c r="A77" s="140" t="s">
        <v>78</v>
      </c>
      <c r="B77" s="32"/>
      <c r="C77" s="57">
        <f t="shared" si="0"/>
        <v>199</v>
      </c>
      <c r="D77" s="57">
        <f t="shared" si="0"/>
        <v>803.52670708345534</v>
      </c>
      <c r="E77" s="57">
        <f t="shared" si="0"/>
        <v>295</v>
      </c>
      <c r="F77" s="57">
        <f t="shared" si="0"/>
        <v>0</v>
      </c>
      <c r="G77" s="57">
        <f t="shared" si="0"/>
        <v>-0.47</v>
      </c>
      <c r="H77" s="57">
        <f t="shared" si="0"/>
        <v>817</v>
      </c>
      <c r="I77" s="156" t="s">
        <v>333</v>
      </c>
    </row>
    <row r="78" spans="1:9" x14ac:dyDescent="0.25">
      <c r="A78" s="140" t="s">
        <v>65</v>
      </c>
      <c r="B78" s="32"/>
      <c r="C78" s="57">
        <f t="shared" si="0"/>
        <v>834</v>
      </c>
      <c r="D78" s="57">
        <f t="shared" si="0"/>
        <v>1112</v>
      </c>
      <c r="E78" s="57">
        <f t="shared" si="0"/>
        <v>-34</v>
      </c>
      <c r="F78" s="57">
        <f t="shared" si="0"/>
        <v>-78.123223516900907</v>
      </c>
      <c r="G78" s="57">
        <f t="shared" si="0"/>
        <v>-1411.7477848500926</v>
      </c>
      <c r="H78" s="57">
        <f t="shared" si="0"/>
        <v>146.57844524635004</v>
      </c>
      <c r="I78" s="156" t="s">
        <v>334</v>
      </c>
    </row>
    <row r="79" spans="1:9" x14ac:dyDescent="0.25">
      <c r="A79" s="140" t="s">
        <v>351</v>
      </c>
      <c r="B79" s="157"/>
      <c r="C79" s="57">
        <f t="shared" si="0"/>
        <v>0</v>
      </c>
      <c r="D79" s="57">
        <f t="shared" si="0"/>
        <v>0</v>
      </c>
      <c r="E79" s="57">
        <f t="shared" si="0"/>
        <v>0</v>
      </c>
      <c r="F79" s="57">
        <f t="shared" si="0"/>
        <v>0</v>
      </c>
      <c r="G79" s="57">
        <f t="shared" si="0"/>
        <v>0</v>
      </c>
      <c r="H79" s="57">
        <f t="shared" si="0"/>
        <v>0</v>
      </c>
    </row>
    <row r="80" spans="1:9" x14ac:dyDescent="0.25">
      <c r="A80" s="140" t="s">
        <v>79</v>
      </c>
      <c r="B80" s="32"/>
      <c r="C80" s="57">
        <f t="shared" ref="C80:H80" si="1">C72-C73+C74+C75-C76+C77+C78+C79</f>
        <v>6207207.0663435785</v>
      </c>
      <c r="D80" s="57">
        <f t="shared" si="1"/>
        <v>6433035.8849549452</v>
      </c>
      <c r="E80" s="57">
        <f t="shared" si="1"/>
        <v>6527539.9890172137</v>
      </c>
      <c r="F80" s="57">
        <f t="shared" si="1"/>
        <v>6678706.8921983512</v>
      </c>
      <c r="G80" s="57">
        <f t="shared" si="1"/>
        <v>6927277.4611010551</v>
      </c>
      <c r="H80" s="57">
        <f t="shared" si="1"/>
        <v>7124380.0401084758</v>
      </c>
      <c r="I80" s="156" t="s">
        <v>335</v>
      </c>
    </row>
    <row r="81" spans="1:9" ht="30" customHeight="1" x14ac:dyDescent="0.3">
      <c r="A81" s="62" t="s">
        <v>100</v>
      </c>
      <c r="B81" s="32"/>
      <c r="C81" s="28" t="s">
        <v>22</v>
      </c>
      <c r="D81" s="28" t="s">
        <v>23</v>
      </c>
      <c r="E81" s="28" t="s">
        <v>24</v>
      </c>
      <c r="F81" s="28" t="s">
        <v>25</v>
      </c>
      <c r="G81" s="28" t="s">
        <v>26</v>
      </c>
      <c r="H81" s="28" t="s">
        <v>27</v>
      </c>
      <c r="I81" s="125"/>
    </row>
    <row r="82" spans="1:9" x14ac:dyDescent="0.25">
      <c r="A82" s="140" t="s">
        <v>49</v>
      </c>
      <c r="B82" s="32"/>
      <c r="C82" s="57">
        <f>C20</f>
        <v>-484</v>
      </c>
      <c r="D82" s="57">
        <f>C91</f>
        <v>-25963.696707159179</v>
      </c>
      <c r="E82" s="57">
        <f>D91</f>
        <v>-57618.348185575051</v>
      </c>
      <c r="F82" s="57">
        <f>E91</f>
        <v>-96097.208096254559</v>
      </c>
      <c r="G82" s="57">
        <f>F91</f>
        <v>-127896.05058870178</v>
      </c>
      <c r="H82" s="57">
        <f>G91</f>
        <v>-155392.13659312847</v>
      </c>
      <c r="I82" s="156" t="s">
        <v>336</v>
      </c>
    </row>
    <row r="83" spans="1:9" x14ac:dyDescent="0.25">
      <c r="A83" s="140" t="s">
        <v>80</v>
      </c>
      <c r="B83" s="32"/>
      <c r="C83" s="57">
        <f t="shared" ref="C83:H83" si="2">C57*C16</f>
        <v>71783.581152198778</v>
      </c>
      <c r="D83" s="57">
        <f t="shared" si="2"/>
        <v>72556.004795097935</v>
      </c>
      <c r="E83" s="57">
        <f t="shared" si="2"/>
        <v>70420.259513893106</v>
      </c>
      <c r="F83" s="57">
        <f t="shared" si="2"/>
        <v>68728.711611806197</v>
      </c>
      <c r="G83" s="57">
        <f t="shared" si="2"/>
        <v>71053.047281257372</v>
      </c>
      <c r="H83" s="57">
        <f t="shared" si="2"/>
        <v>70589.105090697209</v>
      </c>
      <c r="I83" s="156" t="s">
        <v>337</v>
      </c>
    </row>
    <row r="84" spans="1:9" x14ac:dyDescent="0.25">
      <c r="A84" s="140" t="s">
        <v>81</v>
      </c>
      <c r="B84" s="32"/>
      <c r="C84" s="57">
        <f t="shared" ref="C84:H84" si="3">C58*C16</f>
        <v>77536.997433281707</v>
      </c>
      <c r="D84" s="57">
        <f t="shared" si="3"/>
        <v>77912.996432596876</v>
      </c>
      <c r="E84" s="57">
        <f t="shared" si="3"/>
        <v>81539.906989005787</v>
      </c>
      <c r="F84" s="57">
        <f t="shared" si="3"/>
        <v>75560.01718064904</v>
      </c>
      <c r="G84" s="57">
        <f t="shared" si="3"/>
        <v>79951.591702389822</v>
      </c>
      <c r="H84" s="57">
        <f t="shared" si="3"/>
        <v>83714.767187073769</v>
      </c>
      <c r="I84" s="156" t="s">
        <v>338</v>
      </c>
    </row>
    <row r="85" spans="1:9" x14ac:dyDescent="0.25">
      <c r="A85" s="140" t="s">
        <v>82</v>
      </c>
      <c r="B85" s="32"/>
      <c r="C85" s="57">
        <f t="shared" ref="C85:H85" si="4">C59</f>
        <v>-683.71144162484097</v>
      </c>
      <c r="D85" s="57">
        <f t="shared" si="4"/>
        <v>-2122.2847849238242</v>
      </c>
      <c r="E85" s="57">
        <f t="shared" si="4"/>
        <v>-3243.1103420738941</v>
      </c>
      <c r="F85" s="57">
        <f t="shared" si="4"/>
        <v>-1333.1807760520837</v>
      </c>
      <c r="G85" s="57">
        <f t="shared" si="4"/>
        <v>563.90460145723114</v>
      </c>
      <c r="H85" s="57">
        <f t="shared" si="4"/>
        <v>-1474.3558061122085</v>
      </c>
      <c r="I85" s="156" t="s">
        <v>339</v>
      </c>
    </row>
    <row r="86" spans="1:9" x14ac:dyDescent="0.25">
      <c r="A86" s="140" t="s">
        <v>83</v>
      </c>
      <c r="B86" s="32"/>
      <c r="C86" s="57">
        <f t="shared" ref="C86:H86" si="5">C65*C16</f>
        <v>26768.848554666813</v>
      </c>
      <c r="D86" s="57">
        <f t="shared" si="5"/>
        <v>26622.575303993104</v>
      </c>
      <c r="E86" s="57">
        <f t="shared" si="5"/>
        <v>24776.316744668322</v>
      </c>
      <c r="F86" s="57">
        <f t="shared" si="5"/>
        <v>24626.627756058126</v>
      </c>
      <c r="G86" s="57">
        <f t="shared" si="5"/>
        <v>24241.220436630501</v>
      </c>
      <c r="H86" s="57">
        <f t="shared" si="5"/>
        <v>23720.272726463831</v>
      </c>
      <c r="I86" s="156" t="s">
        <v>340</v>
      </c>
    </row>
    <row r="87" spans="1:9" x14ac:dyDescent="0.25">
      <c r="A87" s="140" t="s">
        <v>84</v>
      </c>
      <c r="B87" s="32"/>
      <c r="C87" s="57">
        <f t="shared" ref="C87:H87" si="6">C60</f>
        <v>4325</v>
      </c>
      <c r="D87" s="57">
        <f t="shared" si="6"/>
        <v>2610.2002480000001</v>
      </c>
      <c r="E87" s="57">
        <f t="shared" si="6"/>
        <v>2342.3996946151915</v>
      </c>
      <c r="F87" s="57">
        <f t="shared" si="6"/>
        <v>1431.7905807458128</v>
      </c>
      <c r="G87" s="57">
        <f t="shared" si="6"/>
        <v>3135.94308</v>
      </c>
      <c r="H87" s="57">
        <f t="shared" si="6"/>
        <v>1905</v>
      </c>
      <c r="I87" s="156" t="s">
        <v>341</v>
      </c>
    </row>
    <row r="88" spans="1:9" x14ac:dyDescent="0.25">
      <c r="A88" s="140" t="s">
        <v>85</v>
      </c>
      <c r="B88" s="32"/>
      <c r="C88" s="57">
        <f t="shared" ref="C88:H88" si="7">(C61-C76)*C16</f>
        <v>-5.0000000000003633</v>
      </c>
      <c r="D88" s="57">
        <f t="shared" si="7"/>
        <v>130.99999999999926</v>
      </c>
      <c r="E88" s="57">
        <f t="shared" si="7"/>
        <v>-7.9999999999997096</v>
      </c>
      <c r="F88" s="57">
        <f t="shared" si="7"/>
        <v>695.51897223997514</v>
      </c>
      <c r="G88" s="57">
        <f t="shared" si="7"/>
        <v>-1771.0285018790248</v>
      </c>
      <c r="H88" s="57">
        <f t="shared" si="7"/>
        <v>-908.49474871060045</v>
      </c>
      <c r="I88" s="156" t="s">
        <v>342</v>
      </c>
    </row>
    <row r="89" spans="1:9" x14ac:dyDescent="0.25">
      <c r="A89" s="140" t="s">
        <v>86</v>
      </c>
      <c r="B89" s="32"/>
      <c r="C89" s="57">
        <f t="shared" ref="C89:H89" si="8">C62</f>
        <v>3396.2795702154049</v>
      </c>
      <c r="D89" s="57">
        <f t="shared" si="8"/>
        <v>-32</v>
      </c>
      <c r="E89" s="57">
        <f t="shared" si="8"/>
        <v>-1690.1850434397916</v>
      </c>
      <c r="F89" s="57">
        <f t="shared" si="8"/>
        <v>256</v>
      </c>
      <c r="G89" s="57">
        <f t="shared" si="8"/>
        <v>172.80267000000001</v>
      </c>
      <c r="H89" s="57">
        <f t="shared" si="8"/>
        <v>-11.779214324606874</v>
      </c>
      <c r="I89" s="156" t="s">
        <v>343</v>
      </c>
    </row>
    <row r="90" spans="1:9" x14ac:dyDescent="0.25">
      <c r="A90" s="140" t="s">
        <v>428</v>
      </c>
      <c r="B90" s="180"/>
      <c r="C90" s="57">
        <f t="shared" ref="C90:H90" si="9">C55</f>
        <v>0</v>
      </c>
      <c r="D90" s="57">
        <f t="shared" si="9"/>
        <v>0</v>
      </c>
      <c r="E90" s="57">
        <f t="shared" si="9"/>
        <v>0</v>
      </c>
      <c r="F90" s="57">
        <f t="shared" si="9"/>
        <v>0</v>
      </c>
      <c r="G90" s="57">
        <f t="shared" si="9"/>
        <v>0</v>
      </c>
      <c r="H90" s="57">
        <f t="shared" si="9"/>
        <v>0</v>
      </c>
      <c r="I90" s="4"/>
    </row>
    <row r="91" spans="1:9" x14ac:dyDescent="0.25">
      <c r="A91" s="140" t="s">
        <v>87</v>
      </c>
      <c r="B91" s="32"/>
      <c r="C91" s="57">
        <f t="shared" ref="C91:H91" si="10">C82+C83-C84+C85-C86+C87-C88+C89+C90</f>
        <v>-25963.696707159179</v>
      </c>
      <c r="D91" s="57">
        <f t="shared" si="10"/>
        <v>-57618.348185575051</v>
      </c>
      <c r="E91" s="57">
        <f t="shared" si="10"/>
        <v>-96097.208096254559</v>
      </c>
      <c r="F91" s="57">
        <f t="shared" si="10"/>
        <v>-127896.05058870178</v>
      </c>
      <c r="G91" s="57">
        <f t="shared" si="10"/>
        <v>-155392.13659312847</v>
      </c>
      <c r="H91" s="57">
        <f t="shared" si="10"/>
        <v>-190910.71168769506</v>
      </c>
      <c r="I91" s="156" t="s">
        <v>344</v>
      </c>
    </row>
    <row r="92" spans="1:9" ht="30" customHeight="1" x14ac:dyDescent="0.3">
      <c r="A92" s="62" t="s">
        <v>325</v>
      </c>
      <c r="B92" s="32"/>
      <c r="C92" s="91"/>
      <c r="D92" s="28"/>
      <c r="E92" s="28"/>
      <c r="F92" s="28"/>
      <c r="G92" s="91"/>
      <c r="H92" s="28"/>
    </row>
    <row r="93" spans="1:9" x14ac:dyDescent="0.25">
      <c r="A93" s="140" t="s">
        <v>141</v>
      </c>
      <c r="B93" s="32"/>
      <c r="C93" s="57">
        <f t="shared" ref="C93:H102" si="11">C26</f>
        <v>0</v>
      </c>
      <c r="D93" s="57">
        <f t="shared" si="11"/>
        <v>0</v>
      </c>
      <c r="E93" s="57">
        <f t="shared" si="11"/>
        <v>0</v>
      </c>
      <c r="F93" s="57">
        <f t="shared" si="11"/>
        <v>20</v>
      </c>
      <c r="G93" s="57">
        <f t="shared" si="11"/>
        <v>40</v>
      </c>
      <c r="H93" s="57">
        <f t="shared" si="11"/>
        <v>14965.54467347826</v>
      </c>
      <c r="I93" s="154" t="s">
        <v>237</v>
      </c>
    </row>
    <row r="94" spans="1:9" x14ac:dyDescent="0.25">
      <c r="A94" s="140" t="s">
        <v>142</v>
      </c>
      <c r="B94" s="32"/>
      <c r="C94" s="57">
        <f t="shared" si="11"/>
        <v>0</v>
      </c>
      <c r="D94" s="57">
        <f t="shared" si="11"/>
        <v>0</v>
      </c>
      <c r="E94" s="57">
        <f t="shared" si="11"/>
        <v>0</v>
      </c>
      <c r="F94" s="57">
        <f t="shared" si="11"/>
        <v>11</v>
      </c>
      <c r="G94" s="57">
        <f t="shared" si="11"/>
        <v>25</v>
      </c>
      <c r="H94" s="57">
        <f t="shared" si="11"/>
        <v>3631.276288</v>
      </c>
      <c r="I94" s="154" t="s">
        <v>238</v>
      </c>
    </row>
    <row r="95" spans="1:9" x14ac:dyDescent="0.25">
      <c r="A95" s="140" t="s">
        <v>143</v>
      </c>
      <c r="B95" s="32"/>
      <c r="C95" s="57">
        <f t="shared" si="11"/>
        <v>0</v>
      </c>
      <c r="D95" s="57">
        <f t="shared" si="11"/>
        <v>0</v>
      </c>
      <c r="E95" s="57">
        <f t="shared" si="11"/>
        <v>0</v>
      </c>
      <c r="F95" s="57">
        <f t="shared" si="11"/>
        <v>17</v>
      </c>
      <c r="G95" s="57">
        <f t="shared" si="11"/>
        <v>12</v>
      </c>
      <c r="H95" s="57">
        <f t="shared" si="11"/>
        <v>5230.0956800000004</v>
      </c>
      <c r="I95" s="154" t="s">
        <v>239</v>
      </c>
    </row>
    <row r="96" spans="1:9" x14ac:dyDescent="0.25">
      <c r="A96" s="140" t="s">
        <v>144</v>
      </c>
      <c r="B96" s="32"/>
      <c r="C96" s="57">
        <f t="shared" si="11"/>
        <v>0</v>
      </c>
      <c r="D96" s="57">
        <f t="shared" si="11"/>
        <v>0</v>
      </c>
      <c r="E96" s="57">
        <f t="shared" si="11"/>
        <v>0</v>
      </c>
      <c r="F96" s="57">
        <f t="shared" si="11"/>
        <v>0</v>
      </c>
      <c r="G96" s="57">
        <f t="shared" si="11"/>
        <v>0</v>
      </c>
      <c r="H96" s="57">
        <f t="shared" si="11"/>
        <v>8.9175199999999997</v>
      </c>
      <c r="I96" s="154" t="s">
        <v>240</v>
      </c>
    </row>
    <row r="97" spans="1:9" x14ac:dyDescent="0.25">
      <c r="A97" s="140" t="s">
        <v>145</v>
      </c>
      <c r="B97" s="32"/>
      <c r="C97" s="57">
        <f t="shared" si="11"/>
        <v>0</v>
      </c>
      <c r="D97" s="57">
        <f t="shared" si="11"/>
        <v>0</v>
      </c>
      <c r="E97" s="57">
        <f t="shared" si="11"/>
        <v>0</v>
      </c>
      <c r="F97" s="57">
        <f t="shared" si="11"/>
        <v>2397</v>
      </c>
      <c r="G97" s="57">
        <f t="shared" si="11"/>
        <v>2584</v>
      </c>
      <c r="H97" s="57">
        <f t="shared" si="11"/>
        <v>490122.51042000001</v>
      </c>
      <c r="I97" s="154" t="s">
        <v>241</v>
      </c>
    </row>
    <row r="98" spans="1:9" x14ac:dyDescent="0.25">
      <c r="A98" s="140" t="s">
        <v>146</v>
      </c>
      <c r="B98" s="32"/>
      <c r="C98" s="57">
        <f t="shared" si="11"/>
        <v>0</v>
      </c>
      <c r="D98" s="57">
        <f t="shared" si="11"/>
        <v>0</v>
      </c>
      <c r="E98" s="57">
        <f t="shared" si="11"/>
        <v>0</v>
      </c>
      <c r="F98" s="57">
        <f t="shared" si="11"/>
        <v>232</v>
      </c>
      <c r="G98" s="57">
        <f t="shared" si="11"/>
        <v>113</v>
      </c>
      <c r="H98" s="57">
        <f t="shared" si="11"/>
        <v>23798.760249999999</v>
      </c>
      <c r="I98" s="154" t="s">
        <v>242</v>
      </c>
    </row>
    <row r="99" spans="1:9" x14ac:dyDescent="0.25">
      <c r="A99" s="140" t="s">
        <v>147</v>
      </c>
      <c r="B99" s="32"/>
      <c r="C99" s="57">
        <f t="shared" si="11"/>
        <v>0</v>
      </c>
      <c r="D99" s="57">
        <f t="shared" si="11"/>
        <v>0</v>
      </c>
      <c r="E99" s="57">
        <f t="shared" si="11"/>
        <v>0</v>
      </c>
      <c r="F99" s="57">
        <f t="shared" si="11"/>
        <v>0</v>
      </c>
      <c r="G99" s="57">
        <f t="shared" si="11"/>
        <v>0</v>
      </c>
      <c r="H99" s="57">
        <f t="shared" si="11"/>
        <v>136.88123999999999</v>
      </c>
      <c r="I99" s="154" t="s">
        <v>243</v>
      </c>
    </row>
    <row r="100" spans="1:9" x14ac:dyDescent="0.25">
      <c r="A100" s="140" t="s">
        <v>148</v>
      </c>
      <c r="B100" s="32"/>
      <c r="C100" s="57">
        <f t="shared" si="11"/>
        <v>0</v>
      </c>
      <c r="D100" s="57">
        <f t="shared" si="11"/>
        <v>0</v>
      </c>
      <c r="E100" s="57">
        <f t="shared" si="11"/>
        <v>0</v>
      </c>
      <c r="F100" s="57">
        <f t="shared" si="11"/>
        <v>0</v>
      </c>
      <c r="G100" s="57">
        <f t="shared" si="11"/>
        <v>0</v>
      </c>
      <c r="H100" s="57">
        <f t="shared" si="11"/>
        <v>46136.714698333337</v>
      </c>
      <c r="I100" s="154" t="s">
        <v>244</v>
      </c>
    </row>
    <row r="101" spans="1:9" x14ac:dyDescent="0.25">
      <c r="A101" s="140" t="s">
        <v>149</v>
      </c>
      <c r="B101" s="32"/>
      <c r="C101" s="57">
        <f t="shared" si="11"/>
        <v>0</v>
      </c>
      <c r="D101" s="57">
        <f t="shared" si="11"/>
        <v>0</v>
      </c>
      <c r="E101" s="57">
        <f t="shared" si="11"/>
        <v>0</v>
      </c>
      <c r="F101" s="57">
        <f t="shared" si="11"/>
        <v>0</v>
      </c>
      <c r="G101" s="57">
        <f t="shared" si="11"/>
        <v>0</v>
      </c>
      <c r="H101" s="57">
        <f t="shared" si="11"/>
        <v>0</v>
      </c>
      <c r="I101" s="154" t="s">
        <v>245</v>
      </c>
    </row>
    <row r="102" spans="1:9" x14ac:dyDescent="0.25">
      <c r="A102" s="140" t="s">
        <v>150</v>
      </c>
      <c r="B102" s="32"/>
      <c r="C102" s="57">
        <f t="shared" si="11"/>
        <v>0</v>
      </c>
      <c r="D102" s="57">
        <f t="shared" si="11"/>
        <v>391019.93420999998</v>
      </c>
      <c r="E102" s="57">
        <f t="shared" si="11"/>
        <v>407495.12934808613</v>
      </c>
      <c r="F102" s="57">
        <f t="shared" si="11"/>
        <v>488320.81635365216</v>
      </c>
      <c r="G102" s="57">
        <f t="shared" si="11"/>
        <v>508823.89529800002</v>
      </c>
      <c r="H102" s="57">
        <f t="shared" si="11"/>
        <v>796.00399999999991</v>
      </c>
      <c r="I102" s="154" t="s">
        <v>246</v>
      </c>
    </row>
    <row r="103" spans="1:9" x14ac:dyDescent="0.25">
      <c r="A103" s="145" t="s">
        <v>123</v>
      </c>
      <c r="B103" s="32"/>
      <c r="C103" s="57">
        <f t="shared" ref="C103:H103" si="12">SUM(C93:C102)</f>
        <v>0</v>
      </c>
      <c r="D103" s="57">
        <f t="shared" si="12"/>
        <v>391019.93420999998</v>
      </c>
      <c r="E103" s="57">
        <f t="shared" si="12"/>
        <v>407495.12934808613</v>
      </c>
      <c r="F103" s="57">
        <f t="shared" si="12"/>
        <v>490997.81635365216</v>
      </c>
      <c r="G103" s="57">
        <f t="shared" si="12"/>
        <v>511597.89529800002</v>
      </c>
      <c r="H103" s="57">
        <f t="shared" si="12"/>
        <v>584826.70476981159</v>
      </c>
      <c r="I103" s="154" t="s">
        <v>247</v>
      </c>
    </row>
    <row r="104" spans="1:9" ht="30" customHeight="1" x14ac:dyDescent="0.3">
      <c r="A104" s="62" t="s">
        <v>326</v>
      </c>
      <c r="B104" s="32"/>
      <c r="C104" s="28"/>
      <c r="D104" s="28"/>
      <c r="E104" s="28"/>
      <c r="F104" s="28"/>
      <c r="G104" s="28"/>
      <c r="H104" s="28"/>
    </row>
    <row r="105" spans="1:9" x14ac:dyDescent="0.25">
      <c r="A105" s="140" t="s">
        <v>129</v>
      </c>
      <c r="B105" s="32"/>
      <c r="C105" s="57">
        <f t="shared" ref="C105:H109" si="13">C36</f>
        <v>0</v>
      </c>
      <c r="D105" s="57">
        <f t="shared" si="13"/>
        <v>0</v>
      </c>
      <c r="E105" s="57">
        <f t="shared" si="13"/>
        <v>0</v>
      </c>
      <c r="F105" s="57">
        <f t="shared" si="13"/>
        <v>0</v>
      </c>
      <c r="G105" s="57">
        <f t="shared" si="13"/>
        <v>0</v>
      </c>
      <c r="H105" s="57">
        <f t="shared" si="13"/>
        <v>0</v>
      </c>
      <c r="I105" s="154" t="s">
        <v>248</v>
      </c>
    </row>
    <row r="106" spans="1:9" x14ac:dyDescent="0.25">
      <c r="A106" s="140" t="s">
        <v>130</v>
      </c>
      <c r="B106" s="32"/>
      <c r="C106" s="57">
        <f t="shared" si="13"/>
        <v>0</v>
      </c>
      <c r="D106" s="57">
        <f t="shared" si="13"/>
        <v>0</v>
      </c>
      <c r="E106" s="57">
        <f t="shared" si="13"/>
        <v>0</v>
      </c>
      <c r="F106" s="57">
        <f t="shared" si="13"/>
        <v>0</v>
      </c>
      <c r="G106" s="57">
        <f t="shared" si="13"/>
        <v>0</v>
      </c>
      <c r="H106" s="57">
        <f t="shared" si="13"/>
        <v>0</v>
      </c>
      <c r="I106" s="154" t="s">
        <v>249</v>
      </c>
    </row>
    <row r="107" spans="1:9" x14ac:dyDescent="0.25">
      <c r="A107" s="140" t="s">
        <v>131</v>
      </c>
      <c r="B107" s="32"/>
      <c r="C107" s="57">
        <f t="shared" si="13"/>
        <v>0</v>
      </c>
      <c r="D107" s="57">
        <f t="shared" si="13"/>
        <v>0</v>
      </c>
      <c r="E107" s="57">
        <f t="shared" si="13"/>
        <v>0</v>
      </c>
      <c r="F107" s="57">
        <f t="shared" si="13"/>
        <v>0</v>
      </c>
      <c r="G107" s="57">
        <f t="shared" si="13"/>
        <v>0</v>
      </c>
      <c r="H107" s="57">
        <f t="shared" si="13"/>
        <v>0</v>
      </c>
      <c r="I107" s="154" t="s">
        <v>250</v>
      </c>
    </row>
    <row r="108" spans="1:9" x14ac:dyDescent="0.25">
      <c r="A108" s="140" t="s">
        <v>132</v>
      </c>
      <c r="B108" s="32"/>
      <c r="C108" s="57">
        <f t="shared" si="13"/>
        <v>0</v>
      </c>
      <c r="D108" s="57">
        <f t="shared" si="13"/>
        <v>0</v>
      </c>
      <c r="E108" s="57">
        <f t="shared" si="13"/>
        <v>0</v>
      </c>
      <c r="F108" s="57">
        <f t="shared" si="13"/>
        <v>0</v>
      </c>
      <c r="G108" s="57">
        <f t="shared" si="13"/>
        <v>0</v>
      </c>
      <c r="H108" s="57">
        <f t="shared" si="13"/>
        <v>0</v>
      </c>
      <c r="I108" s="154" t="s">
        <v>251</v>
      </c>
    </row>
    <row r="109" spans="1:9" x14ac:dyDescent="0.25">
      <c r="A109" s="140" t="s">
        <v>133</v>
      </c>
      <c r="B109" s="32"/>
      <c r="C109" s="57">
        <f t="shared" si="13"/>
        <v>0</v>
      </c>
      <c r="D109" s="57">
        <f t="shared" si="13"/>
        <v>0</v>
      </c>
      <c r="E109" s="57">
        <f t="shared" si="13"/>
        <v>0</v>
      </c>
      <c r="F109" s="57">
        <f t="shared" si="13"/>
        <v>0</v>
      </c>
      <c r="G109" s="57">
        <f t="shared" si="13"/>
        <v>0</v>
      </c>
      <c r="H109" s="57">
        <f t="shared" si="13"/>
        <v>0</v>
      </c>
      <c r="I109" s="154" t="s">
        <v>252</v>
      </c>
    </row>
    <row r="110" spans="1:9" x14ac:dyDescent="0.25">
      <c r="A110" s="145" t="s">
        <v>124</v>
      </c>
      <c r="B110" s="32"/>
      <c r="C110" s="57">
        <f t="shared" ref="C110:H110" si="14">SUM(C105:C109)</f>
        <v>0</v>
      </c>
      <c r="D110" s="57">
        <f t="shared" si="14"/>
        <v>0</v>
      </c>
      <c r="E110" s="57">
        <f t="shared" si="14"/>
        <v>0</v>
      </c>
      <c r="F110" s="57">
        <f t="shared" si="14"/>
        <v>0</v>
      </c>
      <c r="G110" s="57">
        <f t="shared" si="14"/>
        <v>0</v>
      </c>
      <c r="H110" s="57">
        <f t="shared" si="14"/>
        <v>0</v>
      </c>
      <c r="I110" s="154" t="s">
        <v>253</v>
      </c>
    </row>
    <row r="111" spans="1:9" x14ac:dyDescent="0.25">
      <c r="A111" s="81"/>
      <c r="B111" s="32"/>
      <c r="C111" s="57"/>
      <c r="D111" s="57"/>
      <c r="E111" s="57"/>
      <c r="F111" s="57"/>
      <c r="G111" s="57"/>
      <c r="H111" s="57"/>
      <c r="I111" s="155"/>
    </row>
    <row r="112" spans="1:9" x14ac:dyDescent="0.25">
      <c r="A112" s="140" t="s">
        <v>134</v>
      </c>
      <c r="B112" s="32"/>
      <c r="C112" s="57">
        <f t="shared" ref="C112:H118" si="15">C41</f>
        <v>0</v>
      </c>
      <c r="D112" s="57">
        <f t="shared" si="15"/>
        <v>0</v>
      </c>
      <c r="E112" s="57">
        <f t="shared" si="15"/>
        <v>0</v>
      </c>
      <c r="F112" s="57">
        <f t="shared" si="15"/>
        <v>0</v>
      </c>
      <c r="G112" s="57">
        <f t="shared" si="15"/>
        <v>0</v>
      </c>
      <c r="H112" s="57">
        <f t="shared" si="15"/>
        <v>0</v>
      </c>
      <c r="I112" s="154" t="s">
        <v>254</v>
      </c>
    </row>
    <row r="113" spans="1:9" x14ac:dyDescent="0.25">
      <c r="A113" s="140" t="s">
        <v>135</v>
      </c>
      <c r="B113" s="32"/>
      <c r="C113" s="57">
        <f t="shared" si="15"/>
        <v>0</v>
      </c>
      <c r="D113" s="57">
        <f t="shared" si="15"/>
        <v>0</v>
      </c>
      <c r="E113" s="57">
        <f t="shared" si="15"/>
        <v>0</v>
      </c>
      <c r="F113" s="57">
        <f t="shared" si="15"/>
        <v>0</v>
      </c>
      <c r="G113" s="57">
        <f t="shared" si="15"/>
        <v>0</v>
      </c>
      <c r="H113" s="57">
        <f t="shared" si="15"/>
        <v>0</v>
      </c>
      <c r="I113" s="154" t="s">
        <v>255</v>
      </c>
    </row>
    <row r="114" spans="1:9" x14ac:dyDescent="0.25">
      <c r="A114" s="140" t="s">
        <v>136</v>
      </c>
      <c r="B114" s="32"/>
      <c r="C114" s="57">
        <f t="shared" si="15"/>
        <v>0</v>
      </c>
      <c r="D114" s="57">
        <f t="shared" si="15"/>
        <v>0</v>
      </c>
      <c r="E114" s="57">
        <f t="shared" si="15"/>
        <v>0</v>
      </c>
      <c r="F114" s="57">
        <f t="shared" si="15"/>
        <v>0</v>
      </c>
      <c r="G114" s="57">
        <f t="shared" si="15"/>
        <v>0</v>
      </c>
      <c r="H114" s="57">
        <f t="shared" si="15"/>
        <v>0</v>
      </c>
      <c r="I114" s="154" t="s">
        <v>256</v>
      </c>
    </row>
    <row r="115" spans="1:9" x14ac:dyDescent="0.25">
      <c r="A115" s="140" t="s">
        <v>137</v>
      </c>
      <c r="B115" s="32"/>
      <c r="C115" s="57">
        <f t="shared" si="15"/>
        <v>0</v>
      </c>
      <c r="D115" s="57">
        <f t="shared" si="15"/>
        <v>0</v>
      </c>
      <c r="E115" s="57">
        <f t="shared" si="15"/>
        <v>0</v>
      </c>
      <c r="F115" s="57">
        <f t="shared" si="15"/>
        <v>0</v>
      </c>
      <c r="G115" s="57">
        <f t="shared" si="15"/>
        <v>0</v>
      </c>
      <c r="H115" s="57">
        <f t="shared" si="15"/>
        <v>0</v>
      </c>
      <c r="I115" s="154" t="s">
        <v>257</v>
      </c>
    </row>
    <row r="116" spans="1:9" x14ac:dyDescent="0.25">
      <c r="A116" s="140" t="s">
        <v>138</v>
      </c>
      <c r="B116" s="32"/>
      <c r="C116" s="57">
        <f t="shared" si="15"/>
        <v>0</v>
      </c>
      <c r="D116" s="57">
        <f t="shared" si="15"/>
        <v>0</v>
      </c>
      <c r="E116" s="57">
        <f t="shared" si="15"/>
        <v>0</v>
      </c>
      <c r="F116" s="57">
        <f t="shared" si="15"/>
        <v>0</v>
      </c>
      <c r="G116" s="57">
        <f t="shared" si="15"/>
        <v>0</v>
      </c>
      <c r="H116" s="57">
        <f t="shared" si="15"/>
        <v>0</v>
      </c>
      <c r="I116" s="154" t="s">
        <v>258</v>
      </c>
    </row>
    <row r="117" spans="1:9" x14ac:dyDescent="0.25">
      <c r="A117" s="140" t="s">
        <v>139</v>
      </c>
      <c r="B117" s="32"/>
      <c r="C117" s="57">
        <f t="shared" si="15"/>
        <v>0</v>
      </c>
      <c r="D117" s="57">
        <f t="shared" si="15"/>
        <v>0</v>
      </c>
      <c r="E117" s="57">
        <f t="shared" si="15"/>
        <v>0</v>
      </c>
      <c r="F117" s="57">
        <f t="shared" si="15"/>
        <v>0</v>
      </c>
      <c r="G117" s="57">
        <f t="shared" si="15"/>
        <v>0</v>
      </c>
      <c r="H117" s="57">
        <f t="shared" si="15"/>
        <v>0</v>
      </c>
      <c r="I117" s="154" t="s">
        <v>259</v>
      </c>
    </row>
    <row r="118" spans="1:9" x14ac:dyDescent="0.25">
      <c r="A118" s="140" t="s">
        <v>140</v>
      </c>
      <c r="B118" s="32"/>
      <c r="C118" s="57">
        <f t="shared" si="15"/>
        <v>0</v>
      </c>
      <c r="D118" s="57">
        <f t="shared" si="15"/>
        <v>0</v>
      </c>
      <c r="E118" s="57">
        <f t="shared" si="15"/>
        <v>0</v>
      </c>
      <c r="F118" s="57">
        <f t="shared" si="15"/>
        <v>0</v>
      </c>
      <c r="G118" s="57">
        <f t="shared" si="15"/>
        <v>0</v>
      </c>
      <c r="H118" s="57">
        <f t="shared" si="15"/>
        <v>0</v>
      </c>
      <c r="I118" s="154" t="s">
        <v>260</v>
      </c>
    </row>
    <row r="119" spans="1:9" x14ac:dyDescent="0.25">
      <c r="A119" s="145" t="s">
        <v>125</v>
      </c>
      <c r="B119" s="32"/>
      <c r="C119" s="57">
        <f t="shared" ref="C119:H119" si="16">SUM(C112:C118)</f>
        <v>0</v>
      </c>
      <c r="D119" s="57">
        <f t="shared" si="16"/>
        <v>0</v>
      </c>
      <c r="E119" s="57">
        <f t="shared" si="16"/>
        <v>0</v>
      </c>
      <c r="F119" s="57">
        <f t="shared" si="16"/>
        <v>0</v>
      </c>
      <c r="G119" s="57">
        <f t="shared" si="16"/>
        <v>0</v>
      </c>
      <c r="H119" s="57">
        <f t="shared" si="16"/>
        <v>0</v>
      </c>
      <c r="I119" s="154" t="s">
        <v>261</v>
      </c>
    </row>
    <row r="120" spans="1:9" ht="30" customHeight="1" x14ac:dyDescent="0.3">
      <c r="A120" s="62" t="s">
        <v>101</v>
      </c>
      <c r="B120" s="4"/>
      <c r="C120" s="28" t="s">
        <v>22</v>
      </c>
      <c r="D120" s="28" t="s">
        <v>23</v>
      </c>
      <c r="E120" s="28" t="s">
        <v>24</v>
      </c>
      <c r="F120" s="28" t="s">
        <v>25</v>
      </c>
      <c r="G120" s="28" t="s">
        <v>26</v>
      </c>
      <c r="H120" s="28" t="s">
        <v>27</v>
      </c>
      <c r="I120" s="28" t="s">
        <v>291</v>
      </c>
    </row>
    <row r="121" spans="1:9" x14ac:dyDescent="0.25">
      <c r="A121" s="140" t="s">
        <v>71</v>
      </c>
      <c r="B121" s="32"/>
      <c r="C121" s="57">
        <f t="shared" ref="C121:H124" si="17">C21</f>
        <v>0</v>
      </c>
      <c r="D121" s="57">
        <f t="shared" si="17"/>
        <v>1436422.43212</v>
      </c>
      <c r="E121" s="57">
        <f t="shared" si="17"/>
        <v>1498172.2072048993</v>
      </c>
      <c r="F121" s="57">
        <f t="shared" si="17"/>
        <v>1616063.5001622848</v>
      </c>
      <c r="G121" s="57">
        <f t="shared" si="17"/>
        <v>1638092.8953368003</v>
      </c>
      <c r="H121" s="57">
        <f t="shared" si="17"/>
        <v>1761319.8522549374</v>
      </c>
      <c r="I121" s="154" t="s">
        <v>262</v>
      </c>
    </row>
    <row r="122" spans="1:9" x14ac:dyDescent="0.25">
      <c r="A122" s="144" t="s">
        <v>398</v>
      </c>
      <c r="B122" s="32"/>
      <c r="C122" s="57">
        <f t="shared" si="17"/>
        <v>0</v>
      </c>
      <c r="D122" s="57">
        <f t="shared" si="17"/>
        <v>0</v>
      </c>
      <c r="E122" s="57">
        <f t="shared" si="17"/>
        <v>0</v>
      </c>
      <c r="F122" s="57">
        <f t="shared" si="17"/>
        <v>0</v>
      </c>
      <c r="G122" s="57">
        <f t="shared" si="17"/>
        <v>0</v>
      </c>
      <c r="H122" s="57">
        <f t="shared" si="17"/>
        <v>47345.166550750815</v>
      </c>
      <c r="I122" s="155"/>
    </row>
    <row r="123" spans="1:9" x14ac:dyDescent="0.25">
      <c r="A123" s="140" t="s">
        <v>72</v>
      </c>
      <c r="B123" s="32"/>
      <c r="C123" s="57">
        <f t="shared" si="17"/>
        <v>0</v>
      </c>
      <c r="D123" s="57">
        <f t="shared" si="17"/>
        <v>-17159.38749973787</v>
      </c>
      <c r="E123" s="57">
        <f t="shared" si="17"/>
        <v>-16957.487485992002</v>
      </c>
      <c r="F123" s="57">
        <f t="shared" si="17"/>
        <v>-14022.281071722276</v>
      </c>
      <c r="G123" s="57">
        <f t="shared" si="17"/>
        <v>-21375.117417715508</v>
      </c>
      <c r="H123" s="57">
        <f t="shared" si="17"/>
        <v>-21716.842660153208</v>
      </c>
      <c r="I123" s="154" t="s">
        <v>263</v>
      </c>
    </row>
    <row r="124" spans="1:9" x14ac:dyDescent="0.25">
      <c r="A124" s="140" t="s">
        <v>73</v>
      </c>
      <c r="B124" s="32"/>
      <c r="C124" s="57">
        <f t="shared" si="17"/>
        <v>0</v>
      </c>
      <c r="D124" s="57">
        <f t="shared" si="17"/>
        <v>17065.457750000001</v>
      </c>
      <c r="E124" s="57">
        <f t="shared" si="17"/>
        <v>13690.733043900002</v>
      </c>
      <c r="F124" s="57">
        <f t="shared" si="17"/>
        <v>15587.820707826088</v>
      </c>
      <c r="G124" s="57">
        <f t="shared" si="17"/>
        <v>11281.340220434784</v>
      </c>
      <c r="H124" s="57">
        <f t="shared" si="17"/>
        <v>7710.8289449999993</v>
      </c>
      <c r="I124" s="154" t="s">
        <v>264</v>
      </c>
    </row>
    <row r="125" spans="1:9" x14ac:dyDescent="0.25">
      <c r="A125" s="145" t="s">
        <v>88</v>
      </c>
      <c r="B125" s="32"/>
      <c r="C125" s="57"/>
      <c r="D125" s="57"/>
      <c r="E125" s="57"/>
      <c r="F125" s="57"/>
      <c r="G125" s="57"/>
      <c r="H125" s="57"/>
      <c r="I125" s="154" t="s">
        <v>265</v>
      </c>
    </row>
    <row r="126" spans="1:9" x14ac:dyDescent="0.25">
      <c r="A126" s="140" t="s">
        <v>74</v>
      </c>
      <c r="B126" s="32"/>
      <c r="C126" s="57">
        <f t="shared" ref="C126:H126" si="18">C25</f>
        <v>0</v>
      </c>
      <c r="D126" s="57">
        <f t="shared" si="18"/>
        <v>289033.17589000001</v>
      </c>
      <c r="E126" s="57">
        <f t="shared" si="18"/>
        <v>315191.54201403877</v>
      </c>
      <c r="F126" s="57">
        <f t="shared" si="18"/>
        <v>323027.13125599857</v>
      </c>
      <c r="G126" s="57">
        <f t="shared" si="18"/>
        <v>351243.90413086204</v>
      </c>
      <c r="H126" s="57">
        <f t="shared" si="18"/>
        <v>351314.87059046159</v>
      </c>
      <c r="I126" s="154" t="s">
        <v>266</v>
      </c>
    </row>
    <row r="127" spans="1:9" x14ac:dyDescent="0.25">
      <c r="A127" s="140" t="s">
        <v>123</v>
      </c>
      <c r="B127" s="32"/>
      <c r="C127" s="57">
        <f t="shared" ref="C127:H127" si="19">C103</f>
        <v>0</v>
      </c>
      <c r="D127" s="57">
        <f t="shared" si="19"/>
        <v>391019.93420999998</v>
      </c>
      <c r="E127" s="57">
        <f t="shared" si="19"/>
        <v>407495.12934808613</v>
      </c>
      <c r="F127" s="57">
        <f t="shared" si="19"/>
        <v>490997.81635365216</v>
      </c>
      <c r="G127" s="57">
        <f t="shared" si="19"/>
        <v>511597.89529800002</v>
      </c>
      <c r="H127" s="57">
        <f t="shared" si="19"/>
        <v>584826.70476981159</v>
      </c>
      <c r="I127" s="154" t="s">
        <v>267</v>
      </c>
    </row>
    <row r="128" spans="1:9" x14ac:dyDescent="0.25">
      <c r="A128" s="145" t="s">
        <v>62</v>
      </c>
      <c r="B128" s="32"/>
      <c r="C128" s="57">
        <f t="shared" ref="C128:H128" si="20">SUM(C121:C124)-C126-C127</f>
        <v>0</v>
      </c>
      <c r="D128" s="57">
        <f t="shared" si="20"/>
        <v>756275.39227026224</v>
      </c>
      <c r="E128" s="57">
        <f t="shared" si="20"/>
        <v>772218.7814006824</v>
      </c>
      <c r="F128" s="57">
        <f t="shared" si="20"/>
        <v>803604.09218873805</v>
      </c>
      <c r="G128" s="57">
        <f t="shared" si="20"/>
        <v>765157.31871065754</v>
      </c>
      <c r="H128" s="57">
        <f t="shared" si="20"/>
        <v>858517.42973026168</v>
      </c>
      <c r="I128" s="154" t="s">
        <v>268</v>
      </c>
    </row>
    <row r="129" spans="1:9" x14ac:dyDescent="0.25">
      <c r="A129" s="140" t="s">
        <v>44</v>
      </c>
      <c r="B129" s="32"/>
      <c r="C129" s="57">
        <f t="shared" ref="C129:H130" si="21">C73</f>
        <v>241934.9992391202</v>
      </c>
      <c r="D129" s="57">
        <f t="shared" si="21"/>
        <v>249184.79825379152</v>
      </c>
      <c r="E129" s="57">
        <f t="shared" si="21"/>
        <v>262635.21001464606</v>
      </c>
      <c r="F129" s="57">
        <f t="shared" si="21"/>
        <v>259817.7441649067</v>
      </c>
      <c r="G129" s="57">
        <f t="shared" si="21"/>
        <v>272300.44722101337</v>
      </c>
      <c r="H129" s="57">
        <f t="shared" si="21"/>
        <v>271453.78359519353</v>
      </c>
      <c r="I129" s="154" t="s">
        <v>269</v>
      </c>
    </row>
    <row r="130" spans="1:9" x14ac:dyDescent="0.25">
      <c r="A130" s="140" t="s">
        <v>43</v>
      </c>
      <c r="B130" s="32"/>
      <c r="C130" s="57">
        <f t="shared" si="21"/>
        <v>122516.40129977374</v>
      </c>
      <c r="D130" s="57">
        <f t="shared" si="21"/>
        <v>149515.59365835579</v>
      </c>
      <c r="E130" s="57">
        <f t="shared" si="21"/>
        <v>100365.20621952781</v>
      </c>
      <c r="F130" s="57">
        <f t="shared" si="21"/>
        <v>55871.639122972279</v>
      </c>
      <c r="G130" s="57">
        <f t="shared" si="21"/>
        <v>101825.46098452678</v>
      </c>
      <c r="H130" s="57">
        <f t="shared" si="21"/>
        <v>5785.129321744681</v>
      </c>
      <c r="I130" s="154" t="s">
        <v>270</v>
      </c>
    </row>
    <row r="131" spans="1:9" x14ac:dyDescent="0.25">
      <c r="A131" s="145" t="s">
        <v>89</v>
      </c>
      <c r="B131" s="32"/>
      <c r="C131" s="57">
        <f t="shared" ref="C131:H131" si="22">C128-C129+C130</f>
        <v>-119418.59793934645</v>
      </c>
      <c r="D131" s="57">
        <f t="shared" si="22"/>
        <v>656606.18767482648</v>
      </c>
      <c r="E131" s="57">
        <f t="shared" si="22"/>
        <v>609948.7776055641</v>
      </c>
      <c r="F131" s="57">
        <f t="shared" si="22"/>
        <v>599657.98714680364</v>
      </c>
      <c r="G131" s="57">
        <f>G128-G129+G130</f>
        <v>594682.33247417095</v>
      </c>
      <c r="H131" s="57">
        <f t="shared" si="22"/>
        <v>592848.77545681281</v>
      </c>
      <c r="I131" s="154" t="s">
        <v>271</v>
      </c>
    </row>
    <row r="132" spans="1:9" ht="30" customHeight="1" x14ac:dyDescent="0.3">
      <c r="A132" s="62" t="s">
        <v>45</v>
      </c>
      <c r="B132" s="4"/>
      <c r="C132" s="28"/>
      <c r="D132" s="28" t="s">
        <v>23</v>
      </c>
      <c r="E132" s="28" t="s">
        <v>24</v>
      </c>
      <c r="F132" s="28" t="s">
        <v>25</v>
      </c>
      <c r="G132" s="28" t="s">
        <v>26</v>
      </c>
      <c r="H132" s="28" t="s">
        <v>27</v>
      </c>
      <c r="I132" s="28" t="s">
        <v>291</v>
      </c>
    </row>
    <row r="133" spans="1:9" x14ac:dyDescent="0.25">
      <c r="A133" s="140" t="s">
        <v>67</v>
      </c>
      <c r="B133" s="32"/>
      <c r="C133" s="78"/>
      <c r="D133" s="78">
        <f>$C$14</f>
        <v>0.44</v>
      </c>
      <c r="E133" s="78">
        <f>$C$14</f>
        <v>0.44</v>
      </c>
      <c r="F133" s="78">
        <f>$C$14</f>
        <v>0.44</v>
      </c>
      <c r="G133" s="78">
        <f>$C$14</f>
        <v>0.44</v>
      </c>
      <c r="H133" s="78">
        <f>$C$14</f>
        <v>0.44</v>
      </c>
      <c r="I133" s="154" t="s">
        <v>272</v>
      </c>
    </row>
    <row r="134" spans="1:9" x14ac:dyDescent="0.25">
      <c r="A134" s="140" t="s">
        <v>68</v>
      </c>
      <c r="B134" s="32"/>
      <c r="C134" s="112"/>
      <c r="D134" s="97">
        <f t="shared" ref="D134:H135" si="23">D15</f>
        <v>7.5499999999999998E-2</v>
      </c>
      <c r="E134" s="97">
        <f t="shared" si="23"/>
        <v>6.7100000000000007E-2</v>
      </c>
      <c r="F134" s="97">
        <f t="shared" si="23"/>
        <v>6.3100000000000003E-2</v>
      </c>
      <c r="G134" s="97">
        <f t="shared" si="23"/>
        <v>5.5599999999999997E-2</v>
      </c>
      <c r="H134" s="97">
        <f t="shared" si="23"/>
        <v>6.3600000000000004E-2</v>
      </c>
      <c r="I134" s="154" t="s">
        <v>273</v>
      </c>
    </row>
    <row r="135" spans="1:9" x14ac:dyDescent="0.25">
      <c r="A135" s="140" t="s">
        <v>69</v>
      </c>
      <c r="B135" s="32"/>
      <c r="C135" s="108"/>
      <c r="D135" s="108">
        <f t="shared" si="23"/>
        <v>0.3</v>
      </c>
      <c r="E135" s="108">
        <f t="shared" si="23"/>
        <v>0.28000000000000003</v>
      </c>
      <c r="F135" s="108">
        <f t="shared" si="23"/>
        <v>0.28000000000000003</v>
      </c>
      <c r="G135" s="108">
        <f t="shared" si="23"/>
        <v>0.28000000000000003</v>
      </c>
      <c r="H135" s="108">
        <f t="shared" si="23"/>
        <v>0.28000000000000003</v>
      </c>
      <c r="I135" s="154" t="s">
        <v>274</v>
      </c>
    </row>
    <row r="136" spans="1:9" x14ac:dyDescent="0.25">
      <c r="A136" s="140" t="s">
        <v>90</v>
      </c>
      <c r="B136" s="32"/>
      <c r="C136" s="64"/>
      <c r="D136" s="64">
        <f>D131</f>
        <v>656606.18767482648</v>
      </c>
      <c r="E136" s="64">
        <f>E131</f>
        <v>609948.7776055641</v>
      </c>
      <c r="F136" s="64">
        <f>F131</f>
        <v>599657.98714680364</v>
      </c>
      <c r="G136" s="64">
        <f>G131</f>
        <v>594682.33247417095</v>
      </c>
      <c r="H136" s="64">
        <f>H131</f>
        <v>592848.77545681281</v>
      </c>
      <c r="I136" s="154" t="s">
        <v>275</v>
      </c>
    </row>
    <row r="137" spans="1:9" x14ac:dyDescent="0.25">
      <c r="A137" s="140" t="s">
        <v>91</v>
      </c>
      <c r="B137" s="32"/>
      <c r="C137" s="64"/>
      <c r="D137" s="64">
        <f t="shared" ref="D137:H140" si="24">D63</f>
        <v>9761.2934402915434</v>
      </c>
      <c r="E137" s="64">
        <f t="shared" si="24"/>
        <v>10082.83170629714</v>
      </c>
      <c r="F137" s="64">
        <f t="shared" si="24"/>
        <v>10115.965</v>
      </c>
      <c r="G137" s="64">
        <f t="shared" si="24"/>
        <v>10552.932005999999</v>
      </c>
      <c r="H137" s="64">
        <f t="shared" si="24"/>
        <v>10813</v>
      </c>
      <c r="I137" s="154" t="s">
        <v>276</v>
      </c>
    </row>
    <row r="138" spans="1:9" x14ac:dyDescent="0.25">
      <c r="A138" s="140" t="s">
        <v>92</v>
      </c>
      <c r="B138" s="32"/>
      <c r="C138" s="64"/>
      <c r="D138" s="64">
        <f t="shared" si="24"/>
        <v>4014.3310522451511</v>
      </c>
      <c r="E138" s="64">
        <f t="shared" si="24"/>
        <v>4146.5636353148784</v>
      </c>
      <c r="F138" s="64">
        <f t="shared" si="24"/>
        <v>5711.7035872999995</v>
      </c>
      <c r="G138" s="64">
        <f t="shared" si="24"/>
        <v>6039.2842115050635</v>
      </c>
      <c r="H138" s="64">
        <f t="shared" si="24"/>
        <v>1250.4364325653671</v>
      </c>
      <c r="I138" s="154" t="s">
        <v>277</v>
      </c>
    </row>
    <row r="139" spans="1:9" x14ac:dyDescent="0.25">
      <c r="A139" s="140" t="s">
        <v>93</v>
      </c>
      <c r="B139" s="32"/>
      <c r="C139" s="64"/>
      <c r="D139" s="64">
        <f t="shared" si="24"/>
        <v>88741.917679977021</v>
      </c>
      <c r="E139" s="64">
        <f t="shared" si="24"/>
        <v>88486.845516672576</v>
      </c>
      <c r="F139" s="64">
        <f t="shared" si="24"/>
        <v>87952.241985921864</v>
      </c>
      <c r="G139" s="64">
        <f t="shared" si="24"/>
        <v>86575.787273680355</v>
      </c>
      <c r="H139" s="64">
        <f t="shared" si="24"/>
        <v>84715.259737370812</v>
      </c>
      <c r="I139" s="154" t="s">
        <v>278</v>
      </c>
    </row>
    <row r="140" spans="1:9" x14ac:dyDescent="0.25">
      <c r="A140" s="140" t="s">
        <v>94</v>
      </c>
      <c r="B140" s="32"/>
      <c r="C140" s="64"/>
      <c r="D140" s="64">
        <f t="shared" si="24"/>
        <v>15774.179189287435</v>
      </c>
      <c r="E140" s="64">
        <f t="shared" si="24"/>
        <v>16293.782688066545</v>
      </c>
      <c r="F140" s="64">
        <f t="shared" si="24"/>
        <v>14176.144553895556</v>
      </c>
      <c r="G140" s="64">
        <f t="shared" si="24"/>
        <v>17091.564073665686</v>
      </c>
      <c r="H140" s="64">
        <f t="shared" si="24"/>
        <v>19349.836842703582</v>
      </c>
      <c r="I140" s="154" t="s">
        <v>279</v>
      </c>
    </row>
    <row r="141" spans="1:9" x14ac:dyDescent="0.25">
      <c r="A141" s="144" t="s">
        <v>77</v>
      </c>
      <c r="B141" s="32"/>
      <c r="C141" s="64"/>
      <c r="D141" s="64">
        <f>D130</f>
        <v>149515.59365835579</v>
      </c>
      <c r="E141" s="64">
        <f>E130</f>
        <v>100365.20621952781</v>
      </c>
      <c r="F141" s="64">
        <f>F130</f>
        <v>55871.639122972279</v>
      </c>
      <c r="G141" s="64">
        <f>G130</f>
        <v>101825.46098452678</v>
      </c>
      <c r="H141" s="64">
        <f>H130</f>
        <v>5785.129321744681</v>
      </c>
      <c r="I141" s="154" t="s">
        <v>280</v>
      </c>
    </row>
    <row r="142" spans="1:9" x14ac:dyDescent="0.25">
      <c r="A142" s="140" t="s">
        <v>95</v>
      </c>
      <c r="B142" s="32"/>
      <c r="C142" s="64"/>
      <c r="D142" s="64">
        <f t="shared" ref="D142:H144" si="25">D67</f>
        <v>0</v>
      </c>
      <c r="E142" s="64">
        <f t="shared" si="25"/>
        <v>2047</v>
      </c>
      <c r="F142" s="64">
        <f t="shared" si="25"/>
        <v>14</v>
      </c>
      <c r="G142" s="64">
        <f t="shared" si="25"/>
        <v>2369</v>
      </c>
      <c r="H142" s="64">
        <f t="shared" si="25"/>
        <v>1.8090544993210675</v>
      </c>
      <c r="I142" s="154" t="s">
        <v>281</v>
      </c>
    </row>
    <row r="143" spans="1:9" x14ac:dyDescent="0.25">
      <c r="A143" s="140" t="s">
        <v>96</v>
      </c>
      <c r="B143" s="32"/>
      <c r="C143" s="64"/>
      <c r="D143" s="64">
        <f t="shared" si="25"/>
        <v>14029.184443652706</v>
      </c>
      <c r="E143" s="64">
        <f t="shared" si="25"/>
        <v>14491.307590249771</v>
      </c>
      <c r="F143" s="64">
        <f t="shared" si="25"/>
        <v>14437</v>
      </c>
      <c r="G143" s="64">
        <f t="shared" si="25"/>
        <v>15145.28097</v>
      </c>
      <c r="H143" s="64">
        <f t="shared" si="25"/>
        <v>15668.785339999999</v>
      </c>
      <c r="I143" s="154" t="s">
        <v>282</v>
      </c>
    </row>
    <row r="144" spans="1:9" x14ac:dyDescent="0.25">
      <c r="A144" s="140" t="s">
        <v>97</v>
      </c>
      <c r="B144" s="32"/>
      <c r="C144" s="64"/>
      <c r="D144" s="64">
        <f t="shared" si="25"/>
        <v>3682.6030736586686</v>
      </c>
      <c r="E144" s="64">
        <f t="shared" si="25"/>
        <v>3803.9084942910931</v>
      </c>
      <c r="F144" s="64">
        <f t="shared" si="25"/>
        <v>4842.6081877814595</v>
      </c>
      <c r="G144" s="64">
        <f t="shared" si="25"/>
        <v>7083.4393809769454</v>
      </c>
      <c r="H144" s="64">
        <f t="shared" si="25"/>
        <v>1.256</v>
      </c>
      <c r="I144" s="154" t="s">
        <v>283</v>
      </c>
    </row>
    <row r="145" spans="1:9" x14ac:dyDescent="0.25">
      <c r="A145" s="140" t="s">
        <v>98</v>
      </c>
      <c r="B145" s="64"/>
      <c r="C145" s="64"/>
      <c r="D145" s="64">
        <f>(D133*D134*(D72+D82)+D56)/(IF($B$17,SQRT(1+D134),1))</f>
        <v>198713.1364459453</v>
      </c>
      <c r="E145" s="64">
        <f>(E133*E134*(E72+E82)+E56)/(IF($B$17,SQRT(1+E134),1))</f>
        <v>182702.7216155965</v>
      </c>
      <c r="F145" s="64">
        <f>(F133*F134*(F72+F82)+F56)/(IF($B$17,SQRT(1+F134),1))</f>
        <v>173671.07138715443</v>
      </c>
      <c r="G145" s="64">
        <f>(G133*G134*(G72+G82)+G56)/(IF($B$17,SQRT(1+G134),1))</f>
        <v>157036.62035727754</v>
      </c>
      <c r="H145" s="64">
        <f>(H133*H134*(H72+H82)+H56)/(IF($B$17,SQRT(1+H134),1))</f>
        <v>184799.53291706828</v>
      </c>
      <c r="I145" s="154" t="s">
        <v>284</v>
      </c>
    </row>
    <row r="146" spans="1:9" x14ac:dyDescent="0.25">
      <c r="A146" s="140" t="s">
        <v>99</v>
      </c>
      <c r="B146" s="32"/>
      <c r="C146" s="64"/>
      <c r="D146" s="64">
        <f>D136+SUM(D137:D140)-SUM(D141:D145)</f>
        <v>408957.39141501515</v>
      </c>
      <c r="E146" s="64">
        <f>E136+SUM(E137:E140)-SUM(E141:E145)</f>
        <v>425548.65723225003</v>
      </c>
      <c r="F146" s="64">
        <f>F136+SUM(F137:F140)-SUM(F141:F145)</f>
        <v>468777.72357601288</v>
      </c>
      <c r="G146" s="64">
        <f>G136+SUM(G137:G140)-SUM(G141:G145)</f>
        <v>431482.09834624082</v>
      </c>
      <c r="H146" s="64">
        <f>H136+SUM(H137:H140)-SUM(H141:H145)</f>
        <v>502720.79583614029</v>
      </c>
      <c r="I146" s="154" t="s">
        <v>285</v>
      </c>
    </row>
    <row r="147" spans="1:9" x14ac:dyDescent="0.25">
      <c r="A147" s="140" t="s">
        <v>45</v>
      </c>
      <c r="B147" s="32"/>
      <c r="C147" s="82"/>
      <c r="D147" s="57">
        <f>IF(D146&gt;0,D146*D135,0)</f>
        <v>122687.21742450455</v>
      </c>
      <c r="E147" s="57">
        <f>IF(E146&gt;0,E146*E135,0)</f>
        <v>119153.62402503002</v>
      </c>
      <c r="F147" s="57">
        <f>IF(F146&gt;0,F146*F135,0)</f>
        <v>131257.76260128361</v>
      </c>
      <c r="G147" s="57">
        <f>IF(G146&gt;0,G146*G135,0)</f>
        <v>120814.98753694745</v>
      </c>
      <c r="H147" s="57">
        <f>IF(H146&gt;0,H146*H135,0)</f>
        <v>140761.82283411929</v>
      </c>
      <c r="I147" s="154" t="s">
        <v>286</v>
      </c>
    </row>
    <row r="148" spans="1:9" ht="30" customHeight="1" x14ac:dyDescent="0.3">
      <c r="A148" s="62" t="s">
        <v>61</v>
      </c>
      <c r="B148" s="4"/>
      <c r="C148" s="28" t="s">
        <v>22</v>
      </c>
      <c r="D148" s="28" t="s">
        <v>23</v>
      </c>
      <c r="E148" s="28" t="s">
        <v>24</v>
      </c>
      <c r="F148" s="28" t="s">
        <v>25</v>
      </c>
      <c r="G148" s="28" t="s">
        <v>26</v>
      </c>
      <c r="H148" s="28" t="s">
        <v>27</v>
      </c>
      <c r="I148" s="28" t="s">
        <v>291</v>
      </c>
    </row>
    <row r="149" spans="1:9" x14ac:dyDescent="0.25">
      <c r="A149" s="140" t="s">
        <v>60</v>
      </c>
      <c r="B149" s="32"/>
      <c r="C149" s="57">
        <f t="shared" ref="C149:H149" si="26">C72</f>
        <v>6010082.4646555651</v>
      </c>
      <c r="D149" s="57">
        <f t="shared" si="26"/>
        <v>6207207.0663435785</v>
      </c>
      <c r="E149" s="57">
        <f t="shared" si="26"/>
        <v>6433035.8849549452</v>
      </c>
      <c r="F149" s="57">
        <f t="shared" si="26"/>
        <v>6527539.9890172137</v>
      </c>
      <c r="G149" s="57">
        <f t="shared" si="26"/>
        <v>6678706.8921983512</v>
      </c>
      <c r="H149" s="57">
        <f t="shared" si="26"/>
        <v>6927277.4611010551</v>
      </c>
      <c r="I149" s="156" t="s">
        <v>287</v>
      </c>
    </row>
    <row r="150" spans="1:9" x14ac:dyDescent="0.25">
      <c r="A150" s="140" t="s">
        <v>49</v>
      </c>
      <c r="B150" s="32"/>
      <c r="C150" s="57">
        <f t="shared" ref="C150:H150" si="27">C82</f>
        <v>-484</v>
      </c>
      <c r="D150" s="57">
        <f t="shared" si="27"/>
        <v>-25963.696707159179</v>
      </c>
      <c r="E150" s="57">
        <f t="shared" si="27"/>
        <v>-57618.348185575051</v>
      </c>
      <c r="F150" s="57">
        <f t="shared" si="27"/>
        <v>-96097.208096254559</v>
      </c>
      <c r="G150" s="57">
        <f t="shared" si="27"/>
        <v>-127896.05058870178</v>
      </c>
      <c r="H150" s="57">
        <f t="shared" si="27"/>
        <v>-155392.13659312847</v>
      </c>
      <c r="I150" s="156" t="s">
        <v>288</v>
      </c>
    </row>
    <row r="151" spans="1:9" ht="15" customHeight="1" x14ac:dyDescent="0.25">
      <c r="A151" s="140" t="s">
        <v>61</v>
      </c>
      <c r="B151" s="32"/>
      <c r="C151" s="57">
        <f t="shared" ref="C151:H151" si="28">C149+C150</f>
        <v>6009598.4646555651</v>
      </c>
      <c r="D151" s="57">
        <f t="shared" si="28"/>
        <v>6181243.3696364192</v>
      </c>
      <c r="E151" s="57">
        <f t="shared" si="28"/>
        <v>6375417.5367693705</v>
      </c>
      <c r="F151" s="57">
        <f t="shared" si="28"/>
        <v>6431442.7809209591</v>
      </c>
      <c r="G151" s="57">
        <f t="shared" si="28"/>
        <v>6550810.8416096494</v>
      </c>
      <c r="H151" s="57">
        <f t="shared" si="28"/>
        <v>6771885.3245079266</v>
      </c>
      <c r="I151" s="156" t="s">
        <v>289</v>
      </c>
    </row>
    <row r="152" spans="1:9" ht="15" customHeight="1" x14ac:dyDescent="0.25">
      <c r="A152" s="140" t="s">
        <v>324</v>
      </c>
      <c r="B152" s="32"/>
      <c r="C152" s="57">
        <f t="shared" ref="C152:H152" si="29">-C151</f>
        <v>-6009598.4646555651</v>
      </c>
      <c r="D152" s="57">
        <f t="shared" si="29"/>
        <v>-6181243.3696364192</v>
      </c>
      <c r="E152" s="57">
        <f t="shared" si="29"/>
        <v>-6375417.5367693705</v>
      </c>
      <c r="F152" s="57">
        <f t="shared" si="29"/>
        <v>-6431442.7809209591</v>
      </c>
      <c r="G152" s="57">
        <f t="shared" si="29"/>
        <v>-6550810.8416096494</v>
      </c>
      <c r="H152" s="57">
        <f t="shared" si="29"/>
        <v>-6771885.3245079266</v>
      </c>
      <c r="I152" s="156" t="s">
        <v>290</v>
      </c>
    </row>
    <row r="153" spans="1:9" ht="30" customHeight="1" x14ac:dyDescent="0.3">
      <c r="A153" s="62" t="s">
        <v>70</v>
      </c>
      <c r="B153" s="32"/>
      <c r="C153" s="28"/>
      <c r="D153" s="28" t="s">
        <v>23</v>
      </c>
      <c r="E153" s="28" t="s">
        <v>24</v>
      </c>
      <c r="F153" s="28" t="s">
        <v>25</v>
      </c>
      <c r="G153" s="28" t="s">
        <v>26</v>
      </c>
      <c r="H153" s="28" t="s">
        <v>27</v>
      </c>
      <c r="I153" s="28" t="s">
        <v>291</v>
      </c>
    </row>
    <row r="154" spans="1:9" x14ac:dyDescent="0.25">
      <c r="A154" s="140" t="s">
        <v>64</v>
      </c>
      <c r="B154" s="32"/>
      <c r="C154" s="57"/>
      <c r="D154" s="57">
        <f>D80</f>
        <v>6433035.8849549452</v>
      </c>
      <c r="E154" s="57">
        <f>E80</f>
        <v>6527539.9890172137</v>
      </c>
      <c r="F154" s="57">
        <f>F80</f>
        <v>6678706.8921983512</v>
      </c>
      <c r="G154" s="57">
        <f>G80</f>
        <v>6927277.4611010551</v>
      </c>
      <c r="H154" s="57">
        <f>H80</f>
        <v>7124380.0401084758</v>
      </c>
      <c r="I154" s="156" t="s">
        <v>298</v>
      </c>
    </row>
    <row r="155" spans="1:9" x14ac:dyDescent="0.25">
      <c r="A155" s="140" t="s">
        <v>65</v>
      </c>
      <c r="B155" s="32"/>
      <c r="C155" s="75"/>
      <c r="D155" s="75">
        <f>D53</f>
        <v>1112</v>
      </c>
      <c r="E155" s="75">
        <f>E53</f>
        <v>-34</v>
      </c>
      <c r="F155" s="75">
        <f>F53</f>
        <v>-78.123223516900907</v>
      </c>
      <c r="G155" s="75">
        <f>G53</f>
        <v>-1411.7477848500926</v>
      </c>
      <c r="H155" s="75">
        <f>H53</f>
        <v>146.57844524635004</v>
      </c>
      <c r="I155" s="156" t="s">
        <v>299</v>
      </c>
    </row>
    <row r="156" spans="1:9" x14ac:dyDescent="0.25">
      <c r="A156" s="140" t="s">
        <v>66</v>
      </c>
      <c r="B156" s="32"/>
      <c r="C156" s="57"/>
      <c r="D156" s="57">
        <f>D52</f>
        <v>803.52670708345534</v>
      </c>
      <c r="E156" s="57">
        <f>E52</f>
        <v>295</v>
      </c>
      <c r="F156" s="57">
        <f>F52</f>
        <v>0</v>
      </c>
      <c r="G156" s="57">
        <f>G52</f>
        <v>-0.47</v>
      </c>
      <c r="H156" s="57">
        <f>H52</f>
        <v>817</v>
      </c>
      <c r="I156" s="156" t="s">
        <v>300</v>
      </c>
    </row>
    <row r="157" spans="1:9" x14ac:dyDescent="0.25">
      <c r="A157" s="140" t="s">
        <v>53</v>
      </c>
      <c r="B157" s="32"/>
      <c r="C157" s="57"/>
      <c r="D157" s="57">
        <f>D91</f>
        <v>-57618.348185575051</v>
      </c>
      <c r="E157" s="57">
        <f>E91</f>
        <v>-96097.208096254559</v>
      </c>
      <c r="F157" s="57">
        <f>F91</f>
        <v>-127896.05058870178</v>
      </c>
      <c r="G157" s="57">
        <f>G91</f>
        <v>-155392.13659312847</v>
      </c>
      <c r="H157" s="57">
        <f>H91</f>
        <v>-190910.71168769506</v>
      </c>
      <c r="I157" s="156" t="s">
        <v>301</v>
      </c>
    </row>
    <row r="158" spans="1:9" x14ac:dyDescent="0.25">
      <c r="A158" s="140" t="s">
        <v>70</v>
      </c>
      <c r="B158" s="32"/>
      <c r="C158" s="57"/>
      <c r="D158" s="57">
        <f>D154-D155-D156+D157</f>
        <v>6373502.0100622866</v>
      </c>
      <c r="E158" s="57">
        <f>E154-E155-E156+E157</f>
        <v>6431181.7809209591</v>
      </c>
      <c r="F158" s="57">
        <f>F154-F155-F156+F157</f>
        <v>6550888.9648331665</v>
      </c>
      <c r="G158" s="57">
        <f>G154-G155-G156+G157</f>
        <v>6773297.5422927765</v>
      </c>
      <c r="H158" s="57">
        <f>H154-H155-H156+H157</f>
        <v>6932505.7499755342</v>
      </c>
      <c r="I158" s="156" t="s">
        <v>302</v>
      </c>
    </row>
    <row r="159" spans="1:9" ht="30" customHeight="1" x14ac:dyDescent="0.3">
      <c r="A159" s="62" t="s">
        <v>347</v>
      </c>
      <c r="B159" s="32"/>
      <c r="C159" s="28"/>
      <c r="D159" s="28" t="s">
        <v>23</v>
      </c>
      <c r="E159" s="28" t="s">
        <v>24</v>
      </c>
      <c r="F159" s="28" t="s">
        <v>25</v>
      </c>
      <c r="G159" s="28" t="s">
        <v>26</v>
      </c>
      <c r="H159" s="28" t="s">
        <v>27</v>
      </c>
      <c r="I159" s="28" t="s">
        <v>291</v>
      </c>
    </row>
    <row r="160" spans="1:9" x14ac:dyDescent="0.25">
      <c r="A160" s="144" t="s">
        <v>61</v>
      </c>
      <c r="B160" s="32"/>
      <c r="C160" s="88"/>
      <c r="D160" s="88">
        <f t="shared" ref="D160:H164" si="30">D$8-D9</f>
        <v>40268</v>
      </c>
      <c r="E160" s="88">
        <f t="shared" si="30"/>
        <v>40634</v>
      </c>
      <c r="F160" s="88">
        <f t="shared" si="30"/>
        <v>40999</v>
      </c>
      <c r="G160" s="88">
        <f t="shared" si="30"/>
        <v>41364</v>
      </c>
      <c r="H160" s="88">
        <f t="shared" si="30"/>
        <v>41729</v>
      </c>
      <c r="I160" s="156" t="s">
        <v>303</v>
      </c>
    </row>
    <row r="161" spans="1:9" x14ac:dyDescent="0.25">
      <c r="A161" s="144" t="s">
        <v>120</v>
      </c>
      <c r="B161" s="32"/>
      <c r="C161" s="88"/>
      <c r="D161" s="88">
        <f t="shared" si="30"/>
        <v>40451</v>
      </c>
      <c r="E161" s="88">
        <f t="shared" si="30"/>
        <v>40817</v>
      </c>
      <c r="F161" s="88">
        <f t="shared" si="30"/>
        <v>41182</v>
      </c>
      <c r="G161" s="88">
        <f t="shared" si="30"/>
        <v>41547</v>
      </c>
      <c r="H161" s="88">
        <f t="shared" si="30"/>
        <v>41912</v>
      </c>
      <c r="I161" s="156" t="s">
        <v>304</v>
      </c>
    </row>
    <row r="162" spans="1:9" x14ac:dyDescent="0.25">
      <c r="A162" s="144" t="s">
        <v>104</v>
      </c>
      <c r="B162" s="32"/>
      <c r="C162" s="88"/>
      <c r="D162" s="88">
        <f t="shared" si="30"/>
        <v>40485</v>
      </c>
      <c r="E162" s="88">
        <f t="shared" si="30"/>
        <v>40851</v>
      </c>
      <c r="F162" s="88">
        <f t="shared" si="30"/>
        <v>41216</v>
      </c>
      <c r="G162" s="88">
        <f t="shared" si="30"/>
        <v>41581</v>
      </c>
      <c r="H162" s="88">
        <f t="shared" si="30"/>
        <v>41946</v>
      </c>
      <c r="I162" s="156" t="s">
        <v>305</v>
      </c>
    </row>
    <row r="163" spans="1:9" x14ac:dyDescent="0.25">
      <c r="A163" s="144" t="s">
        <v>121</v>
      </c>
      <c r="B163" s="32"/>
      <c r="C163" s="88"/>
      <c r="D163" s="88">
        <f t="shared" si="30"/>
        <v>40633</v>
      </c>
      <c r="E163" s="88">
        <f t="shared" si="30"/>
        <v>40999</v>
      </c>
      <c r="F163" s="88">
        <f t="shared" si="30"/>
        <v>41364</v>
      </c>
      <c r="G163" s="88">
        <f t="shared" si="30"/>
        <v>41729</v>
      </c>
      <c r="H163" s="88">
        <f t="shared" si="30"/>
        <v>42094</v>
      </c>
      <c r="I163" s="156" t="s">
        <v>306</v>
      </c>
    </row>
    <row r="164" spans="1:9" x14ac:dyDescent="0.25">
      <c r="A164" s="144" t="s">
        <v>70</v>
      </c>
      <c r="B164" s="32"/>
      <c r="C164" s="88"/>
      <c r="D164" s="88">
        <f t="shared" si="30"/>
        <v>40633</v>
      </c>
      <c r="E164" s="88">
        <f t="shared" si="30"/>
        <v>40999</v>
      </c>
      <c r="F164" s="88">
        <f t="shared" si="30"/>
        <v>41364</v>
      </c>
      <c r="G164" s="88">
        <f t="shared" si="30"/>
        <v>41729</v>
      </c>
      <c r="H164" s="88">
        <f t="shared" si="30"/>
        <v>42094</v>
      </c>
      <c r="I164" s="156" t="s">
        <v>307</v>
      </c>
    </row>
    <row r="165" spans="1:9" ht="30" customHeight="1" x14ac:dyDescent="0.3">
      <c r="A165" s="62" t="s">
        <v>322</v>
      </c>
      <c r="B165" s="32"/>
      <c r="C165" s="28"/>
      <c r="D165" s="28" t="s">
        <v>23</v>
      </c>
      <c r="E165" s="28" t="s">
        <v>24</v>
      </c>
      <c r="F165" s="28" t="s">
        <v>25</v>
      </c>
      <c r="G165" s="28" t="s">
        <v>26</v>
      </c>
      <c r="H165" s="28" t="s">
        <v>27</v>
      </c>
      <c r="I165" s="125"/>
    </row>
    <row r="166" spans="1:9" x14ac:dyDescent="0.25">
      <c r="A166" s="140" t="s">
        <v>122</v>
      </c>
      <c r="B166" s="32"/>
      <c r="C166" s="57"/>
      <c r="D166" s="57">
        <f>D126+D127</f>
        <v>680053.11009999993</v>
      </c>
      <c r="E166" s="57">
        <f>E126+E127</f>
        <v>722686.67136212485</v>
      </c>
      <c r="F166" s="57">
        <f>F126+F127</f>
        <v>814024.94760965067</v>
      </c>
      <c r="G166" s="57">
        <f>G126+G127</f>
        <v>862841.79942886205</v>
      </c>
      <c r="H166" s="57">
        <f>H126+H127</f>
        <v>936141.57536027324</v>
      </c>
      <c r="I166" s="156" t="s">
        <v>292</v>
      </c>
    </row>
    <row r="167" spans="1:9" x14ac:dyDescent="0.25">
      <c r="A167" s="144" t="s">
        <v>327</v>
      </c>
      <c r="B167" s="32"/>
      <c r="C167" s="57"/>
      <c r="D167" s="57">
        <f>D147-D82+D91</f>
        <v>91032.565946088696</v>
      </c>
      <c r="E167" s="57">
        <f>E147-E82+E91</f>
        <v>80674.764114350517</v>
      </c>
      <c r="F167" s="57">
        <f>F147-F82+F91</f>
        <v>99458.920108836392</v>
      </c>
      <c r="G167" s="57">
        <f>G147-G82+G91</f>
        <v>93318.901532520744</v>
      </c>
      <c r="H167" s="57">
        <f>H147-H82+H91</f>
        <v>105243.24773955269</v>
      </c>
      <c r="I167" s="156" t="s">
        <v>293</v>
      </c>
    </row>
    <row r="168" spans="1:9" x14ac:dyDescent="0.25">
      <c r="A168" s="140" t="s">
        <v>52</v>
      </c>
      <c r="B168" s="32"/>
      <c r="C168" s="80"/>
      <c r="D168" s="80">
        <f t="shared" ref="D168:H169" si="31">D50</f>
        <v>339981.96621765615</v>
      </c>
      <c r="E168" s="80">
        <f t="shared" si="31"/>
        <v>287149.85047793452</v>
      </c>
      <c r="F168" s="80">
        <f t="shared" si="31"/>
        <v>370648.68868279323</v>
      </c>
      <c r="G168" s="80">
        <f t="shared" si="31"/>
        <v>445754.5894643619</v>
      </c>
      <c r="H168" s="80">
        <f t="shared" si="31"/>
        <v>486977.03662084346</v>
      </c>
      <c r="I168" s="156" t="s">
        <v>294</v>
      </c>
    </row>
    <row r="169" spans="1:9" x14ac:dyDescent="0.25">
      <c r="A169" s="140" t="s">
        <v>63</v>
      </c>
      <c r="B169" s="32"/>
      <c r="C169" s="80"/>
      <c r="D169" s="80">
        <f t="shared" si="31"/>
        <v>16399.469717938206</v>
      </c>
      <c r="E169" s="80">
        <f t="shared" si="31"/>
        <v>30636.742620548423</v>
      </c>
      <c r="F169" s="80">
        <f t="shared" si="31"/>
        <v>15457.557236204935</v>
      </c>
      <c r="G169" s="80">
        <f t="shared" si="31"/>
        <v>25296.816540321164</v>
      </c>
      <c r="H169" s="80">
        <f t="shared" si="31"/>
        <v>25169.381785220132</v>
      </c>
      <c r="I169" s="156" t="s">
        <v>295</v>
      </c>
    </row>
    <row r="170" spans="1:9" x14ac:dyDescent="0.25">
      <c r="A170" s="144" t="s">
        <v>163</v>
      </c>
      <c r="B170" s="32"/>
      <c r="C170" s="57"/>
      <c r="D170" s="57">
        <f>D123+D124</f>
        <v>-93.929749737868406</v>
      </c>
      <c r="E170" s="57">
        <f>E123+E124</f>
        <v>-3266.7544420920003</v>
      </c>
      <c r="F170" s="57">
        <f>F123+F124</f>
        <v>1565.5396361038111</v>
      </c>
      <c r="G170" s="57">
        <f>G123+G124</f>
        <v>-10093.777197280724</v>
      </c>
      <c r="H170" s="57">
        <f>H123+H124</f>
        <v>-14006.013715153209</v>
      </c>
      <c r="I170" s="156" t="s">
        <v>296</v>
      </c>
    </row>
    <row r="171" spans="1:9" x14ac:dyDescent="0.25">
      <c r="A171" s="144" t="s">
        <v>322</v>
      </c>
      <c r="B171" s="32"/>
      <c r="C171" s="57"/>
      <c r="D171" s="57">
        <f>D166+D167+D168-D169-D170</f>
        <v>1094762.1022955445</v>
      </c>
      <c r="E171" s="57">
        <f>E166+E167+E168-E169-E170</f>
        <v>1063141.2977759535</v>
      </c>
      <c r="F171" s="57">
        <f>F166+F167+F168-F169-F170</f>
        <v>1267109.4595289715</v>
      </c>
      <c r="G171" s="57">
        <f>G166+G167+G168-G169-G170</f>
        <v>1386712.2510827044</v>
      </c>
      <c r="H171" s="57">
        <f>H166+H167+H168-H169-H170</f>
        <v>1517198.4916506023</v>
      </c>
      <c r="I171" s="156" t="s">
        <v>297</v>
      </c>
    </row>
    <row r="172" spans="1:9" ht="30" customHeight="1" x14ac:dyDescent="0.3">
      <c r="A172" s="62" t="s">
        <v>348</v>
      </c>
      <c r="B172" s="32"/>
      <c r="C172" s="28"/>
      <c r="D172" s="28" t="s">
        <v>23</v>
      </c>
      <c r="E172" s="28" t="s">
        <v>24</v>
      </c>
      <c r="F172" s="28" t="s">
        <v>25</v>
      </c>
      <c r="G172" s="28" t="s">
        <v>26</v>
      </c>
      <c r="H172" s="28" t="s">
        <v>27</v>
      </c>
      <c r="I172" s="28" t="s">
        <v>291</v>
      </c>
    </row>
    <row r="173" spans="1:9" x14ac:dyDescent="0.25">
      <c r="A173" s="144" t="s">
        <v>61</v>
      </c>
      <c r="B173" s="32"/>
      <c r="C173" s="57"/>
      <c r="D173" s="57">
        <f>D152</f>
        <v>-6181243.3696364192</v>
      </c>
      <c r="E173" s="57">
        <f>E152</f>
        <v>-6375417.5367693705</v>
      </c>
      <c r="F173" s="57">
        <f>F152</f>
        <v>-6431442.7809209591</v>
      </c>
      <c r="G173" s="57">
        <f>G152</f>
        <v>-6550810.8416096494</v>
      </c>
      <c r="H173" s="57">
        <f>H152</f>
        <v>-6771885.3245079266</v>
      </c>
      <c r="I173" s="156" t="s">
        <v>290</v>
      </c>
    </row>
    <row r="174" spans="1:9" x14ac:dyDescent="0.25">
      <c r="A174" s="144" t="s">
        <v>322</v>
      </c>
      <c r="B174" s="32"/>
      <c r="C174" s="57"/>
      <c r="D174" s="57">
        <f>-D171</f>
        <v>-1094762.1022955445</v>
      </c>
      <c r="E174" s="57">
        <f>-E171</f>
        <v>-1063141.2977759535</v>
      </c>
      <c r="F174" s="57">
        <f>-F171</f>
        <v>-1267109.4595289715</v>
      </c>
      <c r="G174" s="57">
        <f>-G171</f>
        <v>-1386712.2510827044</v>
      </c>
      <c r="H174" s="57">
        <f>-H171</f>
        <v>-1517198.4916506023</v>
      </c>
      <c r="I174" s="156" t="s">
        <v>308</v>
      </c>
    </row>
    <row r="175" spans="1:9" x14ac:dyDescent="0.25">
      <c r="A175" s="144" t="s">
        <v>350</v>
      </c>
      <c r="B175" s="32"/>
      <c r="C175" s="57"/>
      <c r="D175" s="57">
        <f>D121</f>
        <v>1436422.43212</v>
      </c>
      <c r="E175" s="57">
        <f>E121</f>
        <v>1498172.2072048993</v>
      </c>
      <c r="F175" s="57">
        <f>F121</f>
        <v>1616063.5001622848</v>
      </c>
      <c r="G175" s="57">
        <f>G121</f>
        <v>1638092.8953368003</v>
      </c>
      <c r="H175" s="57">
        <f>H121</f>
        <v>1761319.8522549374</v>
      </c>
      <c r="I175" s="156" t="s">
        <v>309</v>
      </c>
    </row>
    <row r="176" spans="1:9" x14ac:dyDescent="0.25">
      <c r="A176" s="144" t="s">
        <v>121</v>
      </c>
      <c r="B176" s="32"/>
      <c r="C176" s="57"/>
      <c r="D176" s="57">
        <f>-D56</f>
        <v>-737.16868479776849</v>
      </c>
      <c r="E176" s="57">
        <f>-E56</f>
        <v>-505.05683458999999</v>
      </c>
      <c r="F176" s="57">
        <f>-F56</f>
        <v>-504.00406373541858</v>
      </c>
      <c r="G176" s="57">
        <f>-G56</f>
        <v>-1084.1504138256339</v>
      </c>
      <c r="H176" s="57">
        <f>-H56</f>
        <v>-1081.1390508290979</v>
      </c>
      <c r="I176" s="156" t="s">
        <v>310</v>
      </c>
    </row>
    <row r="177" spans="1:9" x14ac:dyDescent="0.25">
      <c r="A177" s="144" t="s">
        <v>70</v>
      </c>
      <c r="B177" s="32"/>
      <c r="C177" s="57"/>
      <c r="D177" s="57">
        <f>D158</f>
        <v>6373502.0100622866</v>
      </c>
      <c r="E177" s="57">
        <f>E158</f>
        <v>6431181.7809209591</v>
      </c>
      <c r="F177" s="57">
        <f>F158</f>
        <v>6550888.9648331665</v>
      </c>
      <c r="G177" s="57">
        <f>G158</f>
        <v>6773297.5422927765</v>
      </c>
      <c r="H177" s="57">
        <f>H158</f>
        <v>6932505.7499755342</v>
      </c>
      <c r="I177" s="156" t="s">
        <v>311</v>
      </c>
    </row>
    <row r="178" spans="1:9" ht="30" customHeight="1" x14ac:dyDescent="0.3">
      <c r="A178" s="62" t="s">
        <v>323</v>
      </c>
      <c r="B178" s="32"/>
      <c r="C178" s="28"/>
      <c r="D178" s="28" t="s">
        <v>23</v>
      </c>
      <c r="E178" s="28" t="s">
        <v>24</v>
      </c>
      <c r="F178" s="28" t="s">
        <v>25</v>
      </c>
      <c r="G178" s="28" t="s">
        <v>26</v>
      </c>
      <c r="H178" s="28" t="s">
        <v>27</v>
      </c>
      <c r="I178" s="28" t="s">
        <v>291</v>
      </c>
    </row>
    <row r="179" spans="1:9" x14ac:dyDescent="0.25">
      <c r="A179" s="144" t="s">
        <v>345</v>
      </c>
      <c r="B179" s="32"/>
      <c r="C179" s="97"/>
      <c r="D179" s="97">
        <f>XIRR(D173:D177,D160:D164)</f>
        <v>8.6729148030281103E-2</v>
      </c>
      <c r="E179" s="97">
        <f>XIRR(E173:E177,E160:E164)</f>
        <v>7.7804127335548409E-2</v>
      </c>
      <c r="F179" s="97">
        <f>XIRR(F173:F177,F160:F164)</f>
        <v>7.2988864779472348E-2</v>
      </c>
      <c r="G179" s="97">
        <f>XIRR(G173:G177,G160:G164)</f>
        <v>7.1854850649833699E-2</v>
      </c>
      <c r="H179" s="97">
        <f>XIRR(H173:H177,H160:H164)</f>
        <v>5.9226784110069264E-2</v>
      </c>
      <c r="I179" s="156" t="s">
        <v>313</v>
      </c>
    </row>
    <row r="180" spans="1:9" x14ac:dyDescent="0.25">
      <c r="A180" s="140" t="s">
        <v>346</v>
      </c>
      <c r="B180" s="32"/>
      <c r="C180" s="97"/>
      <c r="D180" s="97">
        <f>D179-(D133*D134*D135)</f>
        <v>7.67631480302811E-2</v>
      </c>
      <c r="E180" s="97">
        <f>E179-(E133*E134*E135)</f>
        <v>6.9537407335548404E-2</v>
      </c>
      <c r="F180" s="97">
        <f>F179-(F133*F134*F135)</f>
        <v>6.5214944779472345E-2</v>
      </c>
      <c r="G180" s="97">
        <f>G179-(G133*G134*G135)</f>
        <v>6.5004930649833703E-2</v>
      </c>
      <c r="H180" s="97">
        <f>H179-(H133*H134*H135)</f>
        <v>5.1391264110069265E-2</v>
      </c>
      <c r="I180" s="156" t="s">
        <v>312</v>
      </c>
    </row>
    <row r="182" spans="1:9" s="4" customFormat="1" x14ac:dyDescent="0.25">
      <c r="A182" s="113" t="s">
        <v>589</v>
      </c>
    </row>
    <row r="183" spans="1:9" x14ac:dyDescent="0.25">
      <c r="A183" s="113" t="s">
        <v>590</v>
      </c>
    </row>
    <row r="184" spans="1:9" x14ac:dyDescent="0.25">
      <c r="A184" s="113" t="s">
        <v>591</v>
      </c>
    </row>
  </sheetData>
  <hyperlinks>
    <hyperlink ref="A183" r:id="rId1" display="http://www.comcom.govt.nz/dmsdocument/13042"/>
    <hyperlink ref="A182" r:id="rId2" display="http://www.comcom.govt.nz/dmsdocument/13042"/>
  </hyperlinks>
  <pageMargins left="0.23622047244094491" right="0.23622047244094491" top="0.74803149606299213" bottom="0.74803149606299213" header="0.31496062992125984" footer="0.31496062992125984"/>
  <pageSetup paperSize="9" scale="51" fitToHeight="0" orientation="portrait" r:id="rId3"/>
  <headerFooter>
    <oddFooter>&amp;L&amp;F&amp;C&amp;A&amp;R&amp;P</oddFooter>
  </headerFooter>
  <rowBreaks count="2" manualBreakCount="2">
    <brk id="80" max="9" man="1"/>
    <brk id="164"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D97E55"/>
    <pageSetUpPr fitToPage="1"/>
  </sheetPr>
  <dimension ref="A1:T75"/>
  <sheetViews>
    <sheetView showGridLines="0" view="pageBreakPreview" zoomScaleNormal="100" zoomScaleSheetLayoutView="100" workbookViewId="0"/>
  </sheetViews>
  <sheetFormatPr defaultColWidth="9.140625" defaultRowHeight="15" x14ac:dyDescent="0.25"/>
  <cols>
    <col min="1" max="1" width="48.42578125" customWidth="1"/>
    <col min="2" max="2" width="13.140625" customWidth="1"/>
    <col min="3" max="3" width="15.5703125" customWidth="1"/>
    <col min="4" max="19" width="11.5703125" customWidth="1"/>
    <col min="20" max="20" width="2.7109375" customWidth="1"/>
  </cols>
  <sheetData>
    <row r="1" spans="1:20" s="4" customFormat="1" ht="39.950000000000003" customHeight="1" x14ac:dyDescent="0.25">
      <c r="A1" s="37" t="s">
        <v>598</v>
      </c>
      <c r="B1" s="35"/>
      <c r="C1" s="35"/>
      <c r="D1" s="35"/>
      <c r="E1" s="35"/>
      <c r="F1" s="35"/>
      <c r="G1" s="35"/>
      <c r="I1" s="35"/>
    </row>
    <row r="2" spans="1:20" s="4" customFormat="1" ht="20.100000000000001" customHeight="1" x14ac:dyDescent="0.25">
      <c r="A2"/>
      <c r="B2" s="205" t="s">
        <v>588</v>
      </c>
      <c r="C2" s="202"/>
      <c r="D2" s="206" t="str">
        <f>EDB_Name</f>
        <v>DPP Total</v>
      </c>
      <c r="E2" s="202"/>
      <c r="F2" s="202"/>
      <c r="G2" s="202"/>
      <c r="H2" s="202"/>
      <c r="I2" s="35"/>
      <c r="J2" s="35"/>
    </row>
    <row r="3" spans="1:20" s="4" customFormat="1" x14ac:dyDescent="0.25">
      <c r="B3" s="205" t="s">
        <v>361</v>
      </c>
      <c r="C3" s="202"/>
      <c r="D3" s="206" t="str">
        <f>ra_ScenarioSelect</f>
        <v>Disclosed nominal return (incl actual asset revaluations)</v>
      </c>
      <c r="E3" s="202"/>
      <c r="F3" s="202"/>
      <c r="G3" s="202"/>
      <c r="H3" s="202"/>
      <c r="I3"/>
      <c r="J3"/>
      <c r="K3"/>
    </row>
    <row r="4" spans="1:20" s="4" customFormat="1" ht="39.950000000000003" customHeight="1" x14ac:dyDescent="0.35">
      <c r="A4" s="65" t="s">
        <v>7</v>
      </c>
      <c r="B4" s="35"/>
      <c r="C4" s="35"/>
      <c r="D4" s="35"/>
      <c r="E4" s="35"/>
      <c r="F4" s="35"/>
      <c r="G4" s="35"/>
      <c r="H4" s="35"/>
      <c r="I4" s="35"/>
    </row>
    <row r="5" spans="1:20" s="4" customFormat="1" x14ac:dyDescent="0.25">
      <c r="A5" s="76"/>
      <c r="B5" s="28" t="s">
        <v>47</v>
      </c>
      <c r="C5" s="77" t="s">
        <v>22</v>
      </c>
      <c r="D5" s="28" t="s">
        <v>23</v>
      </c>
      <c r="E5" s="28" t="s">
        <v>24</v>
      </c>
      <c r="F5" s="28" t="s">
        <v>25</v>
      </c>
      <c r="G5" s="28" t="s">
        <v>26</v>
      </c>
      <c r="H5" s="28" t="s">
        <v>27</v>
      </c>
      <c r="I5"/>
      <c r="J5"/>
      <c r="K5"/>
      <c r="L5"/>
      <c r="M5"/>
      <c r="N5"/>
      <c r="O5"/>
      <c r="P5"/>
      <c r="Q5"/>
      <c r="R5"/>
      <c r="S5"/>
      <c r="T5"/>
    </row>
    <row r="6" spans="1:20" s="4" customFormat="1" x14ac:dyDescent="0.25">
      <c r="A6" s="49" t="s">
        <v>315</v>
      </c>
      <c r="B6" s="49"/>
      <c r="C6" s="93">
        <f>Inputs!$F$17</f>
        <v>365</v>
      </c>
      <c r="D6" s="93">
        <f>Inputs!$F$17</f>
        <v>365</v>
      </c>
      <c r="E6" s="93">
        <f>Inputs!$F$17</f>
        <v>365</v>
      </c>
      <c r="F6" s="93">
        <f>Inputs!$F$17</f>
        <v>365</v>
      </c>
      <c r="G6" s="93">
        <f>Inputs!$F$17</f>
        <v>365</v>
      </c>
      <c r="H6" s="93">
        <f>Inputs!$F$17</f>
        <v>365</v>
      </c>
      <c r="I6"/>
      <c r="J6"/>
      <c r="K6"/>
      <c r="L6"/>
      <c r="M6"/>
      <c r="N6"/>
      <c r="O6"/>
      <c r="P6"/>
      <c r="Q6"/>
      <c r="R6"/>
      <c r="S6"/>
      <c r="T6"/>
    </row>
    <row r="7" spans="1:20" s="4" customFormat="1" x14ac:dyDescent="0.25">
      <c r="A7" s="49" t="s">
        <v>316</v>
      </c>
      <c r="B7" s="49"/>
      <c r="C7" s="93">
        <f>Inputs!$F$18</f>
        <v>182</v>
      </c>
      <c r="D7" s="93">
        <f>Inputs!$F$18</f>
        <v>182</v>
      </c>
      <c r="E7" s="93">
        <f>Inputs!$F$18</f>
        <v>182</v>
      </c>
      <c r="F7" s="93">
        <f>Inputs!$F$18</f>
        <v>182</v>
      </c>
      <c r="G7" s="93">
        <f>Inputs!$F$18</f>
        <v>182</v>
      </c>
      <c r="H7" s="93">
        <f>Inputs!$F$18</f>
        <v>182</v>
      </c>
      <c r="I7"/>
      <c r="J7"/>
      <c r="K7"/>
      <c r="L7"/>
      <c r="M7"/>
      <c r="N7"/>
      <c r="O7"/>
      <c r="P7"/>
      <c r="Q7"/>
      <c r="R7"/>
      <c r="S7"/>
      <c r="T7"/>
    </row>
    <row r="8" spans="1:20" s="4" customFormat="1" x14ac:dyDescent="0.25">
      <c r="A8" s="49" t="s">
        <v>317</v>
      </c>
      <c r="B8" s="49"/>
      <c r="C8" s="93">
        <f>Inputs!$F$19</f>
        <v>148</v>
      </c>
      <c r="D8" s="93">
        <f>Inputs!$F$19</f>
        <v>148</v>
      </c>
      <c r="E8" s="93">
        <f>Inputs!$F$19</f>
        <v>148</v>
      </c>
      <c r="F8" s="93">
        <f>Inputs!$F$19</f>
        <v>148</v>
      </c>
      <c r="G8" s="93">
        <f>Inputs!$F$19</f>
        <v>148</v>
      </c>
      <c r="H8" s="93">
        <f>Inputs!$F$19</f>
        <v>148</v>
      </c>
      <c r="I8"/>
      <c r="J8"/>
      <c r="K8"/>
      <c r="L8"/>
      <c r="M8"/>
      <c r="N8"/>
      <c r="O8"/>
      <c r="P8"/>
      <c r="Q8"/>
      <c r="R8"/>
      <c r="S8"/>
      <c r="T8"/>
    </row>
    <row r="9" spans="1:20" s="4" customFormat="1" x14ac:dyDescent="0.25">
      <c r="A9" s="49" t="s">
        <v>318</v>
      </c>
      <c r="B9" s="49"/>
      <c r="C9" s="93">
        <f>Inputs!$F$20</f>
        <v>0</v>
      </c>
      <c r="D9" s="93">
        <f>Inputs!$F$20</f>
        <v>0</v>
      </c>
      <c r="E9" s="93">
        <f>Inputs!$F$20</f>
        <v>0</v>
      </c>
      <c r="F9" s="93">
        <f>Inputs!$F$20</f>
        <v>0</v>
      </c>
      <c r="G9" s="93">
        <f>Inputs!$F$20</f>
        <v>0</v>
      </c>
      <c r="H9" s="93">
        <f>Inputs!$F$20</f>
        <v>0</v>
      </c>
      <c r="I9"/>
      <c r="J9"/>
      <c r="K9"/>
      <c r="L9"/>
      <c r="M9"/>
      <c r="N9"/>
      <c r="O9"/>
      <c r="P9"/>
      <c r="Q9"/>
      <c r="R9"/>
      <c r="S9"/>
      <c r="T9"/>
    </row>
    <row r="10" spans="1:20" s="4" customFormat="1" x14ac:dyDescent="0.25">
      <c r="A10" s="49" t="s">
        <v>319</v>
      </c>
      <c r="B10" s="49"/>
      <c r="C10" s="93">
        <f>Inputs!$F$21</f>
        <v>0</v>
      </c>
      <c r="D10" s="93">
        <f>Inputs!$F$21</f>
        <v>0</v>
      </c>
      <c r="E10" s="93">
        <f>Inputs!$F$21</f>
        <v>0</v>
      </c>
      <c r="F10" s="93">
        <f>Inputs!$F$21</f>
        <v>0</v>
      </c>
      <c r="G10" s="93">
        <f>Inputs!$F$21</f>
        <v>0</v>
      </c>
      <c r="H10" s="93">
        <f>Inputs!$F$21</f>
        <v>0</v>
      </c>
      <c r="I10"/>
      <c r="J10"/>
      <c r="K10"/>
      <c r="L10"/>
      <c r="M10"/>
      <c r="N10"/>
      <c r="O10"/>
      <c r="P10"/>
      <c r="Q10"/>
      <c r="R10"/>
      <c r="S10"/>
      <c r="T10"/>
    </row>
    <row r="11" spans="1:20" s="4" customFormat="1" x14ac:dyDescent="0.25">
      <c r="I11"/>
      <c r="J11"/>
      <c r="K11"/>
      <c r="L11"/>
      <c r="M11"/>
      <c r="N11"/>
      <c r="O11"/>
      <c r="P11"/>
      <c r="Q11"/>
      <c r="R11"/>
      <c r="S11"/>
      <c r="T11"/>
    </row>
    <row r="12" spans="1:20" s="4" customFormat="1" x14ac:dyDescent="0.25">
      <c r="A12" s="76"/>
      <c r="B12" s="28" t="s">
        <v>47</v>
      </c>
      <c r="C12" s="77" t="s">
        <v>46</v>
      </c>
      <c r="D12" s="28" t="s">
        <v>23</v>
      </c>
      <c r="E12" s="28" t="s">
        <v>24</v>
      </c>
      <c r="F12" s="28" t="s">
        <v>25</v>
      </c>
      <c r="G12" s="28" t="s">
        <v>26</v>
      </c>
      <c r="H12" s="28" t="s">
        <v>27</v>
      </c>
      <c r="I12"/>
      <c r="J12"/>
      <c r="K12"/>
      <c r="L12"/>
      <c r="M12"/>
      <c r="N12"/>
      <c r="O12"/>
      <c r="P12"/>
      <c r="Q12"/>
      <c r="R12"/>
      <c r="S12"/>
      <c r="T12"/>
    </row>
    <row r="13" spans="1:20" s="4" customFormat="1" x14ac:dyDescent="0.25">
      <c r="A13" s="102" t="s">
        <v>48</v>
      </c>
      <c r="B13" s="67"/>
      <c r="C13" s="69"/>
      <c r="D13" s="93">
        <f>Calculation!D72</f>
        <v>6207207.0663435785</v>
      </c>
      <c r="E13" s="93">
        <f>Calculation!E72</f>
        <v>6433035.8849549452</v>
      </c>
      <c r="F13" s="93">
        <f>Calculation!F72</f>
        <v>6527539.9890172137</v>
      </c>
      <c r="G13" s="93">
        <f>Calculation!G72</f>
        <v>6678706.8921983512</v>
      </c>
      <c r="H13" s="93">
        <f>Calculation!H72</f>
        <v>6927277.4611010551</v>
      </c>
      <c r="I13"/>
      <c r="J13"/>
      <c r="K13"/>
      <c r="L13"/>
      <c r="M13"/>
      <c r="N13"/>
      <c r="O13"/>
      <c r="P13"/>
      <c r="Q13"/>
      <c r="R13"/>
      <c r="S13"/>
      <c r="T13"/>
    </row>
    <row r="14" spans="1:20" s="4" customFormat="1" x14ac:dyDescent="0.25">
      <c r="A14" s="102" t="s">
        <v>49</v>
      </c>
      <c r="B14" s="67"/>
      <c r="C14" s="69"/>
      <c r="D14" s="93">
        <f>Calculation!D82</f>
        <v>-25963.696707159179</v>
      </c>
      <c r="E14" s="93">
        <f>Calculation!E82</f>
        <v>-57618.348185575051</v>
      </c>
      <c r="F14" s="93">
        <f>Calculation!F82</f>
        <v>-96097.208096254559</v>
      </c>
      <c r="G14" s="93">
        <f>Calculation!G82</f>
        <v>-127896.05058870178</v>
      </c>
      <c r="H14" s="93">
        <f>Calculation!H82</f>
        <v>-155392.13659312847</v>
      </c>
      <c r="I14"/>
      <c r="J14"/>
      <c r="K14"/>
      <c r="L14"/>
      <c r="M14"/>
      <c r="N14"/>
      <c r="O14"/>
      <c r="P14"/>
      <c r="Q14"/>
      <c r="R14"/>
      <c r="S14"/>
      <c r="T14"/>
    </row>
    <row r="15" spans="1:20" s="4" customFormat="1" x14ac:dyDescent="0.25">
      <c r="A15" s="102" t="s">
        <v>104</v>
      </c>
      <c r="B15" s="67"/>
      <c r="C15" s="69"/>
      <c r="D15" s="93">
        <f>Calculation!D121</f>
        <v>1436422.43212</v>
      </c>
      <c r="E15" s="93">
        <f>Calculation!E121</f>
        <v>1498172.2072048993</v>
      </c>
      <c r="F15" s="93">
        <f>Calculation!F121+Calculation!F122</f>
        <v>1616063.5001622848</v>
      </c>
      <c r="G15" s="93">
        <f>Calculation!G121+Calculation!G122</f>
        <v>1638092.8953368003</v>
      </c>
      <c r="H15" s="93">
        <f>Calculation!H121+Calculation!H122</f>
        <v>1808665.0188056882</v>
      </c>
      <c r="I15"/>
      <c r="J15"/>
      <c r="K15"/>
      <c r="L15"/>
      <c r="M15"/>
      <c r="N15"/>
      <c r="O15"/>
      <c r="P15"/>
      <c r="Q15"/>
      <c r="R15"/>
      <c r="S15"/>
      <c r="T15"/>
    </row>
    <row r="16" spans="1:20" s="4" customFormat="1" x14ac:dyDescent="0.25">
      <c r="A16" s="29" t="s">
        <v>164</v>
      </c>
      <c r="B16" s="67"/>
      <c r="C16" s="69"/>
      <c r="D16" s="93">
        <f>Calculation!D123+Calculation!D124</f>
        <v>-93.929749737868406</v>
      </c>
      <c r="E16" s="93">
        <f>Calculation!E123+Calculation!E124</f>
        <v>-3266.7544420920003</v>
      </c>
      <c r="F16" s="93">
        <f>Calculation!F123+Calculation!F124</f>
        <v>1565.5396361038111</v>
      </c>
      <c r="G16" s="93">
        <f>Calculation!G123+Calculation!G124</f>
        <v>-10093.777197280724</v>
      </c>
      <c r="H16" s="93">
        <f>Calculation!H123+Calculation!H124</f>
        <v>-14006.013715153209</v>
      </c>
      <c r="I16"/>
      <c r="J16"/>
      <c r="K16"/>
      <c r="L16"/>
      <c r="M16"/>
      <c r="N16"/>
      <c r="O16"/>
      <c r="P16"/>
      <c r="Q16"/>
      <c r="R16"/>
      <c r="S16"/>
      <c r="T16"/>
    </row>
    <row r="17" spans="1:20" s="4" customFormat="1" x14ac:dyDescent="0.25">
      <c r="A17" s="102" t="s">
        <v>122</v>
      </c>
      <c r="B17" s="67"/>
      <c r="C17" s="69"/>
      <c r="D17" s="93">
        <f>Calculation!D166</f>
        <v>680053.11009999993</v>
      </c>
      <c r="E17" s="93">
        <f>Calculation!E166</f>
        <v>722686.67136212485</v>
      </c>
      <c r="F17" s="93">
        <f>Calculation!F166</f>
        <v>814024.94760965067</v>
      </c>
      <c r="G17" s="93">
        <f>Calculation!G166</f>
        <v>862841.79942886205</v>
      </c>
      <c r="H17" s="93">
        <f>Calculation!H166</f>
        <v>936141.57536027324</v>
      </c>
      <c r="I17"/>
      <c r="J17"/>
      <c r="K17"/>
      <c r="L17"/>
      <c r="M17"/>
      <c r="N17"/>
      <c r="O17"/>
      <c r="P17"/>
      <c r="Q17"/>
      <c r="R17"/>
      <c r="S17"/>
      <c r="T17"/>
    </row>
    <row r="18" spans="1:20" s="4" customFormat="1" x14ac:dyDescent="0.25">
      <c r="A18" s="102" t="s">
        <v>44</v>
      </c>
      <c r="B18" s="67"/>
      <c r="C18" s="69"/>
      <c r="D18" s="93">
        <f>Calculation!D129</f>
        <v>249184.79825379152</v>
      </c>
      <c r="E18" s="93">
        <f>Calculation!E129</f>
        <v>262635.21001464606</v>
      </c>
      <c r="F18" s="93">
        <f>Calculation!F129</f>
        <v>259817.7441649067</v>
      </c>
      <c r="G18" s="93">
        <f>Calculation!G129</f>
        <v>272300.44722101337</v>
      </c>
      <c r="H18" s="93">
        <f>Calculation!H129</f>
        <v>271453.78359519353</v>
      </c>
      <c r="I18"/>
      <c r="J18"/>
      <c r="K18"/>
      <c r="L18"/>
      <c r="M18"/>
      <c r="N18"/>
      <c r="O18"/>
      <c r="P18"/>
      <c r="Q18"/>
      <c r="R18"/>
      <c r="S18"/>
      <c r="T18"/>
    </row>
    <row r="19" spans="1:20" s="4" customFormat="1" x14ac:dyDescent="0.25">
      <c r="A19" s="102" t="s">
        <v>50</v>
      </c>
      <c r="B19" s="67"/>
      <c r="C19" s="69"/>
      <c r="D19" s="93">
        <f>Calculation!D56</f>
        <v>737.16868479776849</v>
      </c>
      <c r="E19" s="93">
        <f>Calculation!E56</f>
        <v>505.05683458999999</v>
      </c>
      <c r="F19" s="93">
        <f>Calculation!F56</f>
        <v>504.00406373541858</v>
      </c>
      <c r="G19" s="93">
        <f>Calculation!G56</f>
        <v>1084.1504138256339</v>
      </c>
      <c r="H19" s="93">
        <f>Calculation!H56</f>
        <v>1081.1390508290979</v>
      </c>
      <c r="I19"/>
      <c r="J19"/>
      <c r="K19"/>
      <c r="L19"/>
      <c r="M19"/>
      <c r="N19"/>
      <c r="O19"/>
      <c r="P19"/>
      <c r="Q19"/>
      <c r="R19"/>
      <c r="S19"/>
      <c r="T19"/>
    </row>
    <row r="20" spans="1:20" s="4" customFormat="1" x14ac:dyDescent="0.25">
      <c r="A20" s="102" t="s">
        <v>327</v>
      </c>
      <c r="B20" s="67"/>
      <c r="C20" s="69"/>
      <c r="D20" s="93">
        <f>Calculation!D167</f>
        <v>91032.565946088696</v>
      </c>
      <c r="E20" s="93">
        <f>Calculation!E167</f>
        <v>80674.764114350517</v>
      </c>
      <c r="F20" s="93">
        <f>Calculation!F167</f>
        <v>99458.920108836392</v>
      </c>
      <c r="G20" s="93">
        <f>Calculation!G167</f>
        <v>93318.901532520744</v>
      </c>
      <c r="H20" s="93">
        <f>Calculation!H167</f>
        <v>105243.24773955269</v>
      </c>
      <c r="I20"/>
      <c r="J20"/>
      <c r="K20"/>
      <c r="L20"/>
      <c r="M20"/>
      <c r="N20"/>
      <c r="O20"/>
      <c r="P20"/>
      <c r="Q20"/>
      <c r="R20"/>
      <c r="S20"/>
      <c r="T20"/>
    </row>
    <row r="21" spans="1:20" s="4" customFormat="1" x14ac:dyDescent="0.25">
      <c r="A21" s="102" t="s">
        <v>51</v>
      </c>
      <c r="B21" s="67"/>
      <c r="C21" s="69"/>
      <c r="D21" s="105">
        <f>Selection!D17</f>
        <v>0.3</v>
      </c>
      <c r="E21" s="105">
        <f>Selection!E17</f>
        <v>0.28000000000000003</v>
      </c>
      <c r="F21" s="105">
        <f>Selection!F17</f>
        <v>0.28000000000000003</v>
      </c>
      <c r="G21" s="105">
        <f>Selection!G17</f>
        <v>0.28000000000000003</v>
      </c>
      <c r="H21" s="105">
        <f>Selection!H17</f>
        <v>0.28000000000000003</v>
      </c>
      <c r="I21"/>
      <c r="J21"/>
      <c r="K21"/>
      <c r="L21"/>
      <c r="M21"/>
      <c r="N21"/>
      <c r="O21"/>
      <c r="P21"/>
      <c r="Q21"/>
      <c r="R21"/>
      <c r="S21"/>
      <c r="T21"/>
    </row>
    <row r="22" spans="1:20" s="4" customFormat="1" x14ac:dyDescent="0.25">
      <c r="A22" s="102" t="s">
        <v>52</v>
      </c>
      <c r="B22" s="67"/>
      <c r="C22" s="69"/>
      <c r="D22" s="93">
        <f>Calculation!D75</f>
        <v>339981.96621765615</v>
      </c>
      <c r="E22" s="93">
        <f>Calculation!E75</f>
        <v>287149.85047793452</v>
      </c>
      <c r="F22" s="93">
        <f>Calculation!F75</f>
        <v>370648.68868279323</v>
      </c>
      <c r="G22" s="93">
        <f>Calculation!G75</f>
        <v>445754.5894643619</v>
      </c>
      <c r="H22" s="93">
        <f>Calculation!H75</f>
        <v>486977.03662084346</v>
      </c>
      <c r="I22"/>
      <c r="J22"/>
      <c r="K22"/>
      <c r="L22"/>
      <c r="M22"/>
      <c r="N22"/>
      <c r="O22"/>
      <c r="P22"/>
      <c r="Q22"/>
      <c r="R22"/>
      <c r="S22"/>
      <c r="T22"/>
    </row>
    <row r="23" spans="1:20" s="4" customFormat="1" x14ac:dyDescent="0.25">
      <c r="A23" s="102" t="s">
        <v>63</v>
      </c>
      <c r="B23" s="67"/>
      <c r="C23" s="69"/>
      <c r="D23" s="93">
        <f>Calculation!D76</f>
        <v>16399.469717938206</v>
      </c>
      <c r="E23" s="93">
        <f>Calculation!E76</f>
        <v>30636.742620548423</v>
      </c>
      <c r="F23" s="93">
        <f>Calculation!F76</f>
        <v>15457.557236204935</v>
      </c>
      <c r="G23" s="93">
        <f>Calculation!G76</f>
        <v>25296.816540321164</v>
      </c>
      <c r="H23" s="93">
        <f>Calculation!H76</f>
        <v>25169.381785220132</v>
      </c>
      <c r="I23"/>
      <c r="J23"/>
      <c r="K23"/>
      <c r="L23"/>
      <c r="M23"/>
      <c r="N23"/>
      <c r="O23"/>
      <c r="P23"/>
      <c r="Q23"/>
      <c r="R23"/>
      <c r="S23"/>
      <c r="T23"/>
    </row>
    <row r="24" spans="1:20" s="4" customFormat="1" x14ac:dyDescent="0.25">
      <c r="A24" s="102" t="s">
        <v>53</v>
      </c>
      <c r="B24" s="67"/>
      <c r="C24" s="69"/>
      <c r="D24" s="93">
        <f>Calculation!D91</f>
        <v>-57618.348185575051</v>
      </c>
      <c r="E24" s="93">
        <f>Calculation!E91</f>
        <v>-96097.208096254559</v>
      </c>
      <c r="F24" s="93">
        <f>Calculation!F91</f>
        <v>-127896.05058870178</v>
      </c>
      <c r="G24" s="93">
        <f>Calculation!G91</f>
        <v>-155392.13659312847</v>
      </c>
      <c r="H24" s="93">
        <f>Calculation!H91</f>
        <v>-190910.71168769506</v>
      </c>
      <c r="I24"/>
      <c r="J24"/>
      <c r="K24"/>
      <c r="L24"/>
      <c r="M24"/>
      <c r="N24"/>
      <c r="O24"/>
      <c r="P24"/>
      <c r="Q24"/>
      <c r="R24"/>
      <c r="S24"/>
      <c r="T24"/>
    </row>
    <row r="25" spans="1:20" s="4" customFormat="1" x14ac:dyDescent="0.25">
      <c r="A25" s="31" t="s">
        <v>54</v>
      </c>
      <c r="B25" s="67"/>
      <c r="C25" s="93"/>
      <c r="D25" s="93"/>
      <c r="E25" s="93"/>
      <c r="F25" s="93"/>
      <c r="G25" s="93"/>
      <c r="H25" s="93">
        <f>Calculation!H80</f>
        <v>7124380.0401084758</v>
      </c>
      <c r="I25"/>
      <c r="J25"/>
      <c r="K25"/>
      <c r="L25"/>
      <c r="M25"/>
      <c r="N25"/>
      <c r="O25"/>
      <c r="P25"/>
      <c r="Q25"/>
      <c r="R25"/>
      <c r="S25"/>
      <c r="T25"/>
    </row>
    <row r="26" spans="1:20" s="4" customFormat="1" x14ac:dyDescent="0.25">
      <c r="A26" s="31" t="s">
        <v>547</v>
      </c>
      <c r="B26" s="198"/>
      <c r="C26" s="85" t="b">
        <f>Selection!B22</f>
        <v>1</v>
      </c>
      <c r="D26" s="85"/>
      <c r="E26" s="85"/>
      <c r="F26" s="85"/>
      <c r="G26" s="85"/>
      <c r="H26" s="85"/>
    </row>
    <row r="27" spans="1:20" s="4" customFormat="1" x14ac:dyDescent="0.25">
      <c r="A27" s="113" t="s">
        <v>455</v>
      </c>
    </row>
    <row r="28" spans="1:20" s="4" customFormat="1" ht="39.950000000000003" customHeight="1" x14ac:dyDescent="0.35">
      <c r="A28" s="65" t="s">
        <v>17</v>
      </c>
      <c r="B28" s="35"/>
      <c r="C28" s="35"/>
      <c r="D28" s="35"/>
      <c r="E28" s="35"/>
      <c r="F28" s="35"/>
      <c r="G28" s="35"/>
      <c r="H28" s="35"/>
      <c r="I28" s="35"/>
    </row>
    <row r="29" spans="1:20" ht="35.1" customHeight="1" x14ac:dyDescent="0.35">
      <c r="A29" s="61" t="s">
        <v>55</v>
      </c>
    </row>
    <row r="30" spans="1:20" s="4" customFormat="1" x14ac:dyDescent="0.25">
      <c r="A30" s="28"/>
      <c r="B30" s="28"/>
      <c r="C30" s="28"/>
      <c r="D30" s="110">
        <f t="shared" ref="D30:S30" si="0">DATE(D31,3,31)-D32</f>
        <v>40268</v>
      </c>
      <c r="E30" s="110">
        <f t="shared" si="0"/>
        <v>40451</v>
      </c>
      <c r="F30" s="110">
        <f t="shared" si="0"/>
        <v>40485</v>
      </c>
      <c r="G30" s="110">
        <f t="shared" si="0"/>
        <v>40633</v>
      </c>
      <c r="H30" s="110">
        <f t="shared" si="0"/>
        <v>40817</v>
      </c>
      <c r="I30" s="110">
        <f t="shared" si="0"/>
        <v>40851</v>
      </c>
      <c r="J30" s="110">
        <f t="shared" si="0"/>
        <v>40999</v>
      </c>
      <c r="K30" s="110">
        <f t="shared" si="0"/>
        <v>41182</v>
      </c>
      <c r="L30" s="110">
        <f t="shared" si="0"/>
        <v>41216</v>
      </c>
      <c r="M30" s="110">
        <f t="shared" si="0"/>
        <v>41364</v>
      </c>
      <c r="N30" s="110">
        <f t="shared" si="0"/>
        <v>41547</v>
      </c>
      <c r="O30" s="110">
        <f t="shared" si="0"/>
        <v>41581</v>
      </c>
      <c r="P30" s="110">
        <f t="shared" si="0"/>
        <v>41729</v>
      </c>
      <c r="Q30" s="110">
        <f t="shared" si="0"/>
        <v>41912</v>
      </c>
      <c r="R30" s="110">
        <f t="shared" si="0"/>
        <v>41946</v>
      </c>
      <c r="S30" s="110">
        <f t="shared" si="0"/>
        <v>42094</v>
      </c>
    </row>
    <row r="31" spans="1:20" s="4" customFormat="1" x14ac:dyDescent="0.25">
      <c r="A31" s="31" t="s">
        <v>56</v>
      </c>
      <c r="B31" s="32"/>
      <c r="C31" s="32"/>
      <c r="D31" s="70">
        <v>2010</v>
      </c>
      <c r="E31" s="70">
        <v>2011</v>
      </c>
      <c r="F31" s="70">
        <v>2011</v>
      </c>
      <c r="G31" s="70">
        <v>2011</v>
      </c>
      <c r="H31" s="70">
        <v>2012</v>
      </c>
      <c r="I31" s="70">
        <v>2012</v>
      </c>
      <c r="J31" s="70">
        <v>2012</v>
      </c>
      <c r="K31" s="70">
        <v>2013</v>
      </c>
      <c r="L31" s="70">
        <v>2013</v>
      </c>
      <c r="M31" s="70">
        <v>2013</v>
      </c>
      <c r="N31" s="70">
        <v>2014</v>
      </c>
      <c r="O31" s="70">
        <v>2014</v>
      </c>
      <c r="P31" s="70">
        <v>2014</v>
      </c>
      <c r="Q31" s="70">
        <v>2015</v>
      </c>
      <c r="R31" s="70">
        <v>2015</v>
      </c>
      <c r="S31" s="70">
        <v>2015</v>
      </c>
    </row>
    <row r="32" spans="1:20" s="4" customFormat="1" x14ac:dyDescent="0.25">
      <c r="A32" s="31" t="s">
        <v>57</v>
      </c>
      <c r="B32" s="32"/>
      <c r="C32" s="32"/>
      <c r="D32" s="64">
        <f>$C$10</f>
        <v>0</v>
      </c>
      <c r="E32" s="64">
        <f>$D$7</f>
        <v>182</v>
      </c>
      <c r="F32" s="64">
        <f>$D$8</f>
        <v>148</v>
      </c>
      <c r="G32" s="64">
        <f>$D$9</f>
        <v>0</v>
      </c>
      <c r="H32" s="64">
        <f>$E$7</f>
        <v>182</v>
      </c>
      <c r="I32" s="64">
        <f>$E$8</f>
        <v>148</v>
      </c>
      <c r="J32" s="64">
        <f>$E$9</f>
        <v>0</v>
      </c>
      <c r="K32" s="64">
        <f>$F$7</f>
        <v>182</v>
      </c>
      <c r="L32" s="64">
        <f>$F$8</f>
        <v>148</v>
      </c>
      <c r="M32" s="64">
        <f>$F$9</f>
        <v>0</v>
      </c>
      <c r="N32" s="64">
        <f>$G$7</f>
        <v>182</v>
      </c>
      <c r="O32" s="64">
        <f>$G$8</f>
        <v>148</v>
      </c>
      <c r="P32" s="64">
        <f>$G$9</f>
        <v>0</v>
      </c>
      <c r="Q32" s="64">
        <f>$H$7</f>
        <v>182</v>
      </c>
      <c r="R32" s="64">
        <f>$H$8</f>
        <v>148</v>
      </c>
      <c r="S32" s="64">
        <f>$H$9</f>
        <v>0</v>
      </c>
    </row>
    <row r="33" spans="1:19" s="4" customFormat="1" x14ac:dyDescent="0.25">
      <c r="A33" s="31" t="s">
        <v>437</v>
      </c>
      <c r="B33" s="32"/>
      <c r="C33" s="32"/>
      <c r="D33" s="57">
        <f t="shared" ref="D33:S33" si="1">D30-$D$30</f>
        <v>0</v>
      </c>
      <c r="E33" s="57">
        <f t="shared" si="1"/>
        <v>183</v>
      </c>
      <c r="F33" s="57">
        <f t="shared" si="1"/>
        <v>217</v>
      </c>
      <c r="G33" s="57">
        <f t="shared" si="1"/>
        <v>365</v>
      </c>
      <c r="H33" s="57">
        <f t="shared" si="1"/>
        <v>549</v>
      </c>
      <c r="I33" s="57">
        <f t="shared" si="1"/>
        <v>583</v>
      </c>
      <c r="J33" s="57">
        <f t="shared" si="1"/>
        <v>731</v>
      </c>
      <c r="K33" s="57">
        <f t="shared" si="1"/>
        <v>914</v>
      </c>
      <c r="L33" s="57">
        <f t="shared" si="1"/>
        <v>948</v>
      </c>
      <c r="M33" s="57">
        <f t="shared" si="1"/>
        <v>1096</v>
      </c>
      <c r="N33" s="57">
        <f t="shared" si="1"/>
        <v>1279</v>
      </c>
      <c r="O33" s="57">
        <f t="shared" si="1"/>
        <v>1313</v>
      </c>
      <c r="P33" s="57">
        <f t="shared" si="1"/>
        <v>1461</v>
      </c>
      <c r="Q33" s="57">
        <f t="shared" si="1"/>
        <v>1644</v>
      </c>
      <c r="R33" s="57">
        <f t="shared" si="1"/>
        <v>1678</v>
      </c>
      <c r="S33" s="57">
        <f t="shared" si="1"/>
        <v>1826</v>
      </c>
    </row>
    <row r="34" spans="1:19" s="4" customFormat="1" ht="18.75" x14ac:dyDescent="0.3">
      <c r="A34" s="199" t="s">
        <v>166</v>
      </c>
    </row>
    <row r="35" spans="1:19" s="4" customFormat="1" x14ac:dyDescent="0.25">
      <c r="A35" s="77"/>
      <c r="B35" s="28"/>
      <c r="C35" s="77" t="s">
        <v>162</v>
      </c>
      <c r="D35" s="107">
        <f>D$30</f>
        <v>40268</v>
      </c>
      <c r="E35" s="107">
        <f t="shared" ref="E35:S35" si="2">E$30</f>
        <v>40451</v>
      </c>
      <c r="F35" s="107">
        <f t="shared" si="2"/>
        <v>40485</v>
      </c>
      <c r="G35" s="107">
        <f t="shared" si="2"/>
        <v>40633</v>
      </c>
      <c r="H35" s="107">
        <f t="shared" si="2"/>
        <v>40817</v>
      </c>
      <c r="I35" s="107">
        <f t="shared" si="2"/>
        <v>40851</v>
      </c>
      <c r="J35" s="107">
        <f t="shared" si="2"/>
        <v>40999</v>
      </c>
      <c r="K35" s="107">
        <f t="shared" si="2"/>
        <v>41182</v>
      </c>
      <c r="L35" s="107">
        <f t="shared" si="2"/>
        <v>41216</v>
      </c>
      <c r="M35" s="107">
        <f t="shared" si="2"/>
        <v>41364</v>
      </c>
      <c r="N35" s="107">
        <f t="shared" si="2"/>
        <v>41547</v>
      </c>
      <c r="O35" s="107">
        <f t="shared" si="2"/>
        <v>41581</v>
      </c>
      <c r="P35" s="107">
        <f t="shared" si="2"/>
        <v>41729</v>
      </c>
      <c r="Q35" s="107">
        <f t="shared" si="2"/>
        <v>41912</v>
      </c>
      <c r="R35" s="107">
        <f t="shared" si="2"/>
        <v>41946</v>
      </c>
      <c r="S35" s="107">
        <f t="shared" si="2"/>
        <v>42094</v>
      </c>
    </row>
    <row r="36" spans="1:19" s="4" customFormat="1" x14ac:dyDescent="0.25">
      <c r="A36" s="102" t="s">
        <v>58</v>
      </c>
      <c r="B36" s="167"/>
      <c r="C36" s="106">
        <f t="shared" ref="C36:C45" si="3">SUMPRODUCT($J36:$S36,$J$47:$S$47)</f>
        <v>4537338.8847045591</v>
      </c>
      <c r="D36" s="68"/>
      <c r="E36" s="68"/>
      <c r="F36" s="68"/>
      <c r="G36" s="68"/>
      <c r="H36" s="68"/>
      <c r="I36" s="68"/>
      <c r="J36" s="68"/>
      <c r="K36" s="68"/>
      <c r="L36" s="68">
        <f>F$15</f>
        <v>1616063.5001622848</v>
      </c>
      <c r="M36" s="68"/>
      <c r="N36" s="68"/>
      <c r="O36" s="68">
        <f>G$15</f>
        <v>1638092.8953368003</v>
      </c>
      <c r="P36" s="68"/>
      <c r="Q36" s="68"/>
      <c r="R36" s="68">
        <f>H$15</f>
        <v>1808665.0188056882</v>
      </c>
      <c r="S36" s="68"/>
    </row>
    <row r="37" spans="1:19" s="4" customFormat="1" x14ac:dyDescent="0.25">
      <c r="A37" s="103" t="s">
        <v>362</v>
      </c>
      <c r="B37" s="167"/>
      <c r="C37" s="106">
        <f t="shared" si="3"/>
        <v>-19412.838768554575</v>
      </c>
      <c r="D37" s="68"/>
      <c r="E37" s="68"/>
      <c r="G37" s="68"/>
      <c r="H37" s="68"/>
      <c r="J37" s="68"/>
      <c r="K37" s="68">
        <f>F$16</f>
        <v>1565.5396361038111</v>
      </c>
      <c r="M37" s="68"/>
      <c r="N37" s="68">
        <f>G$16</f>
        <v>-10093.777197280724</v>
      </c>
      <c r="P37" s="68"/>
      <c r="Q37" s="68">
        <f>H$16</f>
        <v>-14006.013715153209</v>
      </c>
      <c r="S37" s="68"/>
    </row>
    <row r="38" spans="1:19" s="4" customFormat="1" x14ac:dyDescent="0.25">
      <c r="A38" s="103" t="s">
        <v>59</v>
      </c>
      <c r="B38" s="167"/>
      <c r="C38" s="106">
        <f t="shared" si="3"/>
        <v>-2355263.0560453921</v>
      </c>
      <c r="D38" s="68"/>
      <c r="E38" s="68"/>
      <c r="F38" s="68"/>
      <c r="G38" s="68"/>
      <c r="H38" s="68"/>
      <c r="I38" s="68"/>
      <c r="J38" s="68"/>
      <c r="K38" s="68">
        <f>-F$17</f>
        <v>-814024.94760965067</v>
      </c>
      <c r="L38" s="68"/>
      <c r="M38" s="68"/>
      <c r="N38" s="68">
        <f>-G$17</f>
        <v>-862841.79942886205</v>
      </c>
      <c r="O38" s="68"/>
      <c r="P38" s="68"/>
      <c r="Q38" s="68">
        <f>-H$17</f>
        <v>-936141.57536027324</v>
      </c>
      <c r="R38" s="68"/>
      <c r="S38" s="68"/>
    </row>
    <row r="39" spans="1:19" s="4" customFormat="1" x14ac:dyDescent="0.25">
      <c r="A39" s="103" t="s">
        <v>363</v>
      </c>
      <c r="B39" s="167"/>
      <c r="C39" s="106">
        <f t="shared" si="3"/>
        <v>-1171374.7519279849</v>
      </c>
      <c r="D39" s="68"/>
      <c r="E39" s="68"/>
      <c r="F39" s="68"/>
      <c r="G39" s="68"/>
      <c r="H39" s="68"/>
      <c r="I39" s="68"/>
      <c r="J39" s="68"/>
      <c r="K39" s="68">
        <f>-F$22</f>
        <v>-370648.68868279323</v>
      </c>
      <c r="L39" s="68"/>
      <c r="M39" s="68"/>
      <c r="N39" s="68">
        <f>-G$22</f>
        <v>-445754.5894643619</v>
      </c>
      <c r="O39" s="68"/>
      <c r="P39" s="68"/>
      <c r="Q39" s="68">
        <f>-H$22</f>
        <v>-486977.03662084346</v>
      </c>
      <c r="R39" s="68"/>
      <c r="S39" s="68"/>
    </row>
    <row r="40" spans="1:19" s="4" customFormat="1" x14ac:dyDescent="0.25">
      <c r="A40" s="103" t="s">
        <v>364</v>
      </c>
      <c r="B40" s="167"/>
      <c r="C40" s="106">
        <f t="shared" si="3"/>
        <v>-2298.378566306485</v>
      </c>
      <c r="D40" s="68"/>
      <c r="E40" s="68"/>
      <c r="F40" s="68"/>
      <c r="G40" s="68"/>
      <c r="H40" s="68"/>
      <c r="I40" s="68"/>
      <c r="J40" s="68"/>
      <c r="K40" s="68"/>
      <c r="L40" s="68"/>
      <c r="M40" s="68">
        <f>-F$19</f>
        <v>-504.00406373541858</v>
      </c>
      <c r="N40" s="68"/>
      <c r="O40" s="68"/>
      <c r="P40" s="68">
        <f>-G$19</f>
        <v>-1084.1504138256339</v>
      </c>
      <c r="Q40" s="68"/>
      <c r="R40" s="68"/>
      <c r="S40" s="68">
        <f>-H$19</f>
        <v>-1081.1390508290979</v>
      </c>
    </row>
    <row r="41" spans="1:19" s="4" customFormat="1" ht="15" customHeight="1" x14ac:dyDescent="0.25">
      <c r="A41" s="103" t="s">
        <v>365</v>
      </c>
      <c r="B41" s="167"/>
      <c r="C41" s="106">
        <f t="shared" si="3"/>
        <v>59005.798301267838</v>
      </c>
      <c r="D41" s="68"/>
      <c r="E41" s="75"/>
      <c r="F41" s="68"/>
      <c r="G41" s="75"/>
      <c r="H41" s="75"/>
      <c r="I41" s="68"/>
      <c r="J41" s="75"/>
      <c r="K41" s="75">
        <f>IF($C$26,F$23,0)</f>
        <v>15457.557236204935</v>
      </c>
      <c r="L41" s="68"/>
      <c r="M41" s="75">
        <f>IF($C$26,0,F$23)</f>
        <v>0</v>
      </c>
      <c r="N41" s="75">
        <f>IF($C$26,G$23,0)</f>
        <v>25296.816540321164</v>
      </c>
      <c r="O41" s="68"/>
      <c r="P41" s="75">
        <f>IF($C$26,0,G$23)</f>
        <v>0</v>
      </c>
      <c r="Q41" s="68">
        <f>IF($C$26,H$23,0)</f>
        <v>25169.381785220132</v>
      </c>
      <c r="R41" s="68"/>
      <c r="S41" s="68">
        <f>IF($C$26,0,H$23)</f>
        <v>0</v>
      </c>
    </row>
    <row r="42" spans="1:19" s="4" customFormat="1" ht="15" customHeight="1" x14ac:dyDescent="0.25">
      <c r="A42" s="185" t="s">
        <v>366</v>
      </c>
      <c r="B42" s="64"/>
      <c r="C42" s="106">
        <f t="shared" si="3"/>
        <v>-269136.08115073037</v>
      </c>
      <c r="D42" s="68"/>
      <c r="E42" s="68"/>
      <c r="F42" s="68"/>
      <c r="G42" s="68"/>
      <c r="H42" s="68"/>
      <c r="I42" s="68"/>
      <c r="J42" s="68"/>
      <c r="K42" s="68">
        <f>-F$20</f>
        <v>-99458.920108836392</v>
      </c>
      <c r="L42" s="68"/>
      <c r="M42" s="68"/>
      <c r="N42" s="68">
        <f>-G$20</f>
        <v>-93318.901532520744</v>
      </c>
      <c r="O42" s="68"/>
      <c r="P42" s="68"/>
      <c r="Q42" s="68">
        <f>-H$20</f>
        <v>-105243.24773955269</v>
      </c>
      <c r="R42" s="68"/>
      <c r="S42" s="68"/>
    </row>
    <row r="43" spans="1:19" s="4" customFormat="1" ht="15" customHeight="1" x14ac:dyDescent="0.25">
      <c r="A43" s="103" t="s">
        <v>367</v>
      </c>
      <c r="B43" s="167"/>
      <c r="C43" s="106">
        <f t="shared" si="3"/>
        <v>-6431442.7809209591</v>
      </c>
      <c r="D43" s="64"/>
      <c r="E43" s="64"/>
      <c r="F43" s="68"/>
      <c r="G43" s="68"/>
      <c r="H43" s="68"/>
      <c r="I43" s="68"/>
      <c r="J43" s="64">
        <f>-F13-F14</f>
        <v>-6431442.7809209591</v>
      </c>
      <c r="K43" s="64"/>
      <c r="L43" s="68"/>
      <c r="M43" s="68"/>
      <c r="N43" s="68"/>
      <c r="O43" s="68"/>
      <c r="P43" s="68"/>
      <c r="Q43" s="68"/>
      <c r="R43" s="68"/>
      <c r="S43" s="64"/>
    </row>
    <row r="44" spans="1:19" s="4" customFormat="1" ht="15" customHeight="1" x14ac:dyDescent="0.25">
      <c r="A44" s="103" t="s">
        <v>368</v>
      </c>
      <c r="B44" s="167"/>
      <c r="C44" s="106">
        <f t="shared" si="3"/>
        <v>5652583.2116307076</v>
      </c>
      <c r="D44" s="64"/>
      <c r="E44" s="64"/>
      <c r="F44" s="68"/>
      <c r="G44" s="68"/>
      <c r="H44" s="68"/>
      <c r="I44" s="68"/>
      <c r="J44" s="64"/>
      <c r="K44" s="64"/>
      <c r="L44" s="68"/>
      <c r="M44" s="64"/>
      <c r="N44" s="68"/>
      <c r="O44" s="68"/>
      <c r="P44" s="68"/>
      <c r="Q44" s="68"/>
      <c r="R44" s="68"/>
      <c r="S44" s="64">
        <f>H25+H24</f>
        <v>6933469.3284207806</v>
      </c>
    </row>
    <row r="45" spans="1:19" s="4" customFormat="1" x14ac:dyDescent="0.25">
      <c r="A45" s="31" t="s">
        <v>456</v>
      </c>
      <c r="B45" s="167"/>
      <c r="C45" s="106">
        <f t="shared" si="3"/>
        <v>7.2566056624054909E-3</v>
      </c>
      <c r="D45" s="68"/>
      <c r="E45" s="68"/>
      <c r="F45" s="68"/>
      <c r="G45" s="68"/>
      <c r="H45" s="68"/>
      <c r="I45" s="68"/>
      <c r="J45" s="68">
        <f t="shared" ref="J45:S45" si="4">SUM(J36:J44)</f>
        <v>-6431442.7809209591</v>
      </c>
      <c r="K45" s="68">
        <f t="shared" si="4"/>
        <v>-1267109.4595289717</v>
      </c>
      <c r="L45" s="68">
        <f t="shared" si="4"/>
        <v>1616063.5001622848</v>
      </c>
      <c r="M45" s="68">
        <f t="shared" si="4"/>
        <v>-504.00406373541858</v>
      </c>
      <c r="N45" s="68">
        <f t="shared" si="4"/>
        <v>-1386712.2510827044</v>
      </c>
      <c r="O45" s="68">
        <f t="shared" si="4"/>
        <v>1638092.8953368003</v>
      </c>
      <c r="P45" s="68">
        <f t="shared" si="4"/>
        <v>-1084.1504138256339</v>
      </c>
      <c r="Q45" s="68">
        <f t="shared" si="4"/>
        <v>-1517198.4916506023</v>
      </c>
      <c r="R45" s="68">
        <f t="shared" si="4"/>
        <v>1808665.0188056882</v>
      </c>
      <c r="S45" s="68">
        <f t="shared" si="4"/>
        <v>6932388.1893699514</v>
      </c>
    </row>
    <row r="46" spans="1:19" s="4" customFormat="1" x14ac:dyDescent="0.25">
      <c r="A46" s="189" t="s">
        <v>460</v>
      </c>
      <c r="C46" s="113" t="str">
        <f>"Discounted at "&amp;TEXT(C47,"0.00%")&amp;" p.a."</f>
        <v>Discounted at 7.05% p.a.</v>
      </c>
    </row>
    <row r="47" spans="1:19" s="4" customFormat="1" x14ac:dyDescent="0.25">
      <c r="A47" s="31" t="s">
        <v>457</v>
      </c>
      <c r="B47" s="31"/>
      <c r="C47" s="183">
        <f>IFERROR(NA,XIRR(J45:S45,J35:S35))</f>
        <v>7.0453676581382768E-2</v>
      </c>
      <c r="D47" s="184"/>
      <c r="E47" s="184"/>
      <c r="F47" s="184"/>
      <c r="G47" s="184"/>
      <c r="H47" s="184"/>
      <c r="I47" s="184"/>
      <c r="J47" s="71">
        <f t="shared" ref="J47:S47" si="5">(1+$C$47)^-((J33-$J33)/365)</f>
        <v>1</v>
      </c>
      <c r="K47" s="71">
        <f t="shared" si="5"/>
        <v>0.96644146942127562</v>
      </c>
      <c r="L47" s="71">
        <f t="shared" si="5"/>
        <v>0.96033175302290819</v>
      </c>
      <c r="M47" s="71">
        <f t="shared" si="5"/>
        <v>0.93418334849726081</v>
      </c>
      <c r="N47" s="71">
        <f t="shared" si="5"/>
        <v>0.90283352803058048</v>
      </c>
      <c r="O47" s="71">
        <f t="shared" si="5"/>
        <v>0.89712593270718499</v>
      </c>
      <c r="P47" s="71">
        <f t="shared" si="5"/>
        <v>0.87269852860955466</v>
      </c>
      <c r="Q47" s="71">
        <f t="shared" si="5"/>
        <v>0.84341204835120309</v>
      </c>
      <c r="R47" s="71">
        <f t="shared" si="5"/>
        <v>0.8380801078401261</v>
      </c>
      <c r="S47" s="71">
        <f t="shared" si="5"/>
        <v>0.81526043368510626</v>
      </c>
    </row>
    <row r="48" spans="1:19" s="4" customFormat="1" x14ac:dyDescent="0.25">
      <c r="A48" s="31" t="s">
        <v>459</v>
      </c>
      <c r="B48" s="31"/>
      <c r="C48" s="188">
        <f>SUM(D48:S48)</f>
        <v>7.2566056624054909E-3</v>
      </c>
      <c r="D48" s="71"/>
      <c r="E48" s="71"/>
      <c r="F48" s="71"/>
      <c r="G48" s="71"/>
      <c r="H48" s="71"/>
      <c r="I48" s="71"/>
      <c r="J48" s="57">
        <f t="shared" ref="J48:S48" si="6">J45*J47</f>
        <v>-6431442.7809209591</v>
      </c>
      <c r="K48" s="57">
        <f t="shared" si="6"/>
        <v>-1224587.1279847778</v>
      </c>
      <c r="L48" s="57">
        <f t="shared" si="6"/>
        <v>1551957.0941071839</v>
      </c>
      <c r="M48" s="57">
        <f t="shared" si="6"/>
        <v>-470.83220391658017</v>
      </c>
      <c r="N48" s="57">
        <f t="shared" si="6"/>
        <v>-1251970.3140082262</v>
      </c>
      <c r="O48" s="57">
        <f t="shared" si="6"/>
        <v>1469575.61659004</v>
      </c>
      <c r="P48" s="57">
        <f t="shared" si="6"/>
        <v>-946.1364709370705</v>
      </c>
      <c r="Q48" s="57">
        <f t="shared" si="6"/>
        <v>-1279623.4875983901</v>
      </c>
      <c r="R48" s="57">
        <f t="shared" si="6"/>
        <v>1515806.174007335</v>
      </c>
      <c r="S48" s="57">
        <f t="shared" si="6"/>
        <v>5651701.801739255</v>
      </c>
    </row>
    <row r="49" spans="1:19" s="4" customFormat="1" ht="18.75" x14ac:dyDescent="0.3">
      <c r="A49" s="199" t="s">
        <v>548</v>
      </c>
    </row>
    <row r="50" spans="1:19" s="4" customFormat="1" x14ac:dyDescent="0.25">
      <c r="A50" s="77"/>
      <c r="B50" s="28"/>
      <c r="C50" s="77" t="s">
        <v>162</v>
      </c>
      <c r="D50" s="107">
        <f>D$30</f>
        <v>40268</v>
      </c>
      <c r="E50" s="107">
        <f t="shared" ref="E50:S50" si="7">E$30</f>
        <v>40451</v>
      </c>
      <c r="F50" s="107">
        <f t="shared" si="7"/>
        <v>40485</v>
      </c>
      <c r="G50" s="107">
        <f t="shared" si="7"/>
        <v>40633</v>
      </c>
      <c r="H50" s="107">
        <f t="shared" si="7"/>
        <v>40817</v>
      </c>
      <c r="I50" s="107">
        <f t="shared" si="7"/>
        <v>40851</v>
      </c>
      <c r="J50" s="107">
        <f t="shared" si="7"/>
        <v>40999</v>
      </c>
      <c r="K50" s="107">
        <f t="shared" si="7"/>
        <v>41182</v>
      </c>
      <c r="L50" s="107">
        <f t="shared" si="7"/>
        <v>41216</v>
      </c>
      <c r="M50" s="107">
        <f t="shared" si="7"/>
        <v>41364</v>
      </c>
      <c r="N50" s="107">
        <f t="shared" si="7"/>
        <v>41547</v>
      </c>
      <c r="O50" s="107">
        <f t="shared" si="7"/>
        <v>41581</v>
      </c>
      <c r="P50" s="107">
        <f t="shared" si="7"/>
        <v>41729</v>
      </c>
      <c r="Q50" s="107">
        <f t="shared" si="7"/>
        <v>41912</v>
      </c>
      <c r="R50" s="107">
        <f t="shared" si="7"/>
        <v>41946</v>
      </c>
      <c r="S50" s="107">
        <f t="shared" si="7"/>
        <v>42094</v>
      </c>
    </row>
    <row r="51" spans="1:19" s="4" customFormat="1" x14ac:dyDescent="0.25">
      <c r="A51" s="102" t="s">
        <v>58</v>
      </c>
      <c r="B51" s="167"/>
      <c r="C51" s="106">
        <f t="shared" ref="C51:C60" si="8">SUMPRODUCT($J51:$S51,$J$47:$S$47)</f>
        <v>4537338.8847045591</v>
      </c>
      <c r="D51" s="68"/>
      <c r="E51" s="68"/>
      <c r="F51" s="68">
        <f>D$15</f>
        <v>1436422.43212</v>
      </c>
      <c r="G51" s="68"/>
      <c r="H51" s="68"/>
      <c r="I51" s="68">
        <f>E$15</f>
        <v>1498172.2072048993</v>
      </c>
      <c r="J51" s="68"/>
      <c r="K51" s="68"/>
      <c r="L51" s="68">
        <f>F$15</f>
        <v>1616063.5001622848</v>
      </c>
      <c r="M51" s="68"/>
      <c r="N51" s="68"/>
      <c r="O51" s="68">
        <f>G$15</f>
        <v>1638092.8953368003</v>
      </c>
      <c r="P51" s="68"/>
      <c r="Q51" s="68"/>
      <c r="R51" s="68">
        <f>H$15</f>
        <v>1808665.0188056882</v>
      </c>
      <c r="S51" s="68"/>
    </row>
    <row r="52" spans="1:19" s="4" customFormat="1" x14ac:dyDescent="0.25">
      <c r="A52" s="103" t="s">
        <v>362</v>
      </c>
      <c r="B52" s="167"/>
      <c r="C52" s="106">
        <f t="shared" si="8"/>
        <v>-19412.838768554575</v>
      </c>
      <c r="D52" s="68"/>
      <c r="E52" s="68">
        <f>D$16</f>
        <v>-93.929749737868406</v>
      </c>
      <c r="G52" s="68"/>
      <c r="H52" s="68">
        <f>E$16</f>
        <v>-3266.7544420920003</v>
      </c>
      <c r="J52" s="68"/>
      <c r="K52" s="68">
        <f>F$16</f>
        <v>1565.5396361038111</v>
      </c>
      <c r="M52" s="68"/>
      <c r="N52" s="68">
        <f>G$16</f>
        <v>-10093.777197280724</v>
      </c>
      <c r="P52" s="68"/>
      <c r="Q52" s="68">
        <f>H$16</f>
        <v>-14006.013715153209</v>
      </c>
      <c r="S52" s="68"/>
    </row>
    <row r="53" spans="1:19" s="4" customFormat="1" x14ac:dyDescent="0.25">
      <c r="A53" s="103" t="s">
        <v>59</v>
      </c>
      <c r="B53" s="167"/>
      <c r="C53" s="106">
        <f t="shared" si="8"/>
        <v>-2355263.0560453921</v>
      </c>
      <c r="D53" s="68"/>
      <c r="E53" s="68">
        <f>-D$17</f>
        <v>-680053.11009999993</v>
      </c>
      <c r="F53" s="68"/>
      <c r="G53" s="68"/>
      <c r="H53" s="68">
        <f>-E$17</f>
        <v>-722686.67136212485</v>
      </c>
      <c r="I53" s="68"/>
      <c r="J53" s="68"/>
      <c r="K53" s="68">
        <f>-F$17</f>
        <v>-814024.94760965067</v>
      </c>
      <c r="L53" s="68"/>
      <c r="M53" s="68"/>
      <c r="N53" s="68">
        <f>-G$17</f>
        <v>-862841.79942886205</v>
      </c>
      <c r="O53" s="68"/>
      <c r="P53" s="68"/>
      <c r="Q53" s="68">
        <f>-H$17</f>
        <v>-936141.57536027324</v>
      </c>
      <c r="R53" s="68"/>
      <c r="S53" s="68"/>
    </row>
    <row r="54" spans="1:19" s="4" customFormat="1" x14ac:dyDescent="0.25">
      <c r="A54" s="103" t="s">
        <v>363</v>
      </c>
      <c r="B54" s="167"/>
      <c r="C54" s="106">
        <f t="shared" si="8"/>
        <v>-1171374.7519279849</v>
      </c>
      <c r="D54" s="68"/>
      <c r="E54" s="68">
        <f>-D$22</f>
        <v>-339981.96621765615</v>
      </c>
      <c r="F54" s="68"/>
      <c r="G54" s="68"/>
      <c r="H54" s="68">
        <f>-E$22</f>
        <v>-287149.85047793452</v>
      </c>
      <c r="I54" s="68"/>
      <c r="J54" s="68"/>
      <c r="K54" s="68">
        <f>-F$22</f>
        <v>-370648.68868279323</v>
      </c>
      <c r="L54" s="68"/>
      <c r="M54" s="68"/>
      <c r="N54" s="68">
        <f>-G$22</f>
        <v>-445754.5894643619</v>
      </c>
      <c r="O54" s="68"/>
      <c r="P54" s="68"/>
      <c r="Q54" s="68">
        <f>-H$22</f>
        <v>-486977.03662084346</v>
      </c>
      <c r="R54" s="68"/>
      <c r="S54" s="68"/>
    </row>
    <row r="55" spans="1:19" s="4" customFormat="1" x14ac:dyDescent="0.25">
      <c r="A55" s="103" t="s">
        <v>364</v>
      </c>
      <c r="B55" s="167"/>
      <c r="C55" s="106">
        <f t="shared" si="8"/>
        <v>-2298.378566306485</v>
      </c>
      <c r="D55" s="68"/>
      <c r="E55" s="68"/>
      <c r="F55" s="68"/>
      <c r="G55" s="68">
        <f>-D$19</f>
        <v>-737.16868479776849</v>
      </c>
      <c r="H55" s="68"/>
      <c r="I55" s="68"/>
      <c r="J55" s="68"/>
      <c r="K55" s="68"/>
      <c r="L55" s="68"/>
      <c r="M55" s="68">
        <f>-F$19</f>
        <v>-504.00406373541858</v>
      </c>
      <c r="N55" s="68"/>
      <c r="O55" s="68"/>
      <c r="P55" s="68">
        <f>-G$19</f>
        <v>-1084.1504138256339</v>
      </c>
      <c r="Q55" s="68"/>
      <c r="R55" s="68"/>
      <c r="S55" s="68">
        <f>-H$19</f>
        <v>-1081.1390508290979</v>
      </c>
    </row>
    <row r="56" spans="1:19" s="4" customFormat="1" ht="15" customHeight="1" x14ac:dyDescent="0.25">
      <c r="A56" s="103" t="s">
        <v>365</v>
      </c>
      <c r="B56" s="167"/>
      <c r="C56" s="106">
        <f t="shared" si="8"/>
        <v>59005.798301267838</v>
      </c>
      <c r="D56" s="68"/>
      <c r="E56" s="75">
        <f>IF($C$26,D$23,0)</f>
        <v>16399.469717938206</v>
      </c>
      <c r="F56" s="68"/>
      <c r="G56" s="75">
        <f>IF($C$26,0,D$23)</f>
        <v>0</v>
      </c>
      <c r="H56" s="75">
        <f>IF($C$26,E$23,0)</f>
        <v>30636.742620548423</v>
      </c>
      <c r="I56" s="68"/>
      <c r="J56" s="75"/>
      <c r="K56" s="75">
        <f>IF($C$26,F$23,0)</f>
        <v>15457.557236204935</v>
      </c>
      <c r="L56" s="68"/>
      <c r="M56" s="75">
        <f>IF($C$26,0,F$23)</f>
        <v>0</v>
      </c>
      <c r="N56" s="75">
        <f>IF($C$26,G$23,0)</f>
        <v>25296.816540321164</v>
      </c>
      <c r="O56" s="68"/>
      <c r="P56" s="75">
        <f>IF($C$26,0,G$23)</f>
        <v>0</v>
      </c>
      <c r="Q56" s="68">
        <f>IF($C$26,H$23,0)</f>
        <v>25169.381785220132</v>
      </c>
      <c r="R56" s="68"/>
      <c r="S56" s="68">
        <f>IF($C$26,0,H$23)</f>
        <v>0</v>
      </c>
    </row>
    <row r="57" spans="1:19" s="4" customFormat="1" ht="15" customHeight="1" x14ac:dyDescent="0.25">
      <c r="A57" s="185" t="s">
        <v>366</v>
      </c>
      <c r="B57" s="64"/>
      <c r="C57" s="106">
        <f t="shared" si="8"/>
        <v>-269136.08115073037</v>
      </c>
      <c r="D57" s="68"/>
      <c r="E57" s="68">
        <f>-D$20</f>
        <v>-91032.565946088696</v>
      </c>
      <c r="F57" s="68"/>
      <c r="G57" s="68"/>
      <c r="H57" s="68">
        <f>-E$20</f>
        <v>-80674.764114350517</v>
      </c>
      <c r="I57" s="68"/>
      <c r="J57" s="68"/>
      <c r="K57" s="68">
        <f>-F$20</f>
        <v>-99458.920108836392</v>
      </c>
      <c r="L57" s="68"/>
      <c r="M57" s="68"/>
      <c r="N57" s="68">
        <f>-G$20</f>
        <v>-93318.901532520744</v>
      </c>
      <c r="O57" s="68"/>
      <c r="P57" s="68"/>
      <c r="Q57" s="68">
        <f>-H$20</f>
        <v>-105243.24773955269</v>
      </c>
      <c r="R57" s="68"/>
      <c r="S57" s="68"/>
    </row>
    <row r="58" spans="1:19" s="4" customFormat="1" ht="15" customHeight="1" x14ac:dyDescent="0.25">
      <c r="A58" s="103" t="s">
        <v>367</v>
      </c>
      <c r="B58" s="167"/>
      <c r="C58" s="106">
        <f t="shared" si="8"/>
        <v>0</v>
      </c>
      <c r="D58" s="64">
        <f>-D13-D14</f>
        <v>-6181243.3696364192</v>
      </c>
      <c r="E58" s="64"/>
      <c r="F58" s="68"/>
      <c r="G58" s="68"/>
      <c r="H58" s="68"/>
      <c r="I58" s="68"/>
      <c r="J58" s="64"/>
      <c r="K58" s="64"/>
      <c r="L58" s="68"/>
      <c r="M58" s="68"/>
      <c r="N58" s="68"/>
      <c r="O58" s="68"/>
      <c r="P58" s="68"/>
      <c r="Q58" s="68"/>
      <c r="R58" s="68"/>
      <c r="S58" s="64"/>
    </row>
    <row r="59" spans="1:19" s="4" customFormat="1" ht="15" customHeight="1" x14ac:dyDescent="0.25">
      <c r="A59" s="103" t="s">
        <v>368</v>
      </c>
      <c r="B59" s="167"/>
      <c r="C59" s="106">
        <f t="shared" si="8"/>
        <v>5652583.2116307076</v>
      </c>
      <c r="D59" s="64"/>
      <c r="E59" s="64"/>
      <c r="F59" s="68"/>
      <c r="G59" s="68"/>
      <c r="H59" s="68"/>
      <c r="I59" s="68"/>
      <c r="J59" s="64"/>
      <c r="K59" s="64"/>
      <c r="L59" s="68"/>
      <c r="M59" s="64"/>
      <c r="N59" s="68"/>
      <c r="O59" s="68"/>
      <c r="P59" s="68"/>
      <c r="Q59" s="68"/>
      <c r="R59" s="68"/>
      <c r="S59" s="64">
        <f>H25+H24</f>
        <v>6933469.3284207806</v>
      </c>
    </row>
    <row r="60" spans="1:19" s="4" customFormat="1" x14ac:dyDescent="0.25">
      <c r="A60" s="31" t="s">
        <v>456</v>
      </c>
      <c r="B60" s="167"/>
      <c r="C60" s="106">
        <f t="shared" si="8"/>
        <v>6431442.7881775666</v>
      </c>
      <c r="D60" s="68">
        <f>SUM(D51:D59)</f>
        <v>-6181243.3696364192</v>
      </c>
      <c r="E60" s="68">
        <f t="shared" ref="E60:S60" si="9">SUM(E51:E59)</f>
        <v>-1094762.1022955445</v>
      </c>
      <c r="F60" s="68">
        <f t="shared" si="9"/>
        <v>1436422.43212</v>
      </c>
      <c r="G60" s="68">
        <f t="shared" si="9"/>
        <v>-737.16868479776849</v>
      </c>
      <c r="H60" s="68">
        <f t="shared" si="9"/>
        <v>-1063141.2977759535</v>
      </c>
      <c r="I60" s="68">
        <f t="shared" si="9"/>
        <v>1498172.2072048993</v>
      </c>
      <c r="J60" s="68">
        <f t="shared" si="9"/>
        <v>0</v>
      </c>
      <c r="K60" s="68">
        <f t="shared" si="9"/>
        <v>-1267109.4595289717</v>
      </c>
      <c r="L60" s="68">
        <f t="shared" si="9"/>
        <v>1616063.5001622848</v>
      </c>
      <c r="M60" s="68">
        <f t="shared" si="9"/>
        <v>-504.00406373541858</v>
      </c>
      <c r="N60" s="68">
        <f t="shared" si="9"/>
        <v>-1386712.2510827044</v>
      </c>
      <c r="O60" s="68">
        <f t="shared" si="9"/>
        <v>1638092.8953368003</v>
      </c>
      <c r="P60" s="68">
        <f t="shared" si="9"/>
        <v>-1084.1504138256339</v>
      </c>
      <c r="Q60" s="68">
        <f t="shared" si="9"/>
        <v>-1517198.4916506023</v>
      </c>
      <c r="R60" s="68">
        <f t="shared" si="9"/>
        <v>1808665.0188056882</v>
      </c>
      <c r="S60" s="68">
        <f t="shared" si="9"/>
        <v>6932388.1893699514</v>
      </c>
    </row>
    <row r="61" spans="1:19" s="4" customFormat="1" x14ac:dyDescent="0.25">
      <c r="D61" s="8"/>
      <c r="E61" s="8"/>
      <c r="F61" s="8"/>
      <c r="G61" s="8"/>
      <c r="H61" s="8"/>
      <c r="I61" s="8"/>
    </row>
    <row r="62" spans="1:19" s="4" customFormat="1" x14ac:dyDescent="0.25">
      <c r="A62" s="31" t="s">
        <v>458</v>
      </c>
      <c r="B62" s="31"/>
      <c r="C62" s="183">
        <f>IFERROR(NA,XIRR(D60:S60,D35:S35))</f>
        <v>7.5636538863182057E-2</v>
      </c>
      <c r="D62" s="71">
        <f t="shared" ref="D62:S62" si="10">(1+$C$62)^-((D33-$D33)/365)</f>
        <v>1</v>
      </c>
      <c r="E62" s="71">
        <f t="shared" si="10"/>
        <v>0.96410392125226996</v>
      </c>
      <c r="F62" s="71">
        <f t="shared" si="10"/>
        <v>0.95757804881338882</v>
      </c>
      <c r="G62" s="71">
        <f t="shared" si="10"/>
        <v>0.92968206626457595</v>
      </c>
      <c r="H62" s="71">
        <f t="shared" si="10"/>
        <v>0.89613109604579122</v>
      </c>
      <c r="I62" s="71">
        <f t="shared" si="10"/>
        <v>0.89006532129641203</v>
      </c>
      <c r="J62" s="71">
        <f t="shared" si="10"/>
        <v>0.86413610675253616</v>
      </c>
      <c r="K62" s="71">
        <f t="shared" si="10"/>
        <v>0.83311700901579033</v>
      </c>
      <c r="L62" s="71">
        <f t="shared" si="10"/>
        <v>0.82747776701329201</v>
      </c>
      <c r="M62" s="71">
        <f t="shared" si="10"/>
        <v>0.80337184125952399</v>
      </c>
      <c r="N62" s="71">
        <f t="shared" si="10"/>
        <v>0.77453394238196327</v>
      </c>
      <c r="O62" s="71">
        <f t="shared" si="10"/>
        <v>0.76929124022491457</v>
      </c>
      <c r="P62" s="71">
        <f t="shared" si="10"/>
        <v>0.74688039336093126</v>
      </c>
      <c r="Q62" s="71">
        <f t="shared" si="10"/>
        <v>0.72007031594571169</v>
      </c>
      <c r="R62" s="71">
        <f t="shared" si="10"/>
        <v>0.71519626977153694</v>
      </c>
      <c r="S62" s="71">
        <f t="shared" si="10"/>
        <v>0.69436130735228974</v>
      </c>
    </row>
    <row r="63" spans="1:19" s="4" customFormat="1" ht="39.950000000000003" customHeight="1" x14ac:dyDescent="0.35">
      <c r="A63" s="65" t="s">
        <v>16</v>
      </c>
      <c r="B63" s="35"/>
      <c r="C63" s="35"/>
      <c r="D63" s="35"/>
      <c r="E63" s="35"/>
      <c r="F63" s="35"/>
      <c r="G63" s="35"/>
      <c r="H63" s="35"/>
      <c r="I63" s="35"/>
    </row>
    <row r="64" spans="1:19" s="4" customFormat="1" x14ac:dyDescent="0.25">
      <c r="A64" s="104"/>
      <c r="B64" s="72"/>
      <c r="C64" s="66" t="s">
        <v>46</v>
      </c>
    </row>
    <row r="65" spans="1:13" s="4" customFormat="1" x14ac:dyDescent="0.25">
      <c r="A65" s="31" t="s">
        <v>369</v>
      </c>
      <c r="B65" s="31"/>
      <c r="C65" s="73">
        <f>C47</f>
        <v>7.0453676581382768E-2</v>
      </c>
      <c r="D65" s="74"/>
      <c r="E65" s="74"/>
      <c r="F65" s="74"/>
      <c r="G65" s="74"/>
      <c r="H65" s="74"/>
      <c r="I65" s="74"/>
      <c r="J65" s="74"/>
      <c r="K65" s="74"/>
      <c r="L65" s="74"/>
      <c r="M65" s="74"/>
    </row>
    <row r="66" spans="1:13" s="4" customFormat="1" x14ac:dyDescent="0.25">
      <c r="A66" s="31" t="s">
        <v>369</v>
      </c>
      <c r="B66" s="31"/>
      <c r="C66" s="73">
        <f>C62</f>
        <v>7.5636538863182057E-2</v>
      </c>
    </row>
    <row r="67" spans="1:13" s="4" customFormat="1" x14ac:dyDescent="0.25">
      <c r="A67"/>
      <c r="B67"/>
      <c r="C67"/>
    </row>
    <row r="68" spans="1:13" s="4" customFormat="1" x14ac:dyDescent="0.25"/>
    <row r="69" spans="1:13" s="4" customFormat="1" x14ac:dyDescent="0.25"/>
    <row r="70" spans="1:13" s="4" customFormat="1" x14ac:dyDescent="0.25"/>
    <row r="71" spans="1:13" s="4" customFormat="1" x14ac:dyDescent="0.25"/>
    <row r="72" spans="1:13" s="4" customFormat="1" x14ac:dyDescent="0.25"/>
    <row r="73" spans="1:13" s="4" customFormat="1" x14ac:dyDescent="0.25"/>
    <row r="74" spans="1:13" s="4" customFormat="1" x14ac:dyDescent="0.25"/>
    <row r="75" spans="1:13" s="4" customFormat="1" x14ac:dyDescent="0.25"/>
  </sheetData>
  <conditionalFormatting sqref="D65:M65">
    <cfRule type="expression" dxfId="36" priority="158">
      <formula>#REF!=0</formula>
    </cfRule>
  </conditionalFormatting>
  <conditionalFormatting sqref="D6:H10">
    <cfRule type="expression" dxfId="35" priority="142">
      <formula>#REF!=0</formula>
    </cfRule>
  </conditionalFormatting>
  <conditionalFormatting sqref="D47:I47 C6:C10 J43:S43 K58:S58">
    <cfRule type="expression" dxfId="34" priority="141">
      <formula>#REF!=0</formula>
    </cfRule>
  </conditionalFormatting>
  <conditionalFormatting sqref="D13:D24 D13:H15 D19:H21">
    <cfRule type="expression" dxfId="33" priority="124">
      <formula>#REF!=0</formula>
    </cfRule>
  </conditionalFormatting>
  <conditionalFormatting sqref="D22:H22">
    <cfRule type="expression" dxfId="32" priority="119">
      <formula>#REF!=0</formula>
    </cfRule>
  </conditionalFormatting>
  <conditionalFormatting sqref="D16:H17">
    <cfRule type="expression" dxfId="31" priority="123">
      <formula>#REF!=0</formula>
    </cfRule>
  </conditionalFormatting>
  <conditionalFormatting sqref="D23:H23">
    <cfRule type="expression" dxfId="30" priority="118">
      <formula>#REF!=0</formula>
    </cfRule>
  </conditionalFormatting>
  <conditionalFormatting sqref="D18:H18 D24:H24">
    <cfRule type="expression" dxfId="29" priority="122">
      <formula>#REF!=0</formula>
    </cfRule>
  </conditionalFormatting>
  <conditionalFormatting sqref="D19:H19 D21:H21">
    <cfRule type="expression" dxfId="28" priority="121">
      <formula>#REF!=0</formula>
    </cfRule>
  </conditionalFormatting>
  <conditionalFormatting sqref="D20:H20">
    <cfRule type="expression" dxfId="27" priority="120">
      <formula>#REF!=0</formula>
    </cfRule>
  </conditionalFormatting>
  <conditionalFormatting sqref="J37:K37 M37:N37 S37 L41 P37:Q37 J38:S40 J36:S36 J42:S42 O41 Q41:R41">
    <cfRule type="expression" dxfId="26" priority="117">
      <formula>#REF!=0</formula>
    </cfRule>
  </conditionalFormatting>
  <conditionalFormatting sqref="J44:S45">
    <cfRule type="expression" dxfId="25" priority="116">
      <formula>#REF!=0</formula>
    </cfRule>
  </conditionalFormatting>
  <conditionalFormatting sqref="J38:N38">
    <cfRule type="expression" dxfId="24" priority="115">
      <formula>#REF!=0</formula>
    </cfRule>
  </conditionalFormatting>
  <conditionalFormatting sqref="Q38">
    <cfRule type="expression" dxfId="23" priority="114">
      <formula>#REF!=0</formula>
    </cfRule>
  </conditionalFormatting>
  <conditionalFormatting sqref="C65:C66">
    <cfRule type="expression" dxfId="22" priority="112">
      <formula>#REF!=0</formula>
    </cfRule>
  </conditionalFormatting>
  <conditionalFormatting sqref="D25:D26">
    <cfRule type="expression" dxfId="21" priority="107">
      <formula>#REF!=0</formula>
    </cfRule>
  </conditionalFormatting>
  <conditionalFormatting sqref="D25:H26">
    <cfRule type="expression" dxfId="20" priority="106">
      <formula>#REF!=0</formula>
    </cfRule>
  </conditionalFormatting>
  <conditionalFormatting sqref="C47">
    <cfRule type="expression" dxfId="19" priority="58">
      <formula>#REF!=0</formula>
    </cfRule>
  </conditionalFormatting>
  <conditionalFormatting sqref="E62:I62">
    <cfRule type="expression" dxfId="18" priority="55">
      <formula>#REF!=0</formula>
    </cfRule>
  </conditionalFormatting>
  <conditionalFormatting sqref="C62">
    <cfRule type="expression" dxfId="17" priority="54">
      <formula>#REF!=0</formula>
    </cfRule>
  </conditionalFormatting>
  <conditionalFormatting sqref="D43:I43 D58:I58 D45:S45">
    <cfRule type="expression" dxfId="16" priority="50">
      <formula>#REF!=0</formula>
    </cfRule>
  </conditionalFormatting>
  <conditionalFormatting sqref="D38:I40 D37:E37 G37:H37 D42:I42 D41 F41 I41 D36:I36">
    <cfRule type="expression" dxfId="15" priority="49">
      <formula>#REF!=0</formula>
    </cfRule>
  </conditionalFormatting>
  <conditionalFormatting sqref="D38:H38">
    <cfRule type="expression" dxfId="14" priority="48">
      <formula>#REF!=0</formula>
    </cfRule>
  </conditionalFormatting>
  <conditionalFormatting sqref="D44:I44">
    <cfRule type="expression" dxfId="13" priority="47">
      <formula>#REF!=0</formula>
    </cfRule>
  </conditionalFormatting>
  <conditionalFormatting sqref="J58">
    <cfRule type="expression" dxfId="12" priority="38">
      <formula>#REF!=0</formula>
    </cfRule>
  </conditionalFormatting>
  <conditionalFormatting sqref="J59:S60">
    <cfRule type="expression" dxfId="11" priority="37">
      <formula>#REF!=0</formula>
    </cfRule>
  </conditionalFormatting>
  <conditionalFormatting sqref="D60:S60">
    <cfRule type="expression" dxfId="10" priority="22">
      <formula>#REF!=0</formula>
    </cfRule>
  </conditionalFormatting>
  <conditionalFormatting sqref="D59:I59">
    <cfRule type="expression" dxfId="9" priority="20">
      <formula>#REF!=0</formula>
    </cfRule>
  </conditionalFormatting>
  <conditionalFormatting sqref="E48:I48">
    <cfRule type="expression" dxfId="8" priority="19">
      <formula>#REF!=0</formula>
    </cfRule>
  </conditionalFormatting>
  <conditionalFormatting sqref="C48">
    <cfRule type="expression" dxfId="7" priority="18">
      <formula>#REF!=0</formula>
    </cfRule>
  </conditionalFormatting>
  <conditionalFormatting sqref="S41">
    <cfRule type="expression" dxfId="6" priority="17">
      <formula>#REF!=0</formula>
    </cfRule>
  </conditionalFormatting>
  <conditionalFormatting sqref="J52:K52 M52:N52 S52 L56 P52:Q52 J53:S55 J51:S51 J57:S57 O56 Q56:R56">
    <cfRule type="expression" dxfId="5" priority="6">
      <formula>#REF!=0</formula>
    </cfRule>
  </conditionalFormatting>
  <conditionalFormatting sqref="D53:I55 D52:E52 G52:H52 D57:I57 D56 F56 I56 D51:I51">
    <cfRule type="expression" dxfId="4" priority="3">
      <formula>#REF!=0</formula>
    </cfRule>
  </conditionalFormatting>
  <conditionalFormatting sqref="S56">
    <cfRule type="expression" dxfId="3" priority="1">
      <formula>#REF!=0</formula>
    </cfRule>
  </conditionalFormatting>
  <conditionalFormatting sqref="J53:N53">
    <cfRule type="expression" dxfId="2" priority="5">
      <formula>#REF!=0</formula>
    </cfRule>
  </conditionalFormatting>
  <conditionalFormatting sqref="Q53">
    <cfRule type="expression" dxfId="1" priority="4">
      <formula>#REF!=0</formula>
    </cfRule>
  </conditionalFormatting>
  <conditionalFormatting sqref="D53:H53">
    <cfRule type="expression" dxfId="0" priority="2">
      <formula>#REF!=0</formula>
    </cfRule>
  </conditionalFormatting>
  <pageMargins left="0.23622047244094491" right="0.23622047244094491" top="0.74803149606299213" bottom="0.74803149606299213" header="0.31496062992125984" footer="0.31496062992125984"/>
  <pageSetup paperSize="9" scale="53" fitToHeight="0" orientation="landscape" r:id="rId1"/>
  <headerFooter>
    <oddFooter>&amp;L&amp;F &amp;C&amp;A&amp;R&amp;P</oddFooter>
  </headerFooter>
  <rowBreaks count="1" manualBreakCount="1">
    <brk id="48" max="19"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3E8A92"/>
    <pageSetUpPr fitToPage="1"/>
  </sheetPr>
  <dimension ref="A1:AH47"/>
  <sheetViews>
    <sheetView showGridLines="0" view="pageBreakPreview" zoomScaleNormal="100" zoomScaleSheetLayoutView="100" workbookViewId="0"/>
  </sheetViews>
  <sheetFormatPr defaultColWidth="9.140625" defaultRowHeight="15" x14ac:dyDescent="0.25"/>
  <cols>
    <col min="1" max="1" width="77.85546875" bestFit="1" customWidth="1"/>
    <col min="2" max="2" width="26.42578125" bestFit="1" customWidth="1"/>
    <col min="3" max="3" width="11.42578125" customWidth="1"/>
    <col min="4" max="34" width="10.42578125" customWidth="1"/>
    <col min="35" max="35" width="2.7109375" customWidth="1"/>
  </cols>
  <sheetData>
    <row r="1" spans="1:34" ht="39.950000000000003" customHeight="1" x14ac:dyDescent="0.25">
      <c r="A1" s="37" t="s">
        <v>41</v>
      </c>
      <c r="B1" s="3"/>
      <c r="C1" s="3"/>
      <c r="D1" s="3"/>
      <c r="E1" s="3"/>
      <c r="F1" s="3"/>
      <c r="G1" s="3"/>
      <c r="H1" s="3"/>
      <c r="I1" s="3"/>
      <c r="J1" s="3"/>
      <c r="K1" s="3"/>
      <c r="L1" s="3"/>
      <c r="M1" s="3"/>
      <c r="N1" s="3"/>
      <c r="O1" s="3"/>
      <c r="P1" s="3"/>
      <c r="Q1" s="3"/>
      <c r="R1" s="3"/>
      <c r="S1" s="23"/>
      <c r="T1" s="23"/>
      <c r="U1" s="23"/>
      <c r="V1" s="23"/>
      <c r="W1" s="23"/>
      <c r="X1" s="23"/>
      <c r="Y1" s="23"/>
      <c r="Z1" s="23"/>
      <c r="AA1" s="23"/>
      <c r="AB1" s="23"/>
      <c r="AC1" s="23"/>
      <c r="AD1" s="23"/>
      <c r="AE1" s="23"/>
      <c r="AF1" s="23"/>
      <c r="AG1" s="3"/>
      <c r="AH1" s="23"/>
    </row>
    <row r="2" spans="1:34" ht="20.100000000000001" customHeight="1" x14ac:dyDescent="0.25">
      <c r="A2" s="212" t="s">
        <v>607</v>
      </c>
    </row>
    <row r="3" spans="1:34" ht="39.950000000000003" customHeight="1" x14ac:dyDescent="0.25">
      <c r="A3" s="38" t="s">
        <v>11</v>
      </c>
      <c r="B3" s="43"/>
      <c r="C3" s="2" t="s">
        <v>183</v>
      </c>
      <c r="D3" s="43" t="s">
        <v>9</v>
      </c>
      <c r="E3" s="3"/>
      <c r="F3" s="3"/>
      <c r="G3" s="3"/>
      <c r="H3" s="3"/>
      <c r="I3" s="3"/>
      <c r="J3" s="3"/>
      <c r="K3" s="3"/>
      <c r="L3" s="3"/>
      <c r="M3" s="3"/>
      <c r="N3" s="3"/>
      <c r="O3" s="3"/>
      <c r="P3" s="3"/>
      <c r="Q3" s="3"/>
      <c r="R3" s="3"/>
      <c r="S3" s="23"/>
      <c r="T3" s="23"/>
      <c r="U3" s="23"/>
      <c r="V3" s="23"/>
      <c r="W3" s="23"/>
      <c r="X3" s="23"/>
      <c r="Y3" s="23"/>
      <c r="Z3" s="23"/>
      <c r="AA3" s="23"/>
      <c r="AB3" s="23"/>
      <c r="AC3" s="23"/>
      <c r="AD3" s="23"/>
      <c r="AE3" s="23"/>
      <c r="AF3" s="23"/>
      <c r="AG3" s="3"/>
      <c r="AH3" s="23"/>
    </row>
    <row r="4" spans="1:34" x14ac:dyDescent="0.25">
      <c r="A4" s="33" t="s">
        <v>188</v>
      </c>
      <c r="B4" s="32"/>
      <c r="C4" s="111">
        <f>Selection!B6</f>
        <v>31</v>
      </c>
      <c r="D4" s="210" t="str">
        <f>EDB_Name</f>
        <v>DPP Total</v>
      </c>
      <c r="E4" s="210"/>
      <c r="F4" s="203"/>
      <c r="G4" s="203"/>
      <c r="H4" s="203"/>
      <c r="I4" s="3"/>
      <c r="J4" s="3"/>
      <c r="K4" s="3"/>
      <c r="L4" s="3"/>
      <c r="M4" s="3"/>
      <c r="N4" s="3"/>
      <c r="O4" s="3"/>
      <c r="P4" s="3"/>
      <c r="Q4" s="3"/>
      <c r="R4" s="3"/>
      <c r="S4" s="23"/>
      <c r="T4" s="23"/>
      <c r="U4" s="23"/>
      <c r="V4" s="23"/>
      <c r="W4" s="23"/>
      <c r="X4" s="23"/>
      <c r="Y4" s="23"/>
      <c r="Z4" s="23"/>
      <c r="AA4" s="23"/>
      <c r="AB4" s="23"/>
      <c r="AC4" s="23"/>
      <c r="AD4" s="23"/>
      <c r="AE4" s="23"/>
      <c r="AF4" s="23"/>
      <c r="AG4" s="3"/>
      <c r="AH4" s="23"/>
    </row>
    <row r="5" spans="1:34" x14ac:dyDescent="0.25">
      <c r="A5" s="30" t="s">
        <v>189</v>
      </c>
      <c r="B5" s="32"/>
      <c r="C5" s="111">
        <f>Selection!B10</f>
        <v>10</v>
      </c>
      <c r="D5" s="210" t="str">
        <f>Selection!C9</f>
        <v>Disclosed nominal return (incl actual asset revaluations)</v>
      </c>
      <c r="E5" s="210"/>
      <c r="F5" s="203"/>
      <c r="G5" s="203"/>
      <c r="H5" s="203"/>
      <c r="I5" s="3"/>
      <c r="J5" s="3"/>
      <c r="K5" s="3"/>
      <c r="L5" s="3"/>
      <c r="M5" s="3"/>
      <c r="N5" s="3"/>
      <c r="O5" s="3"/>
      <c r="P5" s="3"/>
      <c r="Q5" s="3"/>
      <c r="R5" s="3"/>
      <c r="S5" s="23"/>
      <c r="T5" s="23"/>
      <c r="U5" s="23"/>
      <c r="V5" s="23"/>
      <c r="W5" s="23"/>
      <c r="X5" s="23"/>
      <c r="Y5" s="23"/>
      <c r="Z5" s="23"/>
      <c r="AA5" s="23"/>
      <c r="AB5" s="23"/>
      <c r="AC5" s="23"/>
      <c r="AD5" s="23"/>
      <c r="AE5" s="23"/>
      <c r="AF5" s="23"/>
      <c r="AG5" s="3"/>
      <c r="AH5" s="23"/>
    </row>
    <row r="7" spans="1:34" ht="23.25" x14ac:dyDescent="0.35">
      <c r="A7" s="63" t="s">
        <v>186</v>
      </c>
    </row>
    <row r="8" spans="1:34" ht="54.6" customHeight="1" x14ac:dyDescent="0.25">
      <c r="A8" s="98"/>
      <c r="B8" s="28" t="s">
        <v>15</v>
      </c>
      <c r="C8" s="28" t="s">
        <v>105</v>
      </c>
      <c r="D8" s="28" t="s">
        <v>3</v>
      </c>
      <c r="E8" s="28" t="s">
        <v>106</v>
      </c>
      <c r="F8" s="28" t="s">
        <v>474</v>
      </c>
      <c r="G8" s="28" t="s">
        <v>4</v>
      </c>
      <c r="H8" s="28" t="s">
        <v>5</v>
      </c>
      <c r="I8" s="28" t="s">
        <v>107</v>
      </c>
      <c r="J8" s="28" t="s">
        <v>108</v>
      </c>
      <c r="K8" s="28" t="s">
        <v>109</v>
      </c>
      <c r="L8" s="28" t="s">
        <v>110</v>
      </c>
      <c r="M8" s="28" t="s">
        <v>111</v>
      </c>
      <c r="N8" s="28" t="s">
        <v>6</v>
      </c>
      <c r="O8" s="28" t="s">
        <v>112</v>
      </c>
      <c r="P8" s="28" t="s">
        <v>473</v>
      </c>
      <c r="Q8" s="28" t="s">
        <v>472</v>
      </c>
      <c r="R8" s="28" t="s">
        <v>113</v>
      </c>
      <c r="S8" s="46" t="s">
        <v>28</v>
      </c>
      <c r="T8" s="28" t="s">
        <v>29</v>
      </c>
      <c r="U8" s="28" t="s">
        <v>30</v>
      </c>
      <c r="V8" s="28" t="s">
        <v>31</v>
      </c>
      <c r="W8" s="28" t="s">
        <v>32</v>
      </c>
      <c r="X8" s="28" t="s">
        <v>33</v>
      </c>
      <c r="Y8" s="28" t="s">
        <v>34</v>
      </c>
      <c r="Z8" s="28" t="s">
        <v>35</v>
      </c>
      <c r="AA8" s="28" t="s">
        <v>36</v>
      </c>
      <c r="AB8" s="28" t="s">
        <v>37</v>
      </c>
      <c r="AC8" s="28" t="s">
        <v>38</v>
      </c>
      <c r="AD8" s="28" t="s">
        <v>39</v>
      </c>
      <c r="AE8" s="28" t="s">
        <v>40</v>
      </c>
      <c r="AF8" s="28" t="s">
        <v>158</v>
      </c>
      <c r="AG8" s="28" t="s">
        <v>478</v>
      </c>
      <c r="AH8" s="28" t="s">
        <v>157</v>
      </c>
    </row>
    <row r="9" spans="1:34" x14ac:dyDescent="0.25">
      <c r="A9" s="34" t="s">
        <v>10</v>
      </c>
      <c r="B9" s="36">
        <f>C4</f>
        <v>31</v>
      </c>
      <c r="C9" s="36">
        <f>INDEX(Inputs!$F$37:$AK$37,MATCH(C8,Inputs!$F$36:$AK$36,0))</f>
        <v>1</v>
      </c>
      <c r="D9" s="36">
        <f>INDEX(Inputs!$F$37:$AK$37,MATCH(D8,Inputs!$F$36:$AK$36,0))</f>
        <v>2</v>
      </c>
      <c r="E9" s="36">
        <f>INDEX(Inputs!$F$37:$AK$37,MATCH(E8,Inputs!$F$36:$AK$36,0))</f>
        <v>3</v>
      </c>
      <c r="F9" s="36">
        <f>INDEX(Inputs!$F$37:$AK$37,MATCH(F8,Inputs!$F$36:$AK$36,0))</f>
        <v>4</v>
      </c>
      <c r="G9" s="36">
        <f>INDEX(Inputs!$F$37:$AK$37,MATCH(G8,Inputs!$F$36:$AK$36,0))</f>
        <v>5</v>
      </c>
      <c r="H9" s="36">
        <f>INDEX(Inputs!$F$37:$AK$37,MATCH(H8,Inputs!$F$36:$AK$36,0))</f>
        <v>6</v>
      </c>
      <c r="I9" s="36">
        <f>INDEX(Inputs!$F$37:$AK$37,MATCH(I8,Inputs!$F$36:$AK$36,0))</f>
        <v>7</v>
      </c>
      <c r="J9" s="36">
        <f>INDEX(Inputs!$F$37:$AK$37,MATCH(J8,Inputs!$F$36:$AK$36,0))</f>
        <v>8</v>
      </c>
      <c r="K9" s="36">
        <f>INDEX(Inputs!$F$37:$AK$37,MATCH(K8,Inputs!$F$36:$AK$36,0))</f>
        <v>9</v>
      </c>
      <c r="L9" s="36">
        <f>INDEX(Inputs!$F$37:$AK$37,MATCH(L8,Inputs!$F$36:$AK$36,0))</f>
        <v>10</v>
      </c>
      <c r="M9" s="36">
        <f>INDEX(Inputs!$F$37:$AK$37,MATCH(M8,Inputs!$F$36:$AK$36,0))</f>
        <v>11</v>
      </c>
      <c r="N9" s="36">
        <f>INDEX(Inputs!$F$37:$AK$37,MATCH(N8,Inputs!$F$36:$AK$36,0))</f>
        <v>12</v>
      </c>
      <c r="O9" s="36">
        <f>INDEX(Inputs!$F$37:$AK$37,MATCH(O8,Inputs!$F$36:$AK$36,0))</f>
        <v>13</v>
      </c>
      <c r="P9" s="36">
        <f>INDEX(Inputs!$F$37:$AK$37,MATCH(P8,Inputs!$F$36:$AK$36,0))</f>
        <v>14</v>
      </c>
      <c r="Q9" s="36">
        <f>INDEX(Inputs!$F$37:$AK$37,MATCH(Q8,Inputs!$F$36:$AK$36,0))</f>
        <v>15</v>
      </c>
      <c r="R9" s="36">
        <f>INDEX(Inputs!$F$37:$AK$37,MATCH(R8,Inputs!$F$36:$AK$36,0))</f>
        <v>16</v>
      </c>
      <c r="S9" s="36">
        <f>INDEX(Inputs!$F$37:$AK$37,MATCH(S8,Inputs!$F$36:$AK$36,0))</f>
        <v>17</v>
      </c>
      <c r="T9" s="36">
        <f>INDEX(Inputs!$F$37:$AK$37,MATCH(T8,Inputs!$F$36:$AK$36,0))</f>
        <v>18</v>
      </c>
      <c r="U9" s="36">
        <f>INDEX(Inputs!$F$37:$AK$37,MATCH(U8,Inputs!$F$36:$AK$36,0))</f>
        <v>19</v>
      </c>
      <c r="V9" s="36">
        <f>INDEX(Inputs!$F$37:$AK$37,MATCH(V8,Inputs!$F$36:$AK$36,0))</f>
        <v>20</v>
      </c>
      <c r="W9" s="36">
        <f>INDEX(Inputs!$F$37:$AK$37,MATCH(W8,Inputs!$F$36:$AK$36,0))</f>
        <v>21</v>
      </c>
      <c r="X9" s="36">
        <f>INDEX(Inputs!$F$37:$AK$37,MATCH(X8,Inputs!$F$36:$AK$36,0))</f>
        <v>22</v>
      </c>
      <c r="Y9" s="36">
        <f>INDEX(Inputs!$F$37:$AK$37,MATCH(Y8,Inputs!$F$36:$AK$36,0))</f>
        <v>23</v>
      </c>
      <c r="Z9" s="36">
        <f>INDEX(Inputs!$F$37:$AK$37,MATCH(Z8,Inputs!$F$36:$AK$36,0))</f>
        <v>24</v>
      </c>
      <c r="AA9" s="36">
        <f>INDEX(Inputs!$F$37:$AK$37,MATCH(AA8,Inputs!$F$36:$AK$36,0))</f>
        <v>25</v>
      </c>
      <c r="AB9" s="36">
        <f>INDEX(Inputs!$F$37:$AK$37,MATCH(AB8,Inputs!$F$36:$AK$36,0))</f>
        <v>26</v>
      </c>
      <c r="AC9" s="36">
        <f>INDEX(Inputs!$F$37:$AK$37,MATCH(AC8,Inputs!$F$36:$AK$36,0))</f>
        <v>27</v>
      </c>
      <c r="AD9" s="36">
        <f>INDEX(Inputs!$F$37:$AK$37,MATCH(AD8,Inputs!$F$36:$AK$36,0))</f>
        <v>28</v>
      </c>
      <c r="AE9" s="36">
        <f>INDEX(Inputs!$F$37:$AK$37,MATCH(AE8,Inputs!$F$36:$AK$36,0))</f>
        <v>29</v>
      </c>
      <c r="AF9" s="36">
        <f>INDEX(Inputs!$F$37:$AK$37,MATCH(AF8,Inputs!$F$36:$AK$36,0))</f>
        <v>30</v>
      </c>
      <c r="AG9" s="36">
        <f>INDEX(Inputs!$F$37:$AK$37,MATCH(AG8,Inputs!$F$36:$AK$36,0))</f>
        <v>31</v>
      </c>
      <c r="AH9" s="36">
        <f>INDEX(Inputs!$F$37:$AK$37,MATCH(AH8,Inputs!$F$36:$AK$36,0))</f>
        <v>32</v>
      </c>
    </row>
    <row r="10" spans="1:34" x14ac:dyDescent="0.25">
      <c r="A10" s="86" t="s">
        <v>114</v>
      </c>
      <c r="B10" s="60">
        <f>Calculation!F179</f>
        <v>7.2988864779472348E-2</v>
      </c>
      <c r="C10" s="60">
        <f t="dataTable" ref="C10:AH17" dt2D="0" dtr="1" r1="C4" ca="1"/>
        <v>3.4834960103034968E-2</v>
      </c>
      <c r="D10" s="60">
        <v>7.3411378264427188E-2</v>
      </c>
      <c r="E10" s="60">
        <v>3.4439763426780706E-2</v>
      </c>
      <c r="F10" s="60">
        <v>6.5310075879096971E-2</v>
      </c>
      <c r="G10" s="60">
        <v>6.4219430088996901E-2</v>
      </c>
      <c r="H10" s="60">
        <v>6.1066457629203805E-2</v>
      </c>
      <c r="I10" s="60">
        <v>7.3905375599861156E-2</v>
      </c>
      <c r="J10" s="60">
        <v>9.7494810819625827E-2</v>
      </c>
      <c r="K10" s="60">
        <v>8.9120265841484095E-2</v>
      </c>
      <c r="L10" s="60">
        <v>7.5483384728431732E-2</v>
      </c>
      <c r="M10" s="60">
        <v>7.0084902644157412E-2</v>
      </c>
      <c r="N10" s="60">
        <v>5.00478595495224E-2</v>
      </c>
      <c r="O10" s="60">
        <v>5.166706144809724E-2</v>
      </c>
      <c r="P10" s="60">
        <v>6.3056573271751404E-2</v>
      </c>
      <c r="Q10" s="60">
        <v>8.2160404324531575E-2</v>
      </c>
      <c r="R10" s="60">
        <v>7.4632146954536446E-2</v>
      </c>
      <c r="S10" s="60">
        <v>6.0002782940864557E-2</v>
      </c>
      <c r="T10" s="60">
        <v>4.6085605025291437E-2</v>
      </c>
      <c r="U10" s="60">
        <v>7.549619376659393E-2</v>
      </c>
      <c r="V10" s="60">
        <v>9.2116108536720295E-2</v>
      </c>
      <c r="W10" s="60">
        <v>7.9975345730781591E-2</v>
      </c>
      <c r="X10" s="60">
        <v>2.659044563770294E-2</v>
      </c>
      <c r="Y10" s="60">
        <v>3.4276255965232844E-2</v>
      </c>
      <c r="Z10" s="60">
        <v>6.5740564465522802E-2</v>
      </c>
      <c r="AA10" s="60">
        <v>7.1001127362251296E-2</v>
      </c>
      <c r="AB10" s="60">
        <v>5.3292909264564522E-2</v>
      </c>
      <c r="AC10" s="60">
        <v>7.1594026684761072E-2</v>
      </c>
      <c r="AD10" s="60">
        <v>7.2726389765739433E-2</v>
      </c>
      <c r="AE10" s="60">
        <v>3.8766357302665713E-2</v>
      </c>
      <c r="AF10" s="60">
        <v>6.963596045970917E-2</v>
      </c>
      <c r="AG10" s="60">
        <v>7.2988864779472348E-2</v>
      </c>
      <c r="AH10" s="60">
        <v>6.2872824072837827E-2</v>
      </c>
    </row>
    <row r="11" spans="1:34" x14ac:dyDescent="0.25">
      <c r="A11" s="86" t="s">
        <v>115</v>
      </c>
      <c r="B11" s="60">
        <f>Calculation!F180</f>
        <v>6.5214944779472345E-2</v>
      </c>
      <c r="C11" s="60">
        <v>2.7061040103034967E-2</v>
      </c>
      <c r="D11" s="60">
        <v>6.5637458264427184E-2</v>
      </c>
      <c r="E11" s="60">
        <v>2.6665843426780706E-2</v>
      </c>
      <c r="F11" s="60">
        <v>5.7536155879096967E-2</v>
      </c>
      <c r="G11" s="60">
        <v>5.6445510088996897E-2</v>
      </c>
      <c r="H11" s="60">
        <v>5.3292537629203801E-2</v>
      </c>
      <c r="I11" s="60">
        <v>6.6131455599861153E-2</v>
      </c>
      <c r="J11" s="60">
        <v>8.9720890819625823E-2</v>
      </c>
      <c r="K11" s="60">
        <v>8.1346345841484091E-2</v>
      </c>
      <c r="L11" s="60">
        <v>6.7709464728431729E-2</v>
      </c>
      <c r="M11" s="60">
        <v>6.2310982644157409E-2</v>
      </c>
      <c r="N11" s="60">
        <v>4.2273939549522396E-2</v>
      </c>
      <c r="O11" s="60">
        <v>4.3893141448097237E-2</v>
      </c>
      <c r="P11" s="60">
        <v>5.52826532717514E-2</v>
      </c>
      <c r="Q11" s="60">
        <v>7.4386484324531571E-2</v>
      </c>
      <c r="R11" s="60">
        <v>6.6858226954536443E-2</v>
      </c>
      <c r="S11" s="60">
        <v>5.2228862940864554E-2</v>
      </c>
      <c r="T11" s="60">
        <v>3.8311685025291434E-2</v>
      </c>
      <c r="U11" s="60">
        <v>6.7722273766593927E-2</v>
      </c>
      <c r="V11" s="60">
        <v>8.4342188536720292E-2</v>
      </c>
      <c r="W11" s="60">
        <v>7.2201425730781588E-2</v>
      </c>
      <c r="X11" s="60">
        <v>1.881652563770294E-2</v>
      </c>
      <c r="Y11" s="60">
        <v>2.6502335965232843E-2</v>
      </c>
      <c r="Z11" s="60">
        <v>5.7966644465522799E-2</v>
      </c>
      <c r="AA11" s="60">
        <v>6.3227207362251292E-2</v>
      </c>
      <c r="AB11" s="60">
        <v>4.5518989264564519E-2</v>
      </c>
      <c r="AC11" s="60">
        <v>6.3820106684761069E-2</v>
      </c>
      <c r="AD11" s="60">
        <v>6.4952469765739429E-2</v>
      </c>
      <c r="AE11" s="60">
        <v>3.0992437302665713E-2</v>
      </c>
      <c r="AF11" s="60">
        <v>6.1862040459709167E-2</v>
      </c>
      <c r="AG11" s="60">
        <v>6.5214944779472345E-2</v>
      </c>
      <c r="AH11" s="60">
        <v>5.5098904072837823E-2</v>
      </c>
    </row>
    <row r="12" spans="1:34" x14ac:dyDescent="0.25">
      <c r="A12" s="86" t="s">
        <v>116</v>
      </c>
      <c r="B12" s="60">
        <f>Calculation!G179</f>
        <v>7.1854850649833699E-2</v>
      </c>
      <c r="C12" s="60">
        <v>3.9107164740562445E-2</v>
      </c>
      <c r="D12" s="60">
        <v>6.6359987854957586E-2</v>
      </c>
      <c r="E12" s="60">
        <v>4.1638764739036563E-2</v>
      </c>
      <c r="F12" s="60">
        <v>6.7721995711326602E-2</v>
      </c>
      <c r="G12" s="60">
        <v>8.0980935692787179E-2</v>
      </c>
      <c r="H12" s="60">
        <v>7.5486454367637651E-2</v>
      </c>
      <c r="I12" s="60">
        <v>7.2809758782386783E-2</v>
      </c>
      <c r="J12" s="60">
        <v>7.9122099280357364E-2</v>
      </c>
      <c r="K12" s="60">
        <v>8.6961874365806588E-2</v>
      </c>
      <c r="L12" s="60">
        <v>7.4163255095481884E-2</v>
      </c>
      <c r="M12" s="60">
        <v>7.5763592123985313E-2</v>
      </c>
      <c r="N12" s="60">
        <v>5.9384277462959295E-2</v>
      </c>
      <c r="O12" s="60">
        <v>5.1026764512062076E-2</v>
      </c>
      <c r="P12" s="60">
        <v>6.4530631899833671E-2</v>
      </c>
      <c r="Q12" s="60">
        <v>7.3675689101219188E-2</v>
      </c>
      <c r="R12" s="60">
        <v>7.844153940677645E-2</v>
      </c>
      <c r="S12" s="60">
        <v>6.1005541682243342E-2</v>
      </c>
      <c r="T12" s="60">
        <v>4.8545292019844061E-2</v>
      </c>
      <c r="U12" s="60">
        <v>8.5443201661109941E-2</v>
      </c>
      <c r="V12" s="60">
        <v>8.7256225943565385E-2</v>
      </c>
      <c r="W12" s="60">
        <v>8.0819556117057822E-2</v>
      </c>
      <c r="X12" s="60">
        <v>3.0905982851982119E-2</v>
      </c>
      <c r="Y12" s="60">
        <v>3.7694546580314639E-2</v>
      </c>
      <c r="Z12" s="60">
        <v>5.9154066443443301E-2</v>
      </c>
      <c r="AA12" s="60">
        <v>7.6959595084190369E-2</v>
      </c>
      <c r="AB12" s="60">
        <v>5.5495074391365043E-2</v>
      </c>
      <c r="AC12" s="60">
        <v>7.9067102074623127E-2</v>
      </c>
      <c r="AD12" s="60">
        <v>6.7899009585380574E-2</v>
      </c>
      <c r="AE12" s="60">
        <v>4.2155954241752627E-2</v>
      </c>
      <c r="AF12" s="60">
        <v>6.9090011715889008E-2</v>
      </c>
      <c r="AG12" s="60">
        <v>7.1854850649833699E-2</v>
      </c>
      <c r="AH12" s="60">
        <v>6.3585641980171206E-2</v>
      </c>
    </row>
    <row r="13" spans="1:34" x14ac:dyDescent="0.25">
      <c r="A13" s="86" t="s">
        <v>117</v>
      </c>
      <c r="B13" s="60">
        <f>Calculation!G180</f>
        <v>6.5004930649833703E-2</v>
      </c>
      <c r="C13" s="60">
        <v>3.2257244740562442E-2</v>
      </c>
      <c r="D13" s="60">
        <v>5.9510067854957584E-2</v>
      </c>
      <c r="E13" s="60">
        <v>3.478884473903656E-2</v>
      </c>
      <c r="F13" s="60">
        <v>6.08720757113266E-2</v>
      </c>
      <c r="G13" s="60">
        <v>7.4131015692787183E-2</v>
      </c>
      <c r="H13" s="60">
        <v>6.8636534367637655E-2</v>
      </c>
      <c r="I13" s="60">
        <v>6.5959838782386787E-2</v>
      </c>
      <c r="J13" s="60">
        <v>7.2272179280357368E-2</v>
      </c>
      <c r="K13" s="60">
        <v>8.0111954365806592E-2</v>
      </c>
      <c r="L13" s="60">
        <v>6.7313335095481888E-2</v>
      </c>
      <c r="M13" s="60">
        <v>6.8913672123985317E-2</v>
      </c>
      <c r="N13" s="60">
        <v>5.2534357462959293E-2</v>
      </c>
      <c r="O13" s="60">
        <v>4.4176844512062073E-2</v>
      </c>
      <c r="P13" s="60">
        <v>5.7680711899833668E-2</v>
      </c>
      <c r="Q13" s="60">
        <v>6.6825769101219193E-2</v>
      </c>
      <c r="R13" s="60">
        <v>7.1591619406776455E-2</v>
      </c>
      <c r="S13" s="60">
        <v>5.4155621682243339E-2</v>
      </c>
      <c r="T13" s="60">
        <v>4.1695372019844058E-2</v>
      </c>
      <c r="U13" s="60">
        <v>7.8593281661109946E-2</v>
      </c>
      <c r="V13" s="60">
        <v>8.040630594356539E-2</v>
      </c>
      <c r="W13" s="60">
        <v>7.3969636117057827E-2</v>
      </c>
      <c r="X13" s="60">
        <v>2.405606285198212E-2</v>
      </c>
      <c r="Y13" s="60">
        <v>3.0844626580314637E-2</v>
      </c>
      <c r="Z13" s="60">
        <v>5.2304146443443299E-2</v>
      </c>
      <c r="AA13" s="60">
        <v>7.0109675084190373E-2</v>
      </c>
      <c r="AB13" s="60">
        <v>4.8645154391365041E-2</v>
      </c>
      <c r="AC13" s="60">
        <v>7.2217182074623132E-2</v>
      </c>
      <c r="AD13" s="60">
        <v>6.1049089585380571E-2</v>
      </c>
      <c r="AE13" s="60">
        <v>3.5306034241752625E-2</v>
      </c>
      <c r="AF13" s="60">
        <v>6.2240091715889005E-2</v>
      </c>
      <c r="AG13" s="60">
        <v>6.5004930649833703E-2</v>
      </c>
      <c r="AH13" s="60">
        <v>5.6735721980171204E-2</v>
      </c>
    </row>
    <row r="14" spans="1:34" x14ac:dyDescent="0.25">
      <c r="A14" s="86" t="s">
        <v>118</v>
      </c>
      <c r="B14" s="60">
        <f>Calculation!H179</f>
        <v>5.9226784110069264E-2</v>
      </c>
      <c r="C14" s="60">
        <v>1.4770510792732238E-2</v>
      </c>
      <c r="D14" s="60">
        <v>5.5046209692955012E-2</v>
      </c>
      <c r="E14" s="60">
        <v>3.3338084816932692E-2</v>
      </c>
      <c r="F14" s="60">
        <v>5.1584926247596752E-2</v>
      </c>
      <c r="G14" s="60">
        <v>6.5584352612495442E-2</v>
      </c>
      <c r="H14" s="60">
        <v>7.6348248124122622E-2</v>
      </c>
      <c r="I14" s="60">
        <v>4.938746392726899E-2</v>
      </c>
      <c r="J14" s="60">
        <v>6.2101557850837708E-2</v>
      </c>
      <c r="K14" s="60">
        <v>7.4323925375938432E-2</v>
      </c>
      <c r="L14" s="60">
        <v>7.2320005297660819E-2</v>
      </c>
      <c r="M14" s="60">
        <v>6.760987937450412E-2</v>
      </c>
      <c r="N14" s="60">
        <v>5.0499626994133004E-2</v>
      </c>
      <c r="O14" s="60">
        <v>2.0272740721702577E-2</v>
      </c>
      <c r="P14" s="60">
        <v>5.660746395587922E-2</v>
      </c>
      <c r="Q14" s="60">
        <v>5.421138703823089E-2</v>
      </c>
      <c r="R14" s="60">
        <v>9.01224881410599E-2</v>
      </c>
      <c r="S14" s="60">
        <v>9.5308420062065122E-2</v>
      </c>
      <c r="T14" s="60">
        <v>4.2879113554954523E-2</v>
      </c>
      <c r="U14" s="60">
        <v>6.5781578421592726E-2</v>
      </c>
      <c r="V14" s="60">
        <v>7.4682989716529841E-2</v>
      </c>
      <c r="W14" s="60">
        <v>7.2365435957908619E-2</v>
      </c>
      <c r="X14" s="60">
        <v>2.1794357895851137E-2</v>
      </c>
      <c r="Y14" s="60">
        <v>4.332317411899568E-2</v>
      </c>
      <c r="Z14" s="60">
        <v>5.972209870815276E-2</v>
      </c>
      <c r="AA14" s="60">
        <v>8.2710221409797696E-2</v>
      </c>
      <c r="AB14" s="60">
        <v>3.9513507485389718E-2</v>
      </c>
      <c r="AC14" s="60">
        <v>5.4104688763618472E-2</v>
      </c>
      <c r="AD14" s="60">
        <v>5.2703127264976515E-2</v>
      </c>
      <c r="AE14" s="60">
        <v>2.0505800843238831E-2</v>
      </c>
      <c r="AF14" s="60">
        <v>6.0736039280891427E-2</v>
      </c>
      <c r="AG14" s="60">
        <v>5.9226784110069264E-2</v>
      </c>
      <c r="AH14" s="60">
        <v>5.1684150099754328E-2</v>
      </c>
    </row>
    <row r="15" spans="1:34" x14ac:dyDescent="0.25">
      <c r="A15" s="86" t="s">
        <v>119</v>
      </c>
      <c r="B15" s="60">
        <f>Calculation!H180</f>
        <v>5.1391264110069265E-2</v>
      </c>
      <c r="C15" s="60">
        <v>6.934990792732236E-3</v>
      </c>
      <c r="D15" s="60">
        <v>4.7210689692955013E-2</v>
      </c>
      <c r="E15" s="60">
        <v>2.550256481693269E-2</v>
      </c>
      <c r="F15" s="60">
        <v>4.3749406247596753E-2</v>
      </c>
      <c r="G15" s="60">
        <v>5.7748832612495443E-2</v>
      </c>
      <c r="H15" s="60">
        <v>6.8512728124122624E-2</v>
      </c>
      <c r="I15" s="60">
        <v>4.1551943927268992E-2</v>
      </c>
      <c r="J15" s="60">
        <v>5.4266037850837709E-2</v>
      </c>
      <c r="K15" s="60">
        <v>6.6488405375938434E-2</v>
      </c>
      <c r="L15" s="60">
        <v>6.4484485297660821E-2</v>
      </c>
      <c r="M15" s="60">
        <v>5.9774359374504121E-2</v>
      </c>
      <c r="N15" s="60">
        <v>4.2664106994133005E-2</v>
      </c>
      <c r="O15" s="60">
        <v>1.2437220721702575E-2</v>
      </c>
      <c r="P15" s="60">
        <v>4.8771943955879221E-2</v>
      </c>
      <c r="Q15" s="60">
        <v>4.6375867038230892E-2</v>
      </c>
      <c r="R15" s="60">
        <v>8.2286968141059902E-2</v>
      </c>
      <c r="S15" s="60">
        <v>8.7472900062065123E-2</v>
      </c>
      <c r="T15" s="60">
        <v>3.5043593554954525E-2</v>
      </c>
      <c r="U15" s="60">
        <v>5.7946058421592728E-2</v>
      </c>
      <c r="V15" s="60">
        <v>6.6847469716529842E-2</v>
      </c>
      <c r="W15" s="60">
        <v>6.4529915957908621E-2</v>
      </c>
      <c r="X15" s="60">
        <v>1.3958837895851135E-2</v>
      </c>
      <c r="Y15" s="60">
        <v>3.5487654118995682E-2</v>
      </c>
      <c r="Z15" s="60">
        <v>5.1886578708152761E-2</v>
      </c>
      <c r="AA15" s="60">
        <v>7.4874701409797698E-2</v>
      </c>
      <c r="AB15" s="60">
        <v>3.1677987485389719E-2</v>
      </c>
      <c r="AC15" s="60">
        <v>4.6269168763618473E-2</v>
      </c>
      <c r="AD15" s="60">
        <v>4.4867607264976517E-2</v>
      </c>
      <c r="AE15" s="60">
        <v>1.2670280843238828E-2</v>
      </c>
      <c r="AF15" s="60">
        <v>5.2900519280891428E-2</v>
      </c>
      <c r="AG15" s="60">
        <v>5.1391264110069265E-2</v>
      </c>
      <c r="AH15" s="60">
        <v>4.3848630099754329E-2</v>
      </c>
    </row>
    <row r="16" spans="1:34" x14ac:dyDescent="0.25">
      <c r="A16" s="86" t="s">
        <v>152</v>
      </c>
      <c r="B16" s="60">
        <f>IRR!C65</f>
        <v>7.0453676581382768E-2</v>
      </c>
      <c r="C16" s="60">
        <v>8.1641086935997031E-2</v>
      </c>
      <c r="D16" s="60">
        <v>6.5177473425865176E-2</v>
      </c>
      <c r="E16" s="60">
        <v>5.503489673137664E-2</v>
      </c>
      <c r="F16" s="60">
        <v>6.1593458056449904E-2</v>
      </c>
      <c r="G16" s="60">
        <v>6.860391795635222E-2</v>
      </c>
      <c r="H16" s="60">
        <v>6.7422375082969666E-2</v>
      </c>
      <c r="I16" s="60">
        <v>6.554950177669526E-2</v>
      </c>
      <c r="J16" s="60">
        <v>7.8456476330757155E-2</v>
      </c>
      <c r="K16" s="60">
        <v>8.3713665604591397E-2</v>
      </c>
      <c r="L16" s="60">
        <v>7.4018034338951127E-2</v>
      </c>
      <c r="M16" s="60">
        <v>7.1314582228660592E-2</v>
      </c>
      <c r="N16" s="60">
        <v>5.3291299939155587E-2</v>
      </c>
      <c r="O16" s="60">
        <v>5.8486852049827578E-2</v>
      </c>
      <c r="P16" s="60">
        <v>6.7834106087684642E-2</v>
      </c>
      <c r="Q16" s="60">
        <v>7.0359322428703311E-2</v>
      </c>
      <c r="R16" s="60">
        <v>8.0735775828361514E-2</v>
      </c>
      <c r="S16" s="60">
        <v>7.1431246399879467E-2</v>
      </c>
      <c r="T16" s="60">
        <v>4.5875385403633118E-2</v>
      </c>
      <c r="U16" s="60">
        <v>7.5588443875312814E-2</v>
      </c>
      <c r="V16" s="60">
        <v>8.5058596730232236E-2</v>
      </c>
      <c r="W16" s="60">
        <v>7.7743104100227389E-2</v>
      </c>
      <c r="X16" s="60">
        <v>2.6430848240852359E-2</v>
      </c>
      <c r="Y16" s="60">
        <v>3.9169111847877525E-2</v>
      </c>
      <c r="Z16" s="60">
        <v>6.1612531542778029E-2</v>
      </c>
      <c r="AA16" s="60">
        <v>8.6973342299461381E-2</v>
      </c>
      <c r="AB16" s="60">
        <v>4.8088034987449638E-2</v>
      </c>
      <c r="AC16" s="60">
        <v>6.8549028038978568E-2</v>
      </c>
      <c r="AD16" s="60">
        <v>6.4597216248512279E-2</v>
      </c>
      <c r="AE16" s="60">
        <v>3.4027919173240662E-2</v>
      </c>
      <c r="AF16" s="60">
        <v>6.8164858222007768E-2</v>
      </c>
      <c r="AG16" s="60">
        <v>7.0453676581382768E-2</v>
      </c>
      <c r="AH16" s="60">
        <v>5.9461989998817452E-2</v>
      </c>
    </row>
    <row r="17" spans="1:34" x14ac:dyDescent="0.25">
      <c r="A17" s="86" t="s">
        <v>159</v>
      </c>
      <c r="B17" s="60">
        <f>IRR!C66</f>
        <v>7.5636538863182057E-2</v>
      </c>
      <c r="C17" s="60">
        <v>6.4586195349693301E-2</v>
      </c>
      <c r="D17" s="60">
        <v>7.0891967415809637E-2</v>
      </c>
      <c r="E17" s="60">
        <v>5.4127731919288644E-2</v>
      </c>
      <c r="F17" s="60">
        <v>7.18333274126053E-2</v>
      </c>
      <c r="G17" s="60">
        <v>7.1758499741554252E-2</v>
      </c>
      <c r="H17" s="60">
        <v>7.1062406897544866E-2</v>
      </c>
      <c r="I17" s="60">
        <v>7.2648599743843092E-2</v>
      </c>
      <c r="J17" s="60">
        <v>9.2148515582084659E-2</v>
      </c>
      <c r="K17" s="60">
        <v>8.6241123080253626E-2</v>
      </c>
      <c r="L17" s="60">
        <v>7.9019305109977719E-2</v>
      </c>
      <c r="M17" s="60">
        <v>7.4369093775749226E-2</v>
      </c>
      <c r="N17" s="60">
        <v>5.5703875422477706E-2</v>
      </c>
      <c r="O17" s="60">
        <v>5.7024469971656805E-2</v>
      </c>
      <c r="P17" s="60">
        <v>7.0212480425834653E-2</v>
      </c>
      <c r="Q17" s="60">
        <v>7.9988887906074571E-2</v>
      </c>
      <c r="R17" s="60">
        <v>8.2492747902870173E-2</v>
      </c>
      <c r="S17" s="60">
        <v>7.3261162638664265E-2</v>
      </c>
      <c r="T17" s="60">
        <v>4.3426355719566351E-2</v>
      </c>
      <c r="U17" s="60">
        <v>7.4273094534873962E-2</v>
      </c>
      <c r="V17" s="60">
        <v>8.5508713126182551E-2</v>
      </c>
      <c r="W17" s="60">
        <v>7.6339766383171095E-2</v>
      </c>
      <c r="X17" s="60">
        <v>2.5796446204185489E-2</v>
      </c>
      <c r="Y17" s="60">
        <v>4.3345740437507635E-2</v>
      </c>
      <c r="Z17" s="60">
        <v>6.4910462498664862E-2</v>
      </c>
      <c r="AA17" s="60">
        <v>8.4839573502540594E-2</v>
      </c>
      <c r="AB17" s="60">
        <v>5.20279735326767E-2</v>
      </c>
      <c r="AC17" s="60">
        <v>7.342837750911714E-2</v>
      </c>
      <c r="AD17" s="60">
        <v>7.0564666390419001E-2</v>
      </c>
      <c r="AE17" s="60">
        <v>4.084245860576631E-2</v>
      </c>
      <c r="AF17" s="60">
        <v>7.2520026564598092E-2</v>
      </c>
      <c r="AG17" s="60">
        <v>7.5636538863182057E-2</v>
      </c>
      <c r="AH17" s="60">
        <v>6.2167969346046473E-2</v>
      </c>
    </row>
    <row r="19" spans="1:34" ht="23.25" x14ac:dyDescent="0.35">
      <c r="A19" s="63" t="s">
        <v>187</v>
      </c>
      <c r="B19" s="92"/>
      <c r="S19" s="92"/>
      <c r="T19" s="23"/>
      <c r="U19" s="23"/>
      <c r="V19" s="23"/>
      <c r="W19" s="23"/>
      <c r="X19" s="23"/>
      <c r="Y19" s="23"/>
      <c r="Z19" s="23"/>
      <c r="AA19" s="23"/>
      <c r="AB19" s="23"/>
      <c r="AC19" s="23"/>
      <c r="AD19" s="23"/>
      <c r="AE19" s="23"/>
      <c r="AF19" s="23"/>
      <c r="AG19" s="92"/>
      <c r="AH19" s="23"/>
    </row>
    <row r="20" spans="1:34" ht="26.25" x14ac:dyDescent="0.25">
      <c r="A20" s="92"/>
      <c r="B20" s="97"/>
      <c r="C20" s="28" t="s">
        <v>105</v>
      </c>
      <c r="D20" s="28" t="s">
        <v>3</v>
      </c>
      <c r="E20" s="28" t="s">
        <v>106</v>
      </c>
      <c r="F20" s="28" t="s">
        <v>474</v>
      </c>
      <c r="G20" s="28" t="s">
        <v>4</v>
      </c>
      <c r="H20" s="28" t="s">
        <v>5</v>
      </c>
      <c r="I20" s="28" t="s">
        <v>107</v>
      </c>
      <c r="J20" s="28" t="s">
        <v>108</v>
      </c>
      <c r="K20" s="28" t="s">
        <v>109</v>
      </c>
      <c r="L20" s="28" t="s">
        <v>110</v>
      </c>
      <c r="M20" s="28" t="s">
        <v>111</v>
      </c>
      <c r="N20" s="28" t="s">
        <v>6</v>
      </c>
      <c r="O20" s="28" t="s">
        <v>112</v>
      </c>
      <c r="P20" s="28" t="s">
        <v>473</v>
      </c>
      <c r="Q20" s="28" t="s">
        <v>472</v>
      </c>
      <c r="R20" s="28" t="s">
        <v>113</v>
      </c>
      <c r="S20" s="28" t="s">
        <v>478</v>
      </c>
      <c r="T20" s="28" t="s">
        <v>12</v>
      </c>
      <c r="U20" s="23"/>
      <c r="V20" s="23"/>
      <c r="W20" s="23"/>
      <c r="X20" s="23"/>
      <c r="Y20" s="23"/>
      <c r="Z20" s="23"/>
      <c r="AA20" s="23"/>
      <c r="AB20" s="23"/>
      <c r="AC20" s="23"/>
      <c r="AD20" s="23"/>
      <c r="AE20" s="23"/>
      <c r="AF20" s="23"/>
      <c r="AG20" s="92"/>
      <c r="AH20" s="23"/>
    </row>
    <row r="21" spans="1:34" x14ac:dyDescent="0.25">
      <c r="A21" s="92"/>
      <c r="B21" s="97">
        <f>IRR!C65</f>
        <v>7.0453676581382768E-2</v>
      </c>
      <c r="C21" s="23">
        <f>C$9</f>
        <v>1</v>
      </c>
      <c r="D21" s="23">
        <f t="shared" ref="D21:R21" si="0">D$9</f>
        <v>2</v>
      </c>
      <c r="E21" s="23">
        <f t="shared" si="0"/>
        <v>3</v>
      </c>
      <c r="F21" s="23">
        <f t="shared" si="0"/>
        <v>4</v>
      </c>
      <c r="G21" s="23">
        <f t="shared" si="0"/>
        <v>5</v>
      </c>
      <c r="H21" s="23">
        <f t="shared" si="0"/>
        <v>6</v>
      </c>
      <c r="I21" s="23">
        <f t="shared" si="0"/>
        <v>7</v>
      </c>
      <c r="J21" s="23">
        <f t="shared" si="0"/>
        <v>8</v>
      </c>
      <c r="K21" s="23">
        <f t="shared" si="0"/>
        <v>9</v>
      </c>
      <c r="L21" s="23">
        <f t="shared" si="0"/>
        <v>10</v>
      </c>
      <c r="M21" s="23">
        <f t="shared" si="0"/>
        <v>11</v>
      </c>
      <c r="N21" s="23">
        <f t="shared" si="0"/>
        <v>12</v>
      </c>
      <c r="O21" s="23">
        <f t="shared" si="0"/>
        <v>13</v>
      </c>
      <c r="P21" s="23">
        <f t="shared" si="0"/>
        <v>14</v>
      </c>
      <c r="Q21" s="23">
        <f t="shared" si="0"/>
        <v>15</v>
      </c>
      <c r="R21" s="136">
        <f t="shared" si="0"/>
        <v>16</v>
      </c>
      <c r="S21" s="23">
        <f>AG$9</f>
        <v>31</v>
      </c>
      <c r="T21" s="23"/>
      <c r="U21" s="92"/>
      <c r="V21" s="92"/>
      <c r="W21" s="92"/>
      <c r="X21" s="92"/>
      <c r="Y21" s="92"/>
      <c r="Z21" s="92"/>
      <c r="AA21" s="92"/>
      <c r="AB21" s="92"/>
      <c r="AC21" s="92"/>
      <c r="AD21" s="92"/>
      <c r="AE21" s="92"/>
      <c r="AF21" s="92"/>
      <c r="AG21" s="92"/>
      <c r="AH21" s="92"/>
    </row>
    <row r="22" spans="1:34" s="4" customFormat="1" x14ac:dyDescent="0.25">
      <c r="A22" s="92"/>
      <c r="B22" s="98">
        <v>1</v>
      </c>
      <c r="C22" s="60">
        <f t="dataTable" ref="C22:S46" dt2D="1" dtr="1" r1="C4" r2="C5"/>
        <v>8.7336286902427687E-2</v>
      </c>
      <c r="D22" s="60">
        <v>8.7369987368583688E-2</v>
      </c>
      <c r="E22" s="60">
        <v>8.7315717339515694E-2</v>
      </c>
      <c r="F22" s="60">
        <v>8.7412515282630929E-2</v>
      </c>
      <c r="G22" s="60">
        <v>8.73140424489975E-2</v>
      </c>
      <c r="H22" s="60">
        <v>8.7331143021583568E-2</v>
      </c>
      <c r="I22" s="60">
        <v>8.734395205974578E-2</v>
      </c>
      <c r="J22" s="60">
        <v>8.7312570214271551E-2</v>
      </c>
      <c r="K22" s="60">
        <v>8.7310948967933649E-2</v>
      </c>
      <c r="L22" s="60">
        <v>8.731440603733065E-2</v>
      </c>
      <c r="M22" s="60">
        <v>8.7694641947746274E-2</v>
      </c>
      <c r="N22" s="60">
        <v>8.7359794974327096E-2</v>
      </c>
      <c r="O22" s="60">
        <v>8.7328580021858226E-2</v>
      </c>
      <c r="P22" s="60">
        <v>8.7397608160972612E-2</v>
      </c>
      <c r="Q22" s="60">
        <v>8.7413951754569993E-2</v>
      </c>
      <c r="R22" s="60">
        <v>8.7315002083778404E-2</v>
      </c>
      <c r="S22" s="60">
        <v>8.744231760501861E-2</v>
      </c>
      <c r="T22" s="29" t="str">
        <f t="shared" ref="T22:T46" si="1">INDEX(ra_ScName,MATCH(B22,ra_ScNumber,0))</f>
        <v>Expected nominal return (incl forecast asset revaluations)</v>
      </c>
      <c r="U22" s="23"/>
      <c r="V22" s="23"/>
      <c r="W22" s="23"/>
      <c r="X22" s="23"/>
      <c r="Y22" s="23"/>
      <c r="Z22" s="23"/>
      <c r="AA22" s="23"/>
      <c r="AB22" s="23"/>
      <c r="AC22" s="23"/>
      <c r="AD22" s="23"/>
      <c r="AE22" s="23"/>
      <c r="AF22" s="23"/>
      <c r="AG22" s="92"/>
      <c r="AH22" s="23"/>
    </row>
    <row r="23" spans="1:34" x14ac:dyDescent="0.25">
      <c r="A23" s="92"/>
      <c r="B23" s="98">
        <v>2</v>
      </c>
      <c r="C23" s="60">
        <v>7.3801103234291107E-2</v>
      </c>
      <c r="D23" s="60">
        <v>7.1834930777549766E-2</v>
      </c>
      <c r="E23" s="60">
        <v>7.3600873351097135E-2</v>
      </c>
      <c r="F23" s="60">
        <v>7.3104211688041695E-2</v>
      </c>
      <c r="G23" s="60">
        <v>7.2512486577033991E-2</v>
      </c>
      <c r="H23" s="60">
        <v>7.3131635785102858E-2</v>
      </c>
      <c r="I23" s="60">
        <v>7.2704902291297918E-2</v>
      </c>
      <c r="J23" s="60">
        <v>7.2003051638603224E-2</v>
      </c>
      <c r="K23" s="60">
        <v>7.3861655592918407E-2</v>
      </c>
      <c r="L23" s="60">
        <v>7.3896768689155609E-2</v>
      </c>
      <c r="M23" s="60">
        <v>7.4062976241111758E-2</v>
      </c>
      <c r="N23" s="60">
        <v>7.2225418686866771E-2</v>
      </c>
      <c r="O23" s="60">
        <v>7.2706148028373704E-2</v>
      </c>
      <c r="P23" s="60">
        <v>7.2667732834815993E-2</v>
      </c>
      <c r="Q23" s="60">
        <v>7.2851452231407182E-2</v>
      </c>
      <c r="R23" s="60">
        <v>7.396484911441803E-2</v>
      </c>
      <c r="S23" s="60">
        <v>7.3174986243247989E-2</v>
      </c>
      <c r="T23" s="29" t="str">
        <f t="shared" si="1"/>
        <v>Expected real return (excl forecast asset revaluations)</v>
      </c>
      <c r="U23" s="23"/>
      <c r="V23" s="23"/>
      <c r="W23" s="23"/>
      <c r="X23" s="23"/>
      <c r="Y23" s="23"/>
      <c r="Z23" s="23"/>
      <c r="AA23" s="23"/>
      <c r="AB23" s="23"/>
      <c r="AC23" s="23"/>
      <c r="AD23" s="23"/>
      <c r="AE23" s="23"/>
      <c r="AF23" s="23"/>
      <c r="AG23" s="92"/>
      <c r="AH23" s="23"/>
    </row>
    <row r="24" spans="1:34" x14ac:dyDescent="0.25">
      <c r="A24" s="92"/>
      <c r="B24" s="98">
        <v>3</v>
      </c>
      <c r="C24" s="60">
        <v>7.5864866375923198E-2</v>
      </c>
      <c r="D24" s="60">
        <v>6.7241403460502627E-2</v>
      </c>
      <c r="E24" s="60">
        <v>6.9401654601097096E-2</v>
      </c>
      <c r="F24" s="60">
        <v>6.740426123142243E-2</v>
      </c>
      <c r="G24" s="60">
        <v>7.2976490855216999E-2</v>
      </c>
      <c r="H24" s="60">
        <v>6.5455290675163286E-2</v>
      </c>
      <c r="I24" s="60">
        <v>7.2256198525428778E-2</v>
      </c>
      <c r="J24" s="60">
        <v>6.2366101145744327E-2</v>
      </c>
      <c r="K24" s="60">
        <v>6.2604537606239311E-2</v>
      </c>
      <c r="L24" s="60">
        <v>7.7576288580894492E-2</v>
      </c>
      <c r="M24" s="60">
        <v>7.103916108608245E-2</v>
      </c>
      <c r="N24" s="60">
        <v>5.7171645760536211E-2</v>
      </c>
      <c r="O24" s="60">
        <v>6.4601042866706856E-2</v>
      </c>
      <c r="P24" s="60">
        <v>7.1586444973945632E-2</v>
      </c>
      <c r="Q24" s="60">
        <v>6.6438719630241394E-2</v>
      </c>
      <c r="R24" s="60">
        <v>6.4587756991386427E-2</v>
      </c>
      <c r="S24" s="60">
        <v>6.8075880408287062E-2</v>
      </c>
      <c r="T24" s="29" t="str">
        <f t="shared" si="1"/>
        <v>Total revenue effects</v>
      </c>
      <c r="U24" s="23"/>
      <c r="V24" s="23"/>
      <c r="W24" s="23"/>
      <c r="X24" s="23"/>
      <c r="Y24" s="23"/>
      <c r="Z24" s="23"/>
      <c r="AA24" s="23"/>
      <c r="AB24" s="23"/>
      <c r="AC24" s="23"/>
      <c r="AD24" s="23"/>
      <c r="AE24" s="23"/>
      <c r="AF24" s="23"/>
      <c r="AG24" s="92"/>
      <c r="AH24" s="23"/>
    </row>
    <row r="25" spans="1:34" x14ac:dyDescent="0.25">
      <c r="A25" s="92"/>
      <c r="B25" s="98">
        <v>4</v>
      </c>
      <c r="C25" s="60">
        <v>9.224759042263031E-2</v>
      </c>
      <c r="D25" s="60">
        <v>6.8202313780784618E-2</v>
      </c>
      <c r="E25" s="60">
        <v>6.7473378777503992E-2</v>
      </c>
      <c r="F25" s="60">
        <v>6.6045954823493958E-2</v>
      </c>
      <c r="G25" s="60">
        <v>7.452754080295565E-2</v>
      </c>
      <c r="H25" s="60">
        <v>6.8327942490577706E-2</v>
      </c>
      <c r="I25" s="60">
        <v>7.5951722264289867E-2</v>
      </c>
      <c r="J25" s="60">
        <v>8.4329971671104439E-2</v>
      </c>
      <c r="K25" s="60">
        <v>6.6540518403053292E-2</v>
      </c>
      <c r="L25" s="60">
        <v>8.1542631983757052E-2</v>
      </c>
      <c r="M25" s="60">
        <v>7.1437898278236406E-2</v>
      </c>
      <c r="N25" s="60">
        <v>5.7075223326683036E-2</v>
      </c>
      <c r="O25" s="60">
        <v>6.7435809969902047E-2</v>
      </c>
      <c r="P25" s="60">
        <v>7.587337195873263E-2</v>
      </c>
      <c r="Q25" s="60">
        <v>6.7269018292427082E-2</v>
      </c>
      <c r="R25" s="60">
        <v>6.7627027630805983E-2</v>
      </c>
      <c r="S25" s="60">
        <v>6.991260349750518E-2</v>
      </c>
      <c r="T25" s="29" t="str">
        <f t="shared" si="1"/>
        <v>Net additions prior to 1 April 2012</v>
      </c>
      <c r="U25" s="23"/>
      <c r="V25" s="23"/>
      <c r="W25" s="23"/>
      <c r="X25" s="23"/>
      <c r="Y25" s="23"/>
      <c r="Z25" s="23"/>
      <c r="AA25" s="23"/>
      <c r="AB25" s="23"/>
      <c r="AC25" s="23"/>
      <c r="AD25" s="23"/>
      <c r="AE25" s="23"/>
      <c r="AF25" s="23"/>
      <c r="AG25" s="92"/>
      <c r="AH25" s="23"/>
    </row>
    <row r="26" spans="1:34" x14ac:dyDescent="0.25">
      <c r="A26" s="92"/>
      <c r="B26" s="98">
        <v>5</v>
      </c>
      <c r="C26" s="60">
        <v>9.3160203099250799E-2</v>
      </c>
      <c r="D26" s="60">
        <v>6.9063046574592626E-2</v>
      </c>
      <c r="E26" s="60">
        <v>6.8147853016853346E-2</v>
      </c>
      <c r="F26" s="60">
        <v>6.6723671555519129E-2</v>
      </c>
      <c r="G26" s="60">
        <v>7.4992004036903398E-2</v>
      </c>
      <c r="H26" s="60">
        <v>6.9305124878883378E-2</v>
      </c>
      <c r="I26" s="60">
        <v>7.6850286126136799E-2</v>
      </c>
      <c r="J26" s="60">
        <v>8.533518016338347E-2</v>
      </c>
      <c r="K26" s="60">
        <v>6.7231991887092599E-2</v>
      </c>
      <c r="L26" s="60">
        <v>8.2049575448036205E-2</v>
      </c>
      <c r="M26" s="60">
        <v>7.2135260701179524E-2</v>
      </c>
      <c r="N26" s="60">
        <v>5.7734736800193781E-2</v>
      </c>
      <c r="O26" s="60">
        <v>6.8359634280204765E-2</v>
      </c>
      <c r="P26" s="60">
        <v>7.6615753769874589E-2</v>
      </c>
      <c r="Q26" s="60">
        <v>6.787167489528656E-2</v>
      </c>
      <c r="R26" s="60">
        <v>6.8382003903388985E-2</v>
      </c>
      <c r="S26" s="60">
        <v>7.0596066117286693E-2</v>
      </c>
      <c r="T26" s="29" t="str">
        <f t="shared" si="1"/>
        <v>Input price inflators 2013–15</v>
      </c>
      <c r="U26" s="23"/>
      <c r="V26" s="23"/>
      <c r="W26" s="23"/>
      <c r="X26" s="23"/>
      <c r="Y26" s="23"/>
      <c r="Z26" s="23"/>
      <c r="AA26" s="23"/>
      <c r="AB26" s="23"/>
      <c r="AC26" s="23"/>
      <c r="AD26" s="23"/>
      <c r="AE26" s="23"/>
      <c r="AF26" s="23"/>
      <c r="AG26" s="92"/>
      <c r="AH26" s="23"/>
    </row>
    <row r="27" spans="1:34" x14ac:dyDescent="0.25">
      <c r="A27" s="92"/>
      <c r="B27" s="98">
        <v>6</v>
      </c>
      <c r="C27" s="60">
        <v>7.8751680254936215E-2</v>
      </c>
      <c r="D27" s="60">
        <v>6.8377724289894123E-2</v>
      </c>
      <c r="E27" s="60">
        <v>5.0927147269248962E-2</v>
      </c>
      <c r="F27" s="60">
        <v>5.8019486069679271E-2</v>
      </c>
      <c r="G27" s="60">
        <v>6.6025432944297802E-2</v>
      </c>
      <c r="H27" s="60">
        <v>6.8042114377021803E-2</v>
      </c>
      <c r="I27" s="60">
        <v>7.3760631680488617E-2</v>
      </c>
      <c r="J27" s="60">
        <v>9.0752813220024112E-2</v>
      </c>
      <c r="K27" s="60">
        <v>6.1569353938102714E-2</v>
      </c>
      <c r="L27" s="60">
        <v>7.0787927508354179E-2</v>
      </c>
      <c r="M27" s="60">
        <v>7.0842155814170846E-2</v>
      </c>
      <c r="N27" s="60">
        <v>5.2186992764472959E-2</v>
      </c>
      <c r="O27" s="60">
        <v>6.5640541911125186E-2</v>
      </c>
      <c r="P27" s="60">
        <v>6.6517832875251759E-2</v>
      </c>
      <c r="Q27" s="60">
        <v>6.9851115345954895E-2</v>
      </c>
      <c r="R27" s="60">
        <v>7.5057372450828552E-2</v>
      </c>
      <c r="S27" s="60">
        <v>6.9279208779335022E-2</v>
      </c>
      <c r="T27" s="29" t="str">
        <f t="shared" si="1"/>
        <v>Operating expenditure 2013–15</v>
      </c>
      <c r="U27" s="23"/>
      <c r="V27" s="23"/>
      <c r="W27" s="23"/>
      <c r="X27" s="23"/>
      <c r="Y27" s="23"/>
      <c r="Z27" s="23"/>
      <c r="AA27" s="23"/>
      <c r="AB27" s="23"/>
      <c r="AC27" s="23"/>
      <c r="AD27" s="23"/>
      <c r="AE27" s="23"/>
      <c r="AF27" s="23"/>
      <c r="AG27" s="92"/>
      <c r="AH27" s="23"/>
    </row>
    <row r="28" spans="1:34" x14ac:dyDescent="0.25">
      <c r="A28" s="92"/>
      <c r="B28" s="98">
        <v>7</v>
      </c>
      <c r="C28" s="60">
        <v>8.0690792202949543E-2</v>
      </c>
      <c r="D28" s="60">
        <v>7.0062956213951116E-2</v>
      </c>
      <c r="E28" s="60">
        <v>5.1821729540824896E-2</v>
      </c>
      <c r="F28" s="60">
        <v>5.7567426562309273E-2</v>
      </c>
      <c r="G28" s="60">
        <v>6.0485270619392392E-2</v>
      </c>
      <c r="H28" s="60">
        <v>6.7294457554817208E-2</v>
      </c>
      <c r="I28" s="60">
        <v>7.1016928553581257E-2</v>
      </c>
      <c r="J28" s="60">
        <v>7.6875808835029633E-2</v>
      </c>
      <c r="K28" s="60">
        <v>6.1500194668769839E-2</v>
      </c>
      <c r="L28" s="60">
        <v>7.0580950379371649E-2</v>
      </c>
      <c r="M28" s="60">
        <v>7.0199093222618109E-2</v>
      </c>
      <c r="N28" s="60">
        <v>5.2224430441856387E-2</v>
      </c>
      <c r="O28" s="60">
        <v>5.9706208109855635E-2</v>
      </c>
      <c r="P28" s="60">
        <v>6.8923452496528634E-2</v>
      </c>
      <c r="Q28" s="60">
        <v>7.0769879221916202E-2</v>
      </c>
      <c r="R28" s="60">
        <v>7.683677971363069E-2</v>
      </c>
      <c r="S28" s="60">
        <v>6.9464120268821705E-2</v>
      </c>
      <c r="T28" s="29" t="str">
        <f t="shared" si="1"/>
        <v>Commissioned assets 2013–15</v>
      </c>
      <c r="U28" s="23"/>
      <c r="V28" s="23"/>
      <c r="W28" s="23"/>
      <c r="X28" s="23"/>
      <c r="Y28" s="23"/>
      <c r="Z28" s="23"/>
      <c r="AA28" s="23"/>
      <c r="AB28" s="23"/>
      <c r="AC28" s="23"/>
      <c r="AD28" s="23"/>
      <c r="AE28" s="23"/>
      <c r="AF28" s="23"/>
      <c r="AG28" s="92"/>
      <c r="AH28" s="23"/>
    </row>
    <row r="29" spans="1:34" x14ac:dyDescent="0.25">
      <c r="A29" s="92"/>
      <c r="B29" s="98">
        <v>8</v>
      </c>
      <c r="C29" s="60">
        <v>8.0683425068855327E-2</v>
      </c>
      <c r="D29" s="60">
        <v>7.0075657963752758E-2</v>
      </c>
      <c r="E29" s="60">
        <v>5.1740321516990664E-2</v>
      </c>
      <c r="F29" s="60">
        <v>5.7503542304039007E-2</v>
      </c>
      <c r="G29" s="60">
        <v>6.063009202480317E-2</v>
      </c>
      <c r="H29" s="60">
        <v>6.7474862933158894E-2</v>
      </c>
      <c r="I29" s="60">
        <v>7.1221253275871269E-2</v>
      </c>
      <c r="J29" s="60">
        <v>7.6935407519340512E-2</v>
      </c>
      <c r="K29" s="60">
        <v>6.1733743548393255E-2</v>
      </c>
      <c r="L29" s="60">
        <v>7.0642992854118347E-2</v>
      </c>
      <c r="M29" s="60">
        <v>6.9903126358985893E-2</v>
      </c>
      <c r="N29" s="60">
        <v>5.2237710356712347E-2</v>
      </c>
      <c r="O29" s="60">
        <v>5.9718737006187433E-2</v>
      </c>
      <c r="P29" s="60">
        <v>6.9384118914604179E-2</v>
      </c>
      <c r="Q29" s="60">
        <v>7.0690640807151789E-2</v>
      </c>
      <c r="R29" s="60">
        <v>7.6860609650611894E-2</v>
      </c>
      <c r="S29" s="60">
        <v>6.9426718354225161E-2</v>
      </c>
      <c r="T29" s="29" t="str">
        <f t="shared" si="1"/>
        <v>Asset disposals 2013–15</v>
      </c>
      <c r="U29" s="23"/>
      <c r="V29" s="23"/>
      <c r="W29" s="23"/>
      <c r="X29" s="23"/>
      <c r="Y29" s="23"/>
      <c r="Z29" s="23"/>
      <c r="AA29" s="23"/>
      <c r="AB29" s="23"/>
      <c r="AC29" s="23"/>
      <c r="AD29" s="23"/>
      <c r="AE29" s="23"/>
      <c r="AF29" s="23"/>
      <c r="AG29" s="92"/>
      <c r="AH29" s="23"/>
    </row>
    <row r="30" spans="1:34" x14ac:dyDescent="0.25">
      <c r="A30" s="92"/>
      <c r="B30" s="98">
        <v>9</v>
      </c>
      <c r="C30" s="60">
        <v>7.9900494217872639E-2</v>
      </c>
      <c r="D30" s="60">
        <v>6.175639331340789E-2</v>
      </c>
      <c r="E30" s="60">
        <v>5.1118347048759463E-2</v>
      </c>
      <c r="F30" s="60">
        <v>5.8199992775917059E-2</v>
      </c>
      <c r="G30" s="60">
        <v>6.4917042851448059E-2</v>
      </c>
      <c r="H30" s="60">
        <v>6.4339944720268258E-2</v>
      </c>
      <c r="I30" s="60">
        <v>6.2577810883522017E-2</v>
      </c>
      <c r="J30" s="60">
        <v>7.6093688607215909E-2</v>
      </c>
      <c r="K30" s="60">
        <v>8.2150527834892309E-2</v>
      </c>
      <c r="L30" s="60">
        <v>7.1564164757728574E-2</v>
      </c>
      <c r="M30" s="60">
        <v>6.8571266531944272E-2</v>
      </c>
      <c r="N30" s="60">
        <v>4.988501369953155E-2</v>
      </c>
      <c r="O30" s="60">
        <v>5.452627241611481E-2</v>
      </c>
      <c r="P30" s="60">
        <v>6.4868494868278503E-2</v>
      </c>
      <c r="Q30" s="60">
        <v>6.7197403311729451E-2</v>
      </c>
      <c r="R30" s="60">
        <v>7.8780016303062458E-2</v>
      </c>
      <c r="S30" s="60">
        <v>6.7514356970787073E-2</v>
      </c>
      <c r="T30" s="29" t="str">
        <f t="shared" si="1"/>
        <v>Disclosed real return (excl actual asset revaluations)</v>
      </c>
      <c r="U30" s="23"/>
      <c r="V30" s="23"/>
      <c r="W30" s="23"/>
      <c r="Y30" s="23"/>
      <c r="Z30" s="23"/>
      <c r="AA30" s="23"/>
      <c r="AB30" s="23"/>
      <c r="AC30" s="23"/>
      <c r="AD30" s="23"/>
      <c r="AE30" s="23"/>
      <c r="AF30" s="23"/>
      <c r="AG30" s="92"/>
      <c r="AH30" s="23"/>
    </row>
    <row r="31" spans="1:34" x14ac:dyDescent="0.25">
      <c r="B31" s="98">
        <v>10</v>
      </c>
      <c r="C31" s="60">
        <v>8.1641086935997031E-2</v>
      </c>
      <c r="D31" s="60">
        <v>6.5177473425865176E-2</v>
      </c>
      <c r="E31" s="60">
        <v>5.503489673137664E-2</v>
      </c>
      <c r="F31" s="60">
        <v>6.1593458056449904E-2</v>
      </c>
      <c r="G31" s="60">
        <v>6.860391795635222E-2</v>
      </c>
      <c r="H31" s="60">
        <v>6.7422375082969666E-2</v>
      </c>
      <c r="I31" s="60">
        <v>6.554950177669526E-2</v>
      </c>
      <c r="J31" s="60">
        <v>7.8456476330757155E-2</v>
      </c>
      <c r="K31" s="60">
        <v>8.3713665604591397E-2</v>
      </c>
      <c r="L31" s="60">
        <v>7.4018034338951127E-2</v>
      </c>
      <c r="M31" s="60">
        <v>7.1314582228660592E-2</v>
      </c>
      <c r="N31" s="60">
        <v>5.3291299939155587E-2</v>
      </c>
      <c r="O31" s="60">
        <v>5.8486852049827578E-2</v>
      </c>
      <c r="P31" s="60">
        <v>6.7834106087684642E-2</v>
      </c>
      <c r="Q31" s="60">
        <v>7.0359322428703311E-2</v>
      </c>
      <c r="R31" s="60">
        <v>8.0735775828361514E-2</v>
      </c>
      <c r="S31" s="60">
        <v>7.0453676581382768E-2</v>
      </c>
      <c r="T31" s="29" t="str">
        <f t="shared" si="1"/>
        <v>Disclosed nominal return (incl actual asset revaluations)</v>
      </c>
      <c r="U31" s="23"/>
      <c r="V31" s="23"/>
      <c r="W31" s="23"/>
      <c r="X31" s="23"/>
      <c r="Y31" s="23"/>
      <c r="Z31" s="23"/>
      <c r="AA31" s="23"/>
      <c r="AB31" s="23"/>
      <c r="AC31" s="23"/>
      <c r="AD31" s="23"/>
      <c r="AE31" s="23"/>
      <c r="AF31" s="23"/>
      <c r="AG31" s="92"/>
      <c r="AH31" s="23"/>
    </row>
    <row r="32" spans="1:34" x14ac:dyDescent="0.25">
      <c r="A32" s="92"/>
      <c r="B32" s="98">
        <v>11</v>
      </c>
      <c r="C32" s="60">
        <v>8.3209237456321722E-2</v>
      </c>
      <c r="D32" s="60">
        <v>6.5687397122383126E-2</v>
      </c>
      <c r="E32" s="60">
        <v>5.7321104407310489E-2</v>
      </c>
      <c r="F32" s="60">
        <v>6.1975970864295973E-2</v>
      </c>
      <c r="G32" s="60">
        <v>7.143664062023164E-2</v>
      </c>
      <c r="H32" s="60">
        <v>6.8602541089057931E-2</v>
      </c>
      <c r="I32" s="60">
        <v>6.6023460030555717E-2</v>
      </c>
      <c r="J32" s="60">
        <v>7.9772779345512398E-2</v>
      </c>
      <c r="K32" s="60">
        <v>9.3586054444313033E-2</v>
      </c>
      <c r="L32" s="60">
        <v>7.4606952071189891E-2</v>
      </c>
      <c r="M32" s="60">
        <v>7.1946290135383617E-2</v>
      </c>
      <c r="N32" s="60">
        <v>7.0216223597526564E-2</v>
      </c>
      <c r="O32" s="60">
        <v>6.808634698390964E-2</v>
      </c>
      <c r="P32" s="60">
        <v>6.7956063151359561E-2</v>
      </c>
      <c r="Q32" s="60">
        <v>7.0398262143135062E-2</v>
      </c>
      <c r="R32" s="60">
        <v>8.1018862128257776E-2</v>
      </c>
      <c r="S32" s="60">
        <v>7.1780160069465637E-2</v>
      </c>
      <c r="T32" s="29" t="str">
        <f t="shared" si="1"/>
        <v>With reset</v>
      </c>
      <c r="U32" s="23"/>
      <c r="V32" s="23"/>
      <c r="W32" s="23"/>
      <c r="X32" s="23"/>
      <c r="Y32" s="23"/>
      <c r="Z32" s="23"/>
      <c r="AA32" s="23"/>
      <c r="AB32" s="23"/>
      <c r="AC32" s="23"/>
      <c r="AD32" s="23"/>
      <c r="AE32" s="23"/>
      <c r="AF32" s="23"/>
      <c r="AG32" s="92"/>
      <c r="AH32" s="23"/>
    </row>
    <row r="33" spans="1:34" s="4" customFormat="1" x14ac:dyDescent="0.25">
      <c r="A33" s="92"/>
      <c r="B33" s="98">
        <v>12</v>
      </c>
      <c r="C33" s="60">
        <v>3.414613902568818E-2</v>
      </c>
      <c r="D33" s="60">
        <v>6.4430120587348941E-2</v>
      </c>
      <c r="E33" s="60">
        <v>3.3519467711448675E-2</v>
      </c>
      <c r="F33" s="60">
        <v>6.7304751276969929E-2</v>
      </c>
      <c r="G33" s="60">
        <v>6.6171929240226759E-2</v>
      </c>
      <c r="H33" s="60">
        <v>6.5448614954948442E-2</v>
      </c>
      <c r="I33" s="60">
        <v>6.988703906536102E-2</v>
      </c>
      <c r="J33" s="60">
        <v>8.1676509976387049E-2</v>
      </c>
      <c r="K33" s="60">
        <v>8.2522490620613106E-2</v>
      </c>
      <c r="L33" s="60">
        <v>6.9926193356513969E-2</v>
      </c>
      <c r="M33" s="60">
        <v>7.1344235539436349E-2</v>
      </c>
      <c r="N33" s="60">
        <v>5.6570872664451585E-2</v>
      </c>
      <c r="O33" s="60">
        <v>4.4840607047080996E-2</v>
      </c>
      <c r="P33" s="60">
        <v>5.4403653740882879E-2</v>
      </c>
      <c r="Q33" s="60">
        <v>8.0402240157127394E-2</v>
      </c>
      <c r="R33" s="60">
        <v>7.7913531661033639E-2</v>
      </c>
      <c r="S33" s="60">
        <v>7.1397766470909146E-2</v>
      </c>
      <c r="T33" s="29" t="str">
        <f t="shared" si="1"/>
        <v>Without reset</v>
      </c>
      <c r="U33" s="23"/>
      <c r="V33" s="23"/>
      <c r="W33" s="23"/>
      <c r="X33" s="23"/>
      <c r="Y33" s="23"/>
      <c r="Z33" s="23"/>
      <c r="AA33" s="23"/>
      <c r="AB33" s="23"/>
      <c r="AC33" s="23"/>
      <c r="AD33" s="23"/>
      <c r="AE33" s="23"/>
      <c r="AF33" s="23"/>
      <c r="AG33" s="92"/>
      <c r="AH33" s="23"/>
    </row>
    <row r="34" spans="1:34" s="4" customFormat="1" x14ac:dyDescent="0.25">
      <c r="A34" s="92"/>
      <c r="B34" s="98">
        <v>13</v>
      </c>
      <c r="C34" s="60">
        <v>7.2286936640739444E-2</v>
      </c>
      <c r="D34" s="60">
        <v>6.3720265030860881E-2</v>
      </c>
      <c r="E34" s="60">
        <v>7.4712648987770081E-2</v>
      </c>
      <c r="F34" s="60">
        <v>6.8985906243324277E-2</v>
      </c>
      <c r="G34" s="60">
        <v>7.6658013463020327E-2</v>
      </c>
      <c r="H34" s="60">
        <v>6.8686422705650341E-2</v>
      </c>
      <c r="I34" s="60">
        <v>7.3157075047492998E-2</v>
      </c>
      <c r="J34" s="60">
        <v>6.3994893431663508E-2</v>
      </c>
      <c r="K34" s="60">
        <v>7.1698126196861278E-2</v>
      </c>
      <c r="L34" s="60">
        <v>7.3240306973457361E-2</v>
      </c>
      <c r="M34" s="60">
        <v>7.2816362977027899E-2</v>
      </c>
      <c r="N34" s="60">
        <v>8.4877726435661313E-2</v>
      </c>
      <c r="O34" s="60">
        <v>6.9511446356773379E-2</v>
      </c>
      <c r="P34" s="60">
        <v>7.1720340847969064E-2</v>
      </c>
      <c r="Q34" s="60">
        <v>6.8857541680336004E-2</v>
      </c>
      <c r="R34" s="60">
        <v>6.6154989600181582E-2</v>
      </c>
      <c r="S34" s="60">
        <v>7.0406374335288999E-2</v>
      </c>
      <c r="T34" s="29" t="str">
        <f t="shared" si="1"/>
        <v>Changes in demand (delta D)</v>
      </c>
      <c r="U34" s="23"/>
      <c r="V34" s="23"/>
      <c r="W34" s="23"/>
      <c r="X34" s="23"/>
      <c r="Y34" s="23"/>
      <c r="Z34" s="23"/>
      <c r="AA34" s="23"/>
      <c r="AB34" s="23"/>
      <c r="AC34" s="23"/>
      <c r="AD34" s="23"/>
      <c r="AE34" s="23"/>
      <c r="AF34" s="23"/>
      <c r="AG34" s="92"/>
      <c r="AH34" s="23"/>
    </row>
    <row r="35" spans="1:34" s="4" customFormat="1" x14ac:dyDescent="0.25">
      <c r="A35" s="92"/>
      <c r="B35" s="98">
        <v>14</v>
      </c>
      <c r="C35" s="60">
        <v>7.9365399479866053E-2</v>
      </c>
      <c r="D35" s="60">
        <v>6.5854296088218703E-2</v>
      </c>
      <c r="E35" s="60">
        <v>7.198220193386079E-2</v>
      </c>
      <c r="F35" s="60">
        <v>7.004678547382355E-2</v>
      </c>
      <c r="G35" s="60">
        <v>7.7223661541938812E-2</v>
      </c>
      <c r="H35" s="60">
        <v>6.8998077511787423E-2</v>
      </c>
      <c r="I35" s="60">
        <v>7.3912742733955386E-2</v>
      </c>
      <c r="J35" s="60">
        <v>6.2419560551643369E-2</v>
      </c>
      <c r="K35" s="60">
        <v>7.2609654068946844E-2</v>
      </c>
      <c r="L35" s="60">
        <v>7.4862512946128862E-2</v>
      </c>
      <c r="M35" s="60">
        <v>7.2944483160972629E-2</v>
      </c>
      <c r="N35" s="60">
        <v>8.6355057358741771E-2</v>
      </c>
      <c r="O35" s="60">
        <v>6.6853180527687101E-2</v>
      </c>
      <c r="P35" s="60">
        <v>7.2216781973838809E-2</v>
      </c>
      <c r="Q35" s="60">
        <v>6.9112125039100664E-2</v>
      </c>
      <c r="R35" s="60">
        <v>6.6374316811561584E-2</v>
      </c>
      <c r="S35" s="60">
        <v>7.0932087302207958E-2</v>
      </c>
      <c r="T35" s="29" t="str">
        <f t="shared" si="1"/>
        <v>Changes in demand (CPRG)</v>
      </c>
      <c r="U35" s="23"/>
      <c r="V35" s="23"/>
      <c r="W35" s="23"/>
      <c r="X35" s="23"/>
      <c r="Y35" s="23"/>
      <c r="Z35" s="23"/>
      <c r="AA35" s="23"/>
      <c r="AB35" s="23"/>
      <c r="AC35" s="23"/>
      <c r="AD35" s="23"/>
      <c r="AE35" s="23"/>
      <c r="AF35" s="23"/>
      <c r="AG35" s="92"/>
      <c r="AH35" s="23"/>
    </row>
    <row r="36" spans="1:34" s="4" customFormat="1" x14ac:dyDescent="0.25">
      <c r="A36" s="92"/>
      <c r="B36" s="98">
        <v>15</v>
      </c>
      <c r="C36" s="60">
        <v>7.7929618954658511E-2</v>
      </c>
      <c r="D36" s="60">
        <v>6.4313241839408855E-2</v>
      </c>
      <c r="E36" s="60">
        <v>7.0423004031181333E-2</v>
      </c>
      <c r="F36" s="60">
        <v>6.8545243144035331E-2</v>
      </c>
      <c r="G36" s="60">
        <v>7.5882175564765939E-2</v>
      </c>
      <c r="H36" s="60">
        <v>6.7248883843421939E-2</v>
      </c>
      <c r="I36" s="60">
        <v>7.2251144051551822E-2</v>
      </c>
      <c r="J36" s="60">
        <v>6.0836258530616763E-2</v>
      </c>
      <c r="K36" s="60">
        <v>7.1027883887290977E-2</v>
      </c>
      <c r="L36" s="60">
        <v>7.3397228121757516E-2</v>
      </c>
      <c r="M36" s="60">
        <v>7.1382763981819183E-2</v>
      </c>
      <c r="N36" s="60">
        <v>8.4796759486198442E-2</v>
      </c>
      <c r="O36" s="60">
        <v>6.5214976668357835E-2</v>
      </c>
      <c r="P36" s="60">
        <v>7.0664873719215399E-2</v>
      </c>
      <c r="Q36" s="60">
        <v>6.7685863375663777E-2</v>
      </c>
      <c r="R36" s="60">
        <v>6.4716324210166945E-2</v>
      </c>
      <c r="S36" s="60">
        <v>6.9422015547752375E-2</v>
      </c>
      <c r="T36" s="29" t="str">
        <f t="shared" si="1"/>
        <v>Inflation indexation of revenue limit (CPI–X%)</v>
      </c>
      <c r="U36" s="23"/>
      <c r="V36" s="23"/>
      <c r="W36" s="23"/>
      <c r="X36" s="23"/>
      <c r="Y36" s="23"/>
      <c r="Z36" s="23"/>
      <c r="AA36" s="23"/>
      <c r="AB36" s="23"/>
      <c r="AC36" s="23"/>
      <c r="AD36" s="23"/>
      <c r="AE36" s="23"/>
      <c r="AF36" s="23"/>
      <c r="AG36" s="92"/>
      <c r="AH36" s="23"/>
    </row>
    <row r="37" spans="1:34" s="4" customFormat="1" x14ac:dyDescent="0.25">
      <c r="A37" s="92"/>
      <c r="B37" s="98">
        <v>16</v>
      </c>
      <c r="C37" s="60">
        <v>7.5531038641929629E-2</v>
      </c>
      <c r="D37" s="60">
        <v>6.373830139636992E-2</v>
      </c>
      <c r="E37" s="60">
        <v>6.7393293976783772E-2</v>
      </c>
      <c r="F37" s="60">
        <v>6.814965903759003E-2</v>
      </c>
      <c r="G37" s="60">
        <v>7.2707369923591614E-2</v>
      </c>
      <c r="H37" s="60">
        <v>6.6025403141975414E-2</v>
      </c>
      <c r="I37" s="60">
        <v>7.1768370270729062E-2</v>
      </c>
      <c r="J37" s="60">
        <v>5.9562346339225761E-2</v>
      </c>
      <c r="K37" s="60">
        <v>6.0879018902778609E-2</v>
      </c>
      <c r="L37" s="60">
        <v>7.2758296132087702E-2</v>
      </c>
      <c r="M37" s="60">
        <v>7.0747461915016185E-2</v>
      </c>
      <c r="N37" s="60">
        <v>6.7380282282829301E-2</v>
      </c>
      <c r="O37" s="60">
        <v>5.395531356334686E-2</v>
      </c>
      <c r="P37" s="60">
        <v>7.041873037815094E-2</v>
      </c>
      <c r="Q37" s="60">
        <v>6.76740437746048E-2</v>
      </c>
      <c r="R37" s="60">
        <v>6.4427176117897028E-2</v>
      </c>
      <c r="S37" s="60">
        <v>6.8004623055458069E-2</v>
      </c>
      <c r="T37" s="29" t="str">
        <f t="shared" si="1"/>
        <v>Pricing beneath limit</v>
      </c>
      <c r="U37" s="23"/>
      <c r="V37" s="23"/>
      <c r="W37" s="23"/>
      <c r="X37" s="23"/>
      <c r="Y37" s="23"/>
      <c r="Z37" s="23"/>
      <c r="AA37" s="23"/>
      <c r="AB37" s="23"/>
      <c r="AC37" s="23"/>
      <c r="AD37" s="23"/>
      <c r="AE37" s="23"/>
      <c r="AF37" s="23"/>
      <c r="AG37" s="92"/>
      <c r="AH37" s="23"/>
    </row>
    <row r="38" spans="1:34" s="4" customFormat="1" x14ac:dyDescent="0.25">
      <c r="A38" s="92"/>
      <c r="B38" s="98">
        <v>17</v>
      </c>
      <c r="C38" s="60">
        <v>6.0752573609352115E-2</v>
      </c>
      <c r="D38" s="60">
        <v>6.1303254961967465E-2</v>
      </c>
      <c r="E38" s="60">
        <v>5.841773450374603E-2</v>
      </c>
      <c r="F38" s="60">
        <v>6.8078848719596879E-2</v>
      </c>
      <c r="G38" s="60">
        <v>7.1217635273933419E-2</v>
      </c>
      <c r="H38" s="60">
        <v>6.3173410296440094E-2</v>
      </c>
      <c r="I38" s="60">
        <v>7.3068335652351393E-2</v>
      </c>
      <c r="J38" s="60">
        <v>5.7372531294822685E-2</v>
      </c>
      <c r="K38" s="60">
        <v>5.6511995196342465E-2</v>
      </c>
      <c r="L38" s="60">
        <v>7.0882973074913036E-2</v>
      </c>
      <c r="M38" s="60">
        <v>6.9643381237983706E-2</v>
      </c>
      <c r="N38" s="60">
        <v>6.1514005064964281E-2</v>
      </c>
      <c r="O38" s="60">
        <v>4.3926945328712469E-2</v>
      </c>
      <c r="P38" s="60">
        <v>6.6000738739967341E-2</v>
      </c>
      <c r="Q38" s="60">
        <v>6.9211354851722723E-2</v>
      </c>
      <c r="R38" s="60">
        <v>6.0938176512718198E-2</v>
      </c>
      <c r="S38" s="60">
        <v>6.6476717591285706E-2</v>
      </c>
      <c r="T38" s="29" t="str">
        <f t="shared" si="1"/>
        <v>Impact of delay to reset</v>
      </c>
      <c r="U38" s="23"/>
      <c r="V38" s="23"/>
      <c r="W38" s="23"/>
      <c r="X38" s="23"/>
      <c r="Y38" s="23"/>
      <c r="Z38" s="23"/>
      <c r="AA38" s="23"/>
      <c r="AB38" s="23"/>
      <c r="AC38" s="23"/>
      <c r="AD38" s="23"/>
      <c r="AE38" s="23"/>
      <c r="AF38" s="23"/>
      <c r="AG38" s="92"/>
      <c r="AH38" s="23"/>
    </row>
    <row r="39" spans="1:34" s="4" customFormat="1" x14ac:dyDescent="0.25">
      <c r="A39" s="92"/>
      <c r="B39" s="98">
        <v>18</v>
      </c>
      <c r="C39" s="60">
        <v>7.498714625835419E-2</v>
      </c>
      <c r="D39" s="60">
        <v>6.1619523167610171E-2</v>
      </c>
      <c r="E39" s="60">
        <v>6.7193552851676941E-2</v>
      </c>
      <c r="F39" s="60">
        <v>6.8148383498191842E-2</v>
      </c>
      <c r="G39" s="60">
        <v>7.2667655348777768E-2</v>
      </c>
      <c r="H39" s="60">
        <v>6.6022554039955134E-2</v>
      </c>
      <c r="I39" s="60">
        <v>7.1565410494804374E-2</v>
      </c>
      <c r="J39" s="60">
        <v>5.9528693556785583E-2</v>
      </c>
      <c r="K39" s="60">
        <v>6.0859665274620042E-2</v>
      </c>
      <c r="L39" s="60">
        <v>7.2727349400520322E-2</v>
      </c>
      <c r="M39" s="60">
        <v>7.0722177624702467E-2</v>
      </c>
      <c r="N39" s="60">
        <v>6.1514005064964281E-2</v>
      </c>
      <c r="O39" s="60">
        <v>5.3979828953742995E-2</v>
      </c>
      <c r="P39" s="60">
        <v>7.0295742154121391E-2</v>
      </c>
      <c r="Q39" s="60">
        <v>6.7685440182685866E-2</v>
      </c>
      <c r="R39" s="60">
        <v>6.4388301968574521E-2</v>
      </c>
      <c r="S39" s="60">
        <v>6.7712309956550601E-2</v>
      </c>
      <c r="T39" s="29" t="str">
        <f t="shared" si="1"/>
        <v>Clawback for delay</v>
      </c>
      <c r="U39" s="23"/>
      <c r="V39" s="23"/>
      <c r="W39" s="23"/>
      <c r="X39" s="23"/>
      <c r="Y39" s="23"/>
      <c r="Z39" s="23"/>
      <c r="AA39" s="23"/>
      <c r="AB39" s="23"/>
      <c r="AC39" s="23"/>
      <c r="AD39" s="23"/>
      <c r="AE39" s="23"/>
      <c r="AF39" s="23"/>
      <c r="AG39" s="92"/>
      <c r="AH39" s="23"/>
    </row>
    <row r="40" spans="1:34" s="4" customFormat="1" x14ac:dyDescent="0.25">
      <c r="A40" s="92"/>
      <c r="B40" s="98">
        <v>19</v>
      </c>
      <c r="C40" s="60">
        <v>5.9654882550239555E-2</v>
      </c>
      <c r="D40" s="60">
        <v>6.1619523167610171E-2</v>
      </c>
      <c r="E40" s="60">
        <v>6.2076225876808167E-2</v>
      </c>
      <c r="F40" s="60">
        <v>6.8148383498191842E-2</v>
      </c>
      <c r="G40" s="60">
        <v>7.2667655348777768E-2</v>
      </c>
      <c r="H40" s="60">
        <v>6.6022554039955134E-2</v>
      </c>
      <c r="I40" s="60">
        <v>7.1565410494804374E-2</v>
      </c>
      <c r="J40" s="60">
        <v>5.9528693556785583E-2</v>
      </c>
      <c r="K40" s="60">
        <v>6.0859665274620042E-2</v>
      </c>
      <c r="L40" s="60">
        <v>7.2727349400520322E-2</v>
      </c>
      <c r="M40" s="60">
        <v>7.0722177624702467E-2</v>
      </c>
      <c r="N40" s="60">
        <v>5.7602772116661066E-2</v>
      </c>
      <c r="O40" s="60">
        <v>5.0245186686515814E-2</v>
      </c>
      <c r="P40" s="60">
        <v>7.0295742154121391E-2</v>
      </c>
      <c r="Q40" s="60">
        <v>6.7685440182685866E-2</v>
      </c>
      <c r="R40" s="60">
        <v>6.4388301968574521E-2</v>
      </c>
      <c r="S40" s="60">
        <v>6.7029622197151195E-2</v>
      </c>
      <c r="T40" s="29" t="str">
        <f t="shared" si="1"/>
        <v>10% cap</v>
      </c>
      <c r="U40" s="23"/>
      <c r="V40" s="23"/>
      <c r="W40" s="23"/>
      <c r="X40" s="23"/>
      <c r="Y40" s="23"/>
      <c r="Z40" s="23"/>
      <c r="AA40" s="23"/>
      <c r="AB40" s="23"/>
      <c r="AC40" s="23"/>
      <c r="AD40" s="23"/>
      <c r="AE40" s="23"/>
      <c r="AF40" s="23"/>
      <c r="AG40" s="92"/>
      <c r="AH40" s="23"/>
    </row>
    <row r="41" spans="1:34" s="4" customFormat="1" x14ac:dyDescent="0.25">
      <c r="A41" s="92"/>
      <c r="B41" s="98">
        <v>20</v>
      </c>
      <c r="C41" s="60">
        <v>7.478701770305636E-2</v>
      </c>
      <c r="D41" s="60">
        <v>6.1619523167610171E-2</v>
      </c>
      <c r="E41" s="60">
        <v>6.7144140601158156E-2</v>
      </c>
      <c r="F41" s="60">
        <v>6.8148383498191842E-2</v>
      </c>
      <c r="G41" s="60">
        <v>7.2667655348777768E-2</v>
      </c>
      <c r="H41" s="60">
        <v>6.6022554039955134E-2</v>
      </c>
      <c r="I41" s="60">
        <v>7.1565410494804374E-2</v>
      </c>
      <c r="J41" s="60">
        <v>5.9528693556785583E-2</v>
      </c>
      <c r="K41" s="60">
        <v>6.0859665274620042E-2</v>
      </c>
      <c r="L41" s="60">
        <v>7.2727349400520322E-2</v>
      </c>
      <c r="M41" s="60">
        <v>7.0722177624702467E-2</v>
      </c>
      <c r="N41" s="60">
        <v>5.7602772116661066E-2</v>
      </c>
      <c r="O41" s="60">
        <v>5.3966125845909124E-2</v>
      </c>
      <c r="P41" s="60">
        <v>7.0295742154121391E-2</v>
      </c>
      <c r="Q41" s="60">
        <v>6.7685440182685866E-2</v>
      </c>
      <c r="R41" s="60">
        <v>6.4388301968574521E-2</v>
      </c>
      <c r="S41" s="60">
        <v>6.7605009675025959E-2</v>
      </c>
      <c r="T41" s="29" t="str">
        <f t="shared" si="1"/>
        <v>NPV adjustment for 10% cap</v>
      </c>
      <c r="U41" s="23"/>
      <c r="V41" s="23"/>
      <c r="W41" s="23"/>
      <c r="X41" s="23"/>
      <c r="Y41" s="23"/>
      <c r="Z41" s="23"/>
      <c r="AA41" s="23"/>
      <c r="AB41" s="23"/>
      <c r="AC41" s="23"/>
      <c r="AD41" s="23"/>
      <c r="AE41" s="23"/>
      <c r="AF41" s="23"/>
      <c r="AG41" s="92"/>
      <c r="AH41" s="23"/>
    </row>
    <row r="42" spans="1:34" s="4" customFormat="1" x14ac:dyDescent="0.25">
      <c r="A42" s="92"/>
      <c r="B42" s="98">
        <v>21</v>
      </c>
      <c r="C42" s="60">
        <v>7.478701770305636E-2</v>
      </c>
      <c r="D42" s="60">
        <v>6.1619523167610171E-2</v>
      </c>
      <c r="E42" s="60">
        <v>6.7144140601158156E-2</v>
      </c>
      <c r="F42" s="60">
        <v>6.8148383498191842E-2</v>
      </c>
      <c r="G42" s="60">
        <v>7.2667655348777768E-2</v>
      </c>
      <c r="H42" s="60">
        <v>6.6022554039955134E-2</v>
      </c>
      <c r="I42" s="60">
        <v>7.1565410494804374E-2</v>
      </c>
      <c r="J42" s="60">
        <v>5.9528693556785583E-2</v>
      </c>
      <c r="K42" s="60">
        <v>6.0859665274620042E-2</v>
      </c>
      <c r="L42" s="60">
        <v>7.4878051877021803E-2</v>
      </c>
      <c r="M42" s="60">
        <v>7.0898494124412542E-2</v>
      </c>
      <c r="N42" s="60">
        <v>5.7602772116661066E-2</v>
      </c>
      <c r="O42" s="60">
        <v>6.143138706684112E-2</v>
      </c>
      <c r="P42" s="60">
        <v>7.061688601970674E-2</v>
      </c>
      <c r="Q42" s="60">
        <v>6.7685440182685866E-2</v>
      </c>
      <c r="R42" s="60">
        <v>6.4388301968574521E-2</v>
      </c>
      <c r="S42" s="60">
        <v>6.7912176251411452E-2</v>
      </c>
      <c r="T42" s="29" t="str">
        <f t="shared" si="1"/>
        <v>Payments for avoided costs of transmission</v>
      </c>
      <c r="U42" s="23"/>
      <c r="V42" s="23"/>
      <c r="W42" s="23"/>
      <c r="X42" s="23"/>
      <c r="Y42" s="23"/>
      <c r="Z42" s="23"/>
      <c r="AA42" s="23"/>
      <c r="AB42" s="23"/>
      <c r="AC42" s="23"/>
      <c r="AD42" s="23"/>
      <c r="AE42" s="23"/>
      <c r="AF42" s="23"/>
      <c r="AG42" s="92"/>
      <c r="AH42" s="23"/>
    </row>
    <row r="43" spans="1:34" s="4" customFormat="1" x14ac:dyDescent="0.25">
      <c r="A43" s="92"/>
      <c r="B43" s="98">
        <v>22</v>
      </c>
      <c r="C43" s="97">
        <v>7.4841555953025815E-2</v>
      </c>
      <c r="D43" s="97">
        <v>6.719326674938203E-2</v>
      </c>
      <c r="E43" s="97">
        <v>6.8933901190757763E-2</v>
      </c>
      <c r="F43" s="97">
        <v>6.7406985163688662E-2</v>
      </c>
      <c r="G43" s="97">
        <v>7.2972235083580028E-2</v>
      </c>
      <c r="H43" s="97">
        <v>6.5452966094017018E-2</v>
      </c>
      <c r="I43" s="97">
        <v>7.2247228026390053E-2</v>
      </c>
      <c r="J43" s="97">
        <v>6.2332233786582938E-2</v>
      </c>
      <c r="K43" s="97">
        <v>6.2587800621986378E-2</v>
      </c>
      <c r="L43" s="97">
        <v>7.7549311518669145E-2</v>
      </c>
      <c r="M43" s="97">
        <v>7.1037909388542181E-2</v>
      </c>
      <c r="N43" s="97">
        <v>5.7392266392707822E-2</v>
      </c>
      <c r="O43" s="97">
        <v>6.4058157801628116E-2</v>
      </c>
      <c r="P43" s="97">
        <v>7.1430143713951122E-2</v>
      </c>
      <c r="Q43" s="97">
        <v>6.644897758960723E-2</v>
      </c>
      <c r="R43" s="97">
        <v>6.45860940217972E-2</v>
      </c>
      <c r="S43" s="97">
        <v>6.8021062016487138E-2</v>
      </c>
      <c r="T43" s="138" t="str">
        <f t="shared" si="1"/>
        <v>Other regulatory income</v>
      </c>
      <c r="U43" s="23"/>
      <c r="V43" s="23"/>
      <c r="W43" s="23"/>
      <c r="X43" s="23"/>
      <c r="Y43" s="23"/>
      <c r="Z43" s="23"/>
      <c r="AA43" s="23"/>
      <c r="AB43" s="23"/>
      <c r="AC43" s="23"/>
      <c r="AD43" s="23"/>
      <c r="AE43" s="23"/>
      <c r="AF43" s="23"/>
      <c r="AG43" s="92"/>
      <c r="AH43" s="23"/>
    </row>
    <row r="44" spans="1:34" s="4" customFormat="1" x14ac:dyDescent="0.25">
      <c r="A44" s="92"/>
      <c r="B44" s="98">
        <v>23</v>
      </c>
      <c r="C44" s="97">
        <v>7.4857798218727123E-2</v>
      </c>
      <c r="D44" s="97">
        <v>6.7194113135337838E-2</v>
      </c>
      <c r="E44" s="97">
        <v>6.8908897042274486E-2</v>
      </c>
      <c r="F44" s="97">
        <v>6.7410555481910717E-2</v>
      </c>
      <c r="G44" s="97">
        <v>7.2973701357841522E-2</v>
      </c>
      <c r="H44" s="97">
        <v>6.5459987521171561E-2</v>
      </c>
      <c r="I44" s="97">
        <v>7.2250011563301089E-2</v>
      </c>
      <c r="J44" s="97">
        <v>6.2343993782997126E-2</v>
      </c>
      <c r="K44" s="97">
        <v>6.2590852379798889E-2</v>
      </c>
      <c r="L44" s="97">
        <v>7.7550253272056599E-2</v>
      </c>
      <c r="M44" s="97">
        <v>7.1037915349006664E-2</v>
      </c>
      <c r="N44" s="97">
        <v>5.7173165678977969E-2</v>
      </c>
      <c r="O44" s="97">
        <v>6.4106252789497373E-2</v>
      </c>
      <c r="P44" s="97">
        <v>7.1430692076683067E-2</v>
      </c>
      <c r="Q44" s="97">
        <v>6.6449066996574394E-2</v>
      </c>
      <c r="R44" s="97">
        <v>6.4586147665977478E-2</v>
      </c>
      <c r="S44" s="97">
        <v>6.8017444014549261E-2</v>
      </c>
      <c r="T44" s="150" t="str">
        <f t="shared" si="1"/>
        <v>Further revenue effects</v>
      </c>
      <c r="U44" s="23"/>
      <c r="V44" s="23"/>
      <c r="W44" s="23"/>
      <c r="X44" s="23"/>
      <c r="Y44" s="23"/>
      <c r="Z44" s="23"/>
      <c r="AA44" s="23"/>
      <c r="AB44" s="23"/>
      <c r="AC44" s="23"/>
      <c r="AD44" s="23"/>
      <c r="AE44" s="23"/>
      <c r="AF44" s="23"/>
      <c r="AG44" s="92"/>
      <c r="AH44" s="23"/>
    </row>
    <row r="45" spans="1:34" s="4" customFormat="1" x14ac:dyDescent="0.25">
      <c r="A45" s="92"/>
      <c r="B45" s="98">
        <v>24</v>
      </c>
      <c r="C45" s="97">
        <v>8.0683425068855327E-2</v>
      </c>
      <c r="D45" s="97">
        <v>7.0075657963752758E-2</v>
      </c>
      <c r="E45" s="97">
        <v>5.6919732689857491E-2</v>
      </c>
      <c r="F45" s="97">
        <v>5.7503542304039007E-2</v>
      </c>
      <c r="G45" s="97">
        <v>6.6944023966789265E-2</v>
      </c>
      <c r="H45" s="97">
        <v>6.7474862933158894E-2</v>
      </c>
      <c r="I45" s="97">
        <v>7.1221253275871269E-2</v>
      </c>
      <c r="J45" s="97">
        <v>7.6935407519340512E-2</v>
      </c>
      <c r="K45" s="97">
        <v>8.1818053126335138E-2</v>
      </c>
      <c r="L45" s="97">
        <v>7.0642992854118347E-2</v>
      </c>
      <c r="M45" s="97">
        <v>6.9903126358985893E-2</v>
      </c>
      <c r="N45" s="97">
        <v>5.2237710356712347E-2</v>
      </c>
      <c r="O45" s="97">
        <v>5.9718737006187433E-2</v>
      </c>
      <c r="P45" s="97">
        <v>6.9384118914604179E-2</v>
      </c>
      <c r="Q45" s="97">
        <v>7.0690640807151789E-2</v>
      </c>
      <c r="R45" s="97">
        <v>7.6860609650611894E-2</v>
      </c>
      <c r="S45" s="97">
        <v>7.0132097601890556E-2</v>
      </c>
      <c r="T45" s="150" t="str">
        <f t="shared" si="1"/>
        <v>Discretionary rebates</v>
      </c>
      <c r="U45" s="23"/>
      <c r="V45" s="23"/>
      <c r="W45" s="23"/>
      <c r="X45" s="23"/>
      <c r="Y45" s="23"/>
      <c r="Z45" s="23"/>
      <c r="AA45" s="23"/>
      <c r="AB45" s="23"/>
      <c r="AC45" s="23"/>
      <c r="AD45" s="23"/>
      <c r="AE45" s="23"/>
      <c r="AF45" s="23"/>
      <c r="AG45" s="92"/>
      <c r="AH45" s="23"/>
    </row>
    <row r="46" spans="1:34" s="4" customFormat="1" x14ac:dyDescent="0.25">
      <c r="A46" s="92"/>
      <c r="B46" s="98">
        <v>25</v>
      </c>
      <c r="C46" s="97">
        <v>8.3486190438270561E-2</v>
      </c>
      <c r="D46" s="97">
        <v>6.6552022099494942E-2</v>
      </c>
      <c r="E46" s="97">
        <v>5.6771352887153625E-2</v>
      </c>
      <c r="F46" s="97">
        <v>6.3181033730506903E-2</v>
      </c>
      <c r="G46" s="97">
        <v>6.9734016060829171E-2</v>
      </c>
      <c r="H46" s="97">
        <v>6.8899253010749825E-2</v>
      </c>
      <c r="I46" s="97">
        <v>6.7243370413780229E-2</v>
      </c>
      <c r="J46" s="97">
        <v>7.9599943757057229E-2</v>
      </c>
      <c r="K46" s="97">
        <v>8.5338523983955375E-2</v>
      </c>
      <c r="L46" s="97">
        <v>7.5677642226219172E-2</v>
      </c>
      <c r="M46" s="97">
        <v>7.2857996821403509E-2</v>
      </c>
      <c r="N46" s="97">
        <v>5.5403074622154228E-2</v>
      </c>
      <c r="O46" s="97">
        <v>5.9802934527397156E-2</v>
      </c>
      <c r="P46" s="97">
        <v>6.9425460696220395E-2</v>
      </c>
      <c r="Q46" s="97">
        <v>7.1683779358863831E-2</v>
      </c>
      <c r="R46" s="97">
        <v>8.2326838374137873E-2</v>
      </c>
      <c r="S46" s="97">
        <v>7.1924379467964192E-2</v>
      </c>
      <c r="T46" s="200" t="str">
        <f t="shared" si="1"/>
        <v>Unused</v>
      </c>
      <c r="U46" s="23"/>
      <c r="V46" s="23"/>
      <c r="W46" s="23"/>
      <c r="X46" s="23"/>
      <c r="Y46" s="23"/>
      <c r="Z46" s="23"/>
      <c r="AA46" s="23"/>
      <c r="AB46" s="23"/>
      <c r="AC46" s="23"/>
      <c r="AD46" s="23"/>
      <c r="AE46" s="23"/>
      <c r="AF46" s="23"/>
      <c r="AG46" s="92"/>
      <c r="AH46" s="23"/>
    </row>
    <row r="47" spans="1:34" x14ac:dyDescent="0.25">
      <c r="A47" s="92"/>
      <c r="B47" s="92"/>
      <c r="S47" s="92"/>
      <c r="T47" s="23"/>
      <c r="U47" s="23"/>
      <c r="V47" s="23"/>
      <c r="W47" s="23"/>
      <c r="X47" s="23"/>
      <c r="Y47" s="23"/>
      <c r="Z47" s="23"/>
      <c r="AA47" s="23"/>
      <c r="AB47" s="23"/>
      <c r="AC47" s="23"/>
      <c r="AD47" s="23"/>
      <c r="AE47" s="23"/>
      <c r="AF47" s="23"/>
      <c r="AG47" s="92"/>
      <c r="AH47" s="23"/>
    </row>
  </sheetData>
  <pageMargins left="0.23622047244094491" right="0.23622047244094491" top="0.74803149606299213" bottom="0.74803149606299213" header="0.31496062992125984" footer="0.31496062992125984"/>
  <pageSetup paperSize="9" scale="32" fitToHeight="0" orientation="landscape" r:id="rId1"/>
  <headerFooter>
    <oddFooter>&amp;L&amp;F&amp;C&amp;A&amp;R&amp;P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2" tint="0.79998168889431442"/>
    <pageSetUpPr fitToPage="1"/>
  </sheetPr>
  <dimension ref="A1:AF99"/>
  <sheetViews>
    <sheetView showGridLines="0" view="pageBreakPreview" zoomScaleNormal="100" zoomScaleSheetLayoutView="100" workbookViewId="0"/>
  </sheetViews>
  <sheetFormatPr defaultRowHeight="15" x14ac:dyDescent="0.25"/>
  <cols>
    <col min="1" max="1" width="20" customWidth="1"/>
    <col min="2" max="2" width="11.7109375" style="4" customWidth="1"/>
    <col min="3" max="3" width="11.7109375" customWidth="1"/>
    <col min="4" max="4" width="11.7109375" style="4" customWidth="1"/>
    <col min="5" max="8" width="11.7109375" customWidth="1"/>
    <col min="9" max="9" width="11.7109375" style="4" customWidth="1"/>
    <col min="10" max="14" width="11.7109375" customWidth="1"/>
    <col min="15" max="15" width="11.7109375" style="4" customWidth="1"/>
    <col min="16" max="21" width="11.7109375" customWidth="1"/>
    <col min="22" max="22" width="11.7109375" style="4" customWidth="1"/>
    <col min="23" max="24" width="11.7109375" customWidth="1"/>
    <col min="25" max="25" width="11.7109375" style="4" customWidth="1"/>
    <col min="26" max="26" width="11.7109375" customWidth="1"/>
    <col min="27" max="27" width="11.7109375" style="4" customWidth="1"/>
    <col min="28" max="32" width="11.7109375" customWidth="1"/>
    <col min="33" max="33" width="2.7109375" customWidth="1"/>
  </cols>
  <sheetData>
    <row r="1" spans="1:32" ht="39.950000000000003" customHeight="1" x14ac:dyDescent="0.25">
      <c r="A1" s="37" t="s">
        <v>207</v>
      </c>
      <c r="B1" s="37"/>
      <c r="D1"/>
    </row>
    <row r="2" spans="1:32" ht="15" customHeight="1" x14ac:dyDescent="0.25">
      <c r="A2" s="114" t="s">
        <v>185</v>
      </c>
      <c r="B2" s="114"/>
      <c r="C2" s="222" t="s">
        <v>478</v>
      </c>
      <c r="D2" s="223"/>
      <c r="N2" s="4"/>
    </row>
    <row r="3" spans="1:32" s="4" customFormat="1" ht="50.1" customHeight="1" x14ac:dyDescent="0.35">
      <c r="A3" s="101" t="s">
        <v>519</v>
      </c>
    </row>
    <row r="4" spans="1:32" ht="23.25" x14ac:dyDescent="0.35">
      <c r="A4" s="99" t="s">
        <v>382</v>
      </c>
      <c r="B4" s="101"/>
      <c r="C4" s="101"/>
      <c r="D4"/>
      <c r="I4"/>
      <c r="J4" s="4"/>
      <c r="O4"/>
      <c r="P4" s="101"/>
      <c r="R4" s="99" t="s">
        <v>381</v>
      </c>
      <c r="V4"/>
      <c r="X4" s="4"/>
      <c r="Y4"/>
      <c r="AB4" s="4"/>
    </row>
    <row r="5" spans="1:32" x14ac:dyDescent="0.25">
      <c r="C5" s="4"/>
      <c r="D5"/>
      <c r="I5"/>
      <c r="J5" s="4"/>
      <c r="P5" s="4"/>
      <c r="R5" s="4"/>
      <c r="S5" s="4"/>
      <c r="T5" s="4"/>
      <c r="U5" s="4"/>
      <c r="W5" s="4"/>
      <c r="X5" s="4"/>
      <c r="Z5" s="4"/>
      <c r="AB5" s="4"/>
    </row>
    <row r="6" spans="1:32" x14ac:dyDescent="0.25">
      <c r="A6" s="28" t="s">
        <v>12</v>
      </c>
      <c r="B6" s="28">
        <v>0</v>
      </c>
      <c r="C6" s="28">
        <v>1</v>
      </c>
      <c r="D6" s="28">
        <v>2</v>
      </c>
      <c r="E6" s="28">
        <v>2</v>
      </c>
      <c r="F6" s="28">
        <v>3</v>
      </c>
      <c r="G6" s="28">
        <v>4</v>
      </c>
      <c r="H6" s="28">
        <v>5</v>
      </c>
      <c r="I6" s="28">
        <v>6</v>
      </c>
      <c r="J6" s="28">
        <v>7</v>
      </c>
      <c r="K6" s="28">
        <v>8</v>
      </c>
      <c r="L6" s="28">
        <v>24</v>
      </c>
      <c r="M6" s="28">
        <v>9</v>
      </c>
      <c r="N6" s="28">
        <v>9</v>
      </c>
      <c r="O6" s="28">
        <v>10</v>
      </c>
      <c r="P6" s="28">
        <v>10</v>
      </c>
      <c r="Q6" s="4"/>
      <c r="R6" s="28">
        <v>2</v>
      </c>
      <c r="S6" s="28">
        <v>13</v>
      </c>
      <c r="T6" s="28">
        <v>14</v>
      </c>
      <c r="U6" s="28">
        <v>15</v>
      </c>
      <c r="V6" s="28">
        <v>16</v>
      </c>
      <c r="W6" s="28">
        <v>17</v>
      </c>
      <c r="X6" s="28">
        <v>18</v>
      </c>
      <c r="Y6" s="28">
        <v>19</v>
      </c>
      <c r="Z6" s="28">
        <v>20</v>
      </c>
      <c r="AA6" s="28">
        <v>21</v>
      </c>
      <c r="AB6" s="28">
        <v>22</v>
      </c>
      <c r="AC6" s="28">
        <v>23</v>
      </c>
      <c r="AD6" s="28">
        <v>9</v>
      </c>
      <c r="AE6" s="28">
        <v>9</v>
      </c>
      <c r="AF6" s="4"/>
    </row>
    <row r="7" spans="1:32" ht="64.5" x14ac:dyDescent="0.25">
      <c r="A7" s="28" t="s">
        <v>9</v>
      </c>
      <c r="B7" s="209" t="s">
        <v>558</v>
      </c>
      <c r="C7" s="209" t="s">
        <v>553</v>
      </c>
      <c r="D7" s="209" t="s">
        <v>403</v>
      </c>
      <c r="E7" s="209" t="str">
        <f t="shared" ref="E7:L7" si="0">INDEX(ra_ScName,MATCH(E6, ra_ScNumber),0)</f>
        <v>Expected real return (excl forecast asset revaluations)</v>
      </c>
      <c r="F7" s="209" t="str">
        <f t="shared" si="0"/>
        <v>Total revenue effects</v>
      </c>
      <c r="G7" s="209" t="str">
        <f t="shared" si="0"/>
        <v>Net additions prior to 1 April 2012</v>
      </c>
      <c r="H7" s="209" t="str">
        <f t="shared" si="0"/>
        <v>Input price inflators 2013–15</v>
      </c>
      <c r="I7" s="209" t="str">
        <f t="shared" si="0"/>
        <v>Operating expenditure 2013–15</v>
      </c>
      <c r="J7" s="209" t="str">
        <f t="shared" si="0"/>
        <v>Commissioned assets 2013–15</v>
      </c>
      <c r="K7" s="209" t="str">
        <f t="shared" si="0"/>
        <v>Asset disposals 2013–15</v>
      </c>
      <c r="L7" s="209" t="str">
        <f t="shared" si="0"/>
        <v>Discretionary rebates</v>
      </c>
      <c r="M7" s="209" t="s">
        <v>489</v>
      </c>
      <c r="N7" s="209" t="str">
        <f>INDEX(ra_ScName,MATCH(N6, ra_ScNumber),0)</f>
        <v>Disclosed real return (excl actual asset revaluations)</v>
      </c>
      <c r="O7" s="209" t="s">
        <v>407</v>
      </c>
      <c r="P7" s="209" t="str">
        <f>INDEX(ra_ScName,MATCH(P6, ra_ScNumber),0)</f>
        <v>Disclosed nominal return (incl actual asset revaluations)</v>
      </c>
      <c r="R7" s="209" t="str">
        <f t="shared" ref="R7:AE7" si="1">INDEX(ra_ScName,MATCH(R6, ra_ScNumber),0)</f>
        <v>Expected real return (excl forecast asset revaluations)</v>
      </c>
      <c r="S7" s="209" t="str">
        <f t="shared" si="1"/>
        <v>Changes in demand (delta D)</v>
      </c>
      <c r="T7" s="209" t="str">
        <f t="shared" si="1"/>
        <v>Changes in demand (CPRG)</v>
      </c>
      <c r="U7" s="209" t="str">
        <f t="shared" si="1"/>
        <v>Inflation indexation of revenue limit (CPI–X%)</v>
      </c>
      <c r="V7" s="209" t="str">
        <f t="shared" si="1"/>
        <v>Pricing beneath limit</v>
      </c>
      <c r="W7" s="209" t="str">
        <f t="shared" si="1"/>
        <v>Impact of delay to reset</v>
      </c>
      <c r="X7" s="209" t="str">
        <f t="shared" si="1"/>
        <v>Clawback for delay</v>
      </c>
      <c r="Y7" s="209" t="str">
        <f t="shared" si="1"/>
        <v>10% cap</v>
      </c>
      <c r="Z7" s="209" t="str">
        <f t="shared" si="1"/>
        <v>NPV adjustment for 10% cap</v>
      </c>
      <c r="AA7" s="209" t="str">
        <f t="shared" si="1"/>
        <v>Payments for avoided costs of transmission</v>
      </c>
      <c r="AB7" s="209" t="str">
        <f t="shared" si="1"/>
        <v>Other regulatory income</v>
      </c>
      <c r="AC7" s="209" t="str">
        <f t="shared" si="1"/>
        <v>Further revenue effects</v>
      </c>
      <c r="AD7" s="209" t="s">
        <v>584</v>
      </c>
      <c r="AE7" s="209" t="str">
        <f t="shared" si="1"/>
        <v>Disclosed real return (excl actual asset revaluations)</v>
      </c>
    </row>
    <row r="8" spans="1:32" x14ac:dyDescent="0.25">
      <c r="A8" s="174"/>
      <c r="B8" s="112">
        <v>8.77E-2</v>
      </c>
      <c r="C8" s="194">
        <f>INDEX(Outputs!$C$22:$S$45,MATCH(C$6,Outputs!$B$22:$B$45,0),MATCH($C$2,Outputs!$C$20:$S$20,0))</f>
        <v>8.744231760501861E-2</v>
      </c>
      <c r="D8" s="194">
        <f>INDEX(Outputs!$C$22:$S$45,MATCH(D$6,Outputs!$B$22:$B$45,0),MATCH($C$2,Outputs!$C$20:$S$20,0))</f>
        <v>7.3174986243247989E-2</v>
      </c>
      <c r="E8" s="194">
        <f>INDEX(Outputs!$C$22:$S$45,MATCH(E$6,Outputs!$B$22:$B$45,0),MATCH($C$2,Outputs!$C$20:$S$20,0))</f>
        <v>7.3174986243247989E-2</v>
      </c>
      <c r="F8" s="194">
        <f>INDEX(Outputs!$C$22:$S$45,MATCH(F$6,Outputs!$B$22:$B$45,0),MATCH($C$2,Outputs!$C$20:$S$20,0))</f>
        <v>6.8075880408287062E-2</v>
      </c>
      <c r="G8" s="194">
        <f>INDEX(Outputs!$C$22:$S$45,MATCH(G$6,Outputs!$B$22:$B$45,0),MATCH($C$2,Outputs!$C$20:$S$20,0))</f>
        <v>6.991260349750518E-2</v>
      </c>
      <c r="H8" s="194">
        <f>INDEX(Outputs!$C$22:$S$45,MATCH(H$6,Outputs!$B$22:$B$45,0),MATCH($C$2,Outputs!$C$20:$S$20,0))</f>
        <v>7.0596066117286693E-2</v>
      </c>
      <c r="I8" s="194">
        <f>INDEX(Outputs!$C$22:$S$45,MATCH(I$6,Outputs!$B$22:$B$45,0),MATCH($C$2,Outputs!$C$20:$S$20,0))</f>
        <v>6.9279208779335022E-2</v>
      </c>
      <c r="J8" s="194">
        <f>INDEX(Outputs!$C$22:$S$45,MATCH(J$6,Outputs!$B$22:$B$45,0),MATCH($C$2,Outputs!$C$20:$S$20,0))</f>
        <v>6.9464120268821705E-2</v>
      </c>
      <c r="K8" s="194">
        <f>INDEX(Outputs!$C$22:$S$45,MATCH(K$6,Outputs!$B$22:$B$45,0),MATCH($C$2,Outputs!$C$20:$S$20,0))</f>
        <v>6.9426718354225161E-2</v>
      </c>
      <c r="L8" s="194">
        <f>INDEX(Outputs!$C$22:$S$45,MATCH(L$6,Outputs!$B$22:$B$45,0),MATCH($C$2,Outputs!$C$20:$S$20,0))</f>
        <v>7.0132097601890556E-2</v>
      </c>
      <c r="M8" s="194">
        <f>INDEX(Outputs!$C$22:$S$45,MATCH(M$6,Outputs!$B$22:$B$45,0),MATCH($C$2,Outputs!$C$20:$S$20,0))</f>
        <v>6.7514356970787073E-2</v>
      </c>
      <c r="N8" s="195">
        <f>INDEX(Outputs!$C$22:$S$45,MATCH(N$6,Outputs!$B$22:$B$45,0),MATCH($C$2,Outputs!$C$20:$S$20,0))</f>
        <v>6.7514356970787073E-2</v>
      </c>
      <c r="O8" s="194">
        <f>INDEX(Outputs!$C$22:$S$45,MATCH(O$6,Outputs!$B$22:$B$45,0),MATCH($C$2,Outputs!$C$20:$S$20,0))</f>
        <v>7.0453676581382768E-2</v>
      </c>
      <c r="P8" s="194">
        <f>INDEX(Outputs!$C$22:$S$45,MATCH(P$6,Outputs!$B$22:$B$45,0),MATCH($C$2,Outputs!$C$20:$S$20,0))</f>
        <v>7.0453676581382768E-2</v>
      </c>
      <c r="R8" s="194">
        <f>INDEX(Outputs!$C$22:$S$45,MATCH(R$6,Outputs!$B$22:$B$45,0),MATCH($C$2,Outputs!$C$20:$S$20,0))</f>
        <v>7.3174986243247989E-2</v>
      </c>
      <c r="S8" s="194">
        <f>INDEX(Outputs!$C$22:$S$45,MATCH(S$6,Outputs!$B$22:$B$45,0),MATCH($C$2,Outputs!$C$20:$S$20,0))</f>
        <v>7.0406374335288999E-2</v>
      </c>
      <c r="T8" s="194">
        <f>INDEX(Outputs!$C$22:$S$45,MATCH(T$6,Outputs!$B$22:$B$45,0),MATCH($C$2,Outputs!$C$20:$S$20,0))</f>
        <v>7.0932087302207958E-2</v>
      </c>
      <c r="U8" s="194">
        <f>INDEX(Outputs!$C$22:$S$45,MATCH(U$6,Outputs!$B$22:$B$45,0),MATCH($C$2,Outputs!$C$20:$S$20,0))</f>
        <v>6.9422015547752375E-2</v>
      </c>
      <c r="V8" s="194">
        <f>INDEX(Outputs!$C$22:$S$45,MATCH(V$6,Outputs!$B$22:$B$45,0),MATCH($C$2,Outputs!$C$20:$S$20,0))</f>
        <v>6.8004623055458069E-2</v>
      </c>
      <c r="W8" s="194">
        <f>INDEX(Outputs!$C$22:$S$45,MATCH(W$6,Outputs!$B$22:$B$45,0),MATCH($C$2,Outputs!$C$20:$S$20,0))</f>
        <v>6.6476717591285706E-2</v>
      </c>
      <c r="X8" s="194">
        <f>INDEX(Outputs!$C$22:$S$45,MATCH(X$6,Outputs!$B$22:$B$45,0),MATCH($C$2,Outputs!$C$20:$S$20,0))</f>
        <v>6.7712309956550601E-2</v>
      </c>
      <c r="Y8" s="194">
        <f>INDEX(Outputs!$C$22:$S$45,MATCH(Y$6,Outputs!$B$22:$B$45,0),MATCH($C$2,Outputs!$C$20:$S$20,0))</f>
        <v>6.7029622197151195E-2</v>
      </c>
      <c r="Z8" s="194">
        <f>INDEX(Outputs!$C$22:$S$45,MATCH(Z$6,Outputs!$B$22:$B$45,0),MATCH($C$2,Outputs!$C$20:$S$20,0))</f>
        <v>6.7605009675025959E-2</v>
      </c>
      <c r="AA8" s="194">
        <f>INDEX(Outputs!$C$22:$S$45,MATCH(AA$6,Outputs!$B$22:$B$45,0),MATCH($C$2,Outputs!$C$20:$S$20,0))</f>
        <v>6.7912176251411452E-2</v>
      </c>
      <c r="AB8" s="194">
        <f>INDEX(Outputs!$C$22:$S$45,MATCH(AB$6,Outputs!$B$22:$B$45,0),MATCH($C$2,Outputs!$C$20:$S$20,0))</f>
        <v>6.8021062016487138E-2</v>
      </c>
      <c r="AC8" s="194">
        <f>INDEX(Outputs!$C$22:$S$45,MATCH(AC$6,Outputs!$B$22:$B$45,0),MATCH($C$2,Outputs!$C$20:$S$20,0))</f>
        <v>6.8017444014549261E-2</v>
      </c>
      <c r="AD8" s="194">
        <f>INDEX(Outputs!$C$22:$S$45,MATCH(AD$6,Outputs!$B$22:$B$45,0),MATCH($C$2,Outputs!$C$20:$S$20,0))</f>
        <v>6.7514356970787073E-2</v>
      </c>
      <c r="AE8" s="194">
        <f>INDEX(Outputs!$C$22:$S$45,MATCH(AE$6,Outputs!$B$22:$B$45,0),MATCH($C$2,Outputs!$C$20:$S$20,0))</f>
        <v>6.7514356970787073E-2</v>
      </c>
    </row>
    <row r="9" spans="1:32" x14ac:dyDescent="0.25">
      <c r="A9" s="174" t="s">
        <v>376</v>
      </c>
      <c r="B9" s="60">
        <f>B8</f>
        <v>8.77E-2</v>
      </c>
      <c r="C9" s="60">
        <f>C8-B8</f>
        <v>-2.5768239498139001E-4</v>
      </c>
      <c r="D9" s="60">
        <f t="shared" ref="D9:O9" si="2">D8-C8</f>
        <v>-1.4267331361770622E-2</v>
      </c>
      <c r="E9" s="60">
        <f>E8</f>
        <v>7.3174986243247989E-2</v>
      </c>
      <c r="F9" s="60">
        <f t="shared" si="2"/>
        <v>-5.0991058349609264E-3</v>
      </c>
      <c r="G9" s="60">
        <f t="shared" si="2"/>
        <v>1.8367230892181174E-3</v>
      </c>
      <c r="H9" s="60">
        <f t="shared" si="2"/>
        <v>6.8346261978151357E-4</v>
      </c>
      <c r="I9" s="60">
        <f t="shared" si="2"/>
        <v>-1.3168573379516713E-3</v>
      </c>
      <c r="J9" s="60">
        <f t="shared" si="2"/>
        <v>1.8491148948668323E-4</v>
      </c>
      <c r="K9" s="60">
        <f t="shared" si="2"/>
        <v>-3.7401914596543739E-5</v>
      </c>
      <c r="L9" s="60">
        <f>L8-K8</f>
        <v>7.0537924766539417E-4</v>
      </c>
      <c r="M9" s="60">
        <f>M8-L8</f>
        <v>-2.6177406311034823E-3</v>
      </c>
      <c r="N9" s="60">
        <f>N8</f>
        <v>6.7514356970787073E-2</v>
      </c>
      <c r="O9" s="60">
        <f t="shared" si="2"/>
        <v>2.9393196105956948E-3</v>
      </c>
      <c r="P9" s="60">
        <f>P8</f>
        <v>7.0453676581382768E-2</v>
      </c>
      <c r="R9" s="60">
        <f>R8</f>
        <v>7.3174986243247989E-2</v>
      </c>
      <c r="S9" s="60">
        <f t="shared" ref="S9:X9" si="3">S8-R8</f>
        <v>-2.7686119079589899E-3</v>
      </c>
      <c r="T9" s="60">
        <f t="shared" si="3"/>
        <v>5.2571296691895919E-4</v>
      </c>
      <c r="U9" s="60">
        <f t="shared" si="3"/>
        <v>-1.5100717544555831E-3</v>
      </c>
      <c r="V9" s="60">
        <f t="shared" si="3"/>
        <v>-1.417392492294306E-3</v>
      </c>
      <c r="W9" s="60">
        <f t="shared" si="3"/>
        <v>-1.5279054641723633E-3</v>
      </c>
      <c r="X9" s="60">
        <f t="shared" si="3"/>
        <v>1.2355923652648954E-3</v>
      </c>
      <c r="Y9" s="60">
        <f t="shared" ref="Y9:AD9" si="4">Y8-X8</f>
        <v>-6.8268775939940574E-4</v>
      </c>
      <c r="Z9" s="60">
        <f t="shared" si="4"/>
        <v>5.7538747787476419E-4</v>
      </c>
      <c r="AA9" s="60">
        <f t="shared" si="4"/>
        <v>3.071665763854925E-4</v>
      </c>
      <c r="AB9" s="60">
        <f t="shared" si="4"/>
        <v>1.0888576507568637E-4</v>
      </c>
      <c r="AC9" s="60">
        <f t="shared" si="4"/>
        <v>-3.6180019378773132E-6</v>
      </c>
      <c r="AD9" s="60">
        <f t="shared" si="4"/>
        <v>-5.030870437621876E-4</v>
      </c>
      <c r="AE9" s="60">
        <f>AE8</f>
        <v>6.7514356970787073E-2</v>
      </c>
    </row>
    <row r="10" spans="1:32" x14ac:dyDescent="0.25">
      <c r="A10" s="174" t="s">
        <v>377</v>
      </c>
      <c r="B10" s="112">
        <v>0</v>
      </c>
      <c r="C10" s="60">
        <f>B11</f>
        <v>8.77E-2</v>
      </c>
      <c r="D10" s="60">
        <f>C11</f>
        <v>8.744231760501861E-2</v>
      </c>
      <c r="E10" s="112">
        <v>0</v>
      </c>
      <c r="F10" s="60">
        <f>E11</f>
        <v>7.3174986243247989E-2</v>
      </c>
      <c r="G10" s="60">
        <f t="shared" ref="G10:O10" si="5">F11</f>
        <v>6.8075880408287062E-2</v>
      </c>
      <c r="H10" s="60">
        <f t="shared" si="5"/>
        <v>6.991260349750518E-2</v>
      </c>
      <c r="I10" s="60">
        <f t="shared" si="5"/>
        <v>7.0596066117286693E-2</v>
      </c>
      <c r="J10" s="60">
        <f t="shared" si="5"/>
        <v>6.9279208779335022E-2</v>
      </c>
      <c r="K10" s="60">
        <f t="shared" si="5"/>
        <v>6.9464120268821705E-2</v>
      </c>
      <c r="L10" s="60">
        <f>K11</f>
        <v>6.9426718354225161E-2</v>
      </c>
      <c r="M10" s="60">
        <f>L11</f>
        <v>7.0132097601890556E-2</v>
      </c>
      <c r="N10" s="112">
        <v>0</v>
      </c>
      <c r="O10" s="60">
        <f t="shared" si="5"/>
        <v>6.7514356970787073E-2</v>
      </c>
      <c r="P10" s="112">
        <v>0</v>
      </c>
      <c r="Q10" s="4"/>
      <c r="R10" s="112">
        <v>0</v>
      </c>
      <c r="S10" s="60">
        <f>R11</f>
        <v>7.3174986243247989E-2</v>
      </c>
      <c r="T10" s="60">
        <f t="shared" ref="T10:AB10" si="6">S11</f>
        <v>7.0406374335288999E-2</v>
      </c>
      <c r="U10" s="60">
        <f t="shared" si="6"/>
        <v>7.0932087302207958E-2</v>
      </c>
      <c r="V10" s="60">
        <f t="shared" si="6"/>
        <v>6.9422015547752375E-2</v>
      </c>
      <c r="W10" s="60">
        <f t="shared" si="6"/>
        <v>6.8004623055458069E-2</v>
      </c>
      <c r="X10" s="60">
        <f t="shared" si="6"/>
        <v>6.6476717591285706E-2</v>
      </c>
      <c r="Y10" s="60">
        <f t="shared" si="6"/>
        <v>6.7712309956550601E-2</v>
      </c>
      <c r="Z10" s="60">
        <f t="shared" si="6"/>
        <v>6.7029622197151195E-2</v>
      </c>
      <c r="AA10" s="60">
        <f t="shared" si="6"/>
        <v>6.7605009675025959E-2</v>
      </c>
      <c r="AB10" s="60">
        <f t="shared" si="6"/>
        <v>6.7912176251411452E-2</v>
      </c>
      <c r="AC10" s="60">
        <f>AB11</f>
        <v>6.8021062016487138E-2</v>
      </c>
      <c r="AD10" s="60">
        <f>AC11</f>
        <v>6.8017444014549261E-2</v>
      </c>
      <c r="AE10" s="112">
        <v>0</v>
      </c>
      <c r="AF10" s="4"/>
    </row>
    <row r="11" spans="1:32" x14ac:dyDescent="0.25">
      <c r="A11" s="174" t="s">
        <v>378</v>
      </c>
      <c r="B11" s="60">
        <f>B10+B9</f>
        <v>8.77E-2</v>
      </c>
      <c r="C11" s="60">
        <f>C10+C9</f>
        <v>8.744231760501861E-2</v>
      </c>
      <c r="D11" s="60">
        <f>D10+D9</f>
        <v>7.3174986243247989E-2</v>
      </c>
      <c r="E11" s="60">
        <f t="shared" ref="E11:P11" si="7">E10+E9</f>
        <v>7.3174986243247989E-2</v>
      </c>
      <c r="F11" s="60">
        <f t="shared" si="7"/>
        <v>6.8075880408287062E-2</v>
      </c>
      <c r="G11" s="60">
        <f t="shared" si="7"/>
        <v>6.991260349750518E-2</v>
      </c>
      <c r="H11" s="60">
        <f t="shared" si="7"/>
        <v>7.0596066117286693E-2</v>
      </c>
      <c r="I11" s="60">
        <f t="shared" si="7"/>
        <v>6.9279208779335022E-2</v>
      </c>
      <c r="J11" s="60">
        <f t="shared" si="7"/>
        <v>6.9464120268821705E-2</v>
      </c>
      <c r="K11" s="60">
        <f t="shared" si="7"/>
        <v>6.9426718354225161E-2</v>
      </c>
      <c r="L11" s="60">
        <f>L10+L9</f>
        <v>7.0132097601890556E-2</v>
      </c>
      <c r="M11" s="60">
        <f>M10+M9</f>
        <v>6.7514356970787073E-2</v>
      </c>
      <c r="N11" s="60">
        <f t="shared" si="7"/>
        <v>6.7514356970787073E-2</v>
      </c>
      <c r="O11" s="60">
        <f t="shared" si="7"/>
        <v>7.0453676581382768E-2</v>
      </c>
      <c r="P11" s="60">
        <f t="shared" si="7"/>
        <v>7.0453676581382768E-2</v>
      </c>
      <c r="Q11" s="4"/>
      <c r="R11" s="60">
        <f t="shared" ref="R11:X11" si="8">R10+R9</f>
        <v>7.3174986243247989E-2</v>
      </c>
      <c r="S11" s="60">
        <f t="shared" si="8"/>
        <v>7.0406374335288999E-2</v>
      </c>
      <c r="T11" s="60">
        <f t="shared" si="8"/>
        <v>7.0932087302207958E-2</v>
      </c>
      <c r="U11" s="60">
        <f t="shared" si="8"/>
        <v>6.9422015547752375E-2</v>
      </c>
      <c r="V11" s="60">
        <f t="shared" si="8"/>
        <v>6.8004623055458069E-2</v>
      </c>
      <c r="W11" s="60">
        <f t="shared" si="8"/>
        <v>6.6476717591285706E-2</v>
      </c>
      <c r="X11" s="60">
        <f t="shared" si="8"/>
        <v>6.7712309956550601E-2</v>
      </c>
      <c r="Y11" s="60">
        <f t="shared" ref="Y11:AE11" si="9">Y10+Y9</f>
        <v>6.7029622197151195E-2</v>
      </c>
      <c r="Z11" s="60">
        <f t="shared" si="9"/>
        <v>6.7605009675025959E-2</v>
      </c>
      <c r="AA11" s="60">
        <f t="shared" si="9"/>
        <v>6.7912176251411452E-2</v>
      </c>
      <c r="AB11" s="60">
        <f t="shared" si="9"/>
        <v>6.8021062016487138E-2</v>
      </c>
      <c r="AC11" s="60">
        <f>AC10+AC9</f>
        <v>6.8017444014549261E-2</v>
      </c>
      <c r="AD11" s="60">
        <f>AD10+AD9</f>
        <v>6.7514356970787073E-2</v>
      </c>
      <c r="AE11" s="60">
        <f t="shared" si="9"/>
        <v>6.7514356970787073E-2</v>
      </c>
    </row>
    <row r="12" spans="1:32" x14ac:dyDescent="0.25">
      <c r="A12" s="174" t="s">
        <v>400</v>
      </c>
      <c r="B12" s="60">
        <f>MIN(B10,B11)</f>
        <v>0</v>
      </c>
      <c r="C12" s="60">
        <f>MIN(C10,C11)</f>
        <v>8.744231760501861E-2</v>
      </c>
      <c r="D12" s="60">
        <f>MIN(D10,D11)</f>
        <v>7.3174986243247989E-2</v>
      </c>
      <c r="E12" s="60">
        <f t="shared" ref="E12:P12" si="10">MIN(E10,E11)</f>
        <v>0</v>
      </c>
      <c r="F12" s="60">
        <f t="shared" si="10"/>
        <v>6.8075880408287062E-2</v>
      </c>
      <c r="G12" s="60">
        <f t="shared" si="10"/>
        <v>6.8075880408287062E-2</v>
      </c>
      <c r="H12" s="60">
        <f t="shared" si="10"/>
        <v>6.991260349750518E-2</v>
      </c>
      <c r="I12" s="60">
        <f t="shared" si="10"/>
        <v>6.9279208779335022E-2</v>
      </c>
      <c r="J12" s="60">
        <f t="shared" si="10"/>
        <v>6.9279208779335022E-2</v>
      </c>
      <c r="K12" s="60">
        <f t="shared" si="10"/>
        <v>6.9426718354225161E-2</v>
      </c>
      <c r="L12" s="60">
        <f>MIN(L10,L11)</f>
        <v>6.9426718354225161E-2</v>
      </c>
      <c r="M12" s="60">
        <f>MIN(M10,M11)</f>
        <v>6.7514356970787073E-2</v>
      </c>
      <c r="N12" s="60">
        <f t="shared" si="10"/>
        <v>0</v>
      </c>
      <c r="O12" s="60">
        <f t="shared" si="10"/>
        <v>6.7514356970787073E-2</v>
      </c>
      <c r="P12" s="60">
        <f t="shared" si="10"/>
        <v>0</v>
      </c>
      <c r="Q12" s="4"/>
      <c r="R12" s="60">
        <f t="shared" ref="R12:X12" si="11">MIN(R10,R11)</f>
        <v>0</v>
      </c>
      <c r="S12" s="60">
        <f t="shared" si="11"/>
        <v>7.0406374335288999E-2</v>
      </c>
      <c r="T12" s="60">
        <f t="shared" si="11"/>
        <v>7.0406374335288999E-2</v>
      </c>
      <c r="U12" s="60">
        <f t="shared" si="11"/>
        <v>6.9422015547752375E-2</v>
      </c>
      <c r="V12" s="60">
        <f t="shared" si="11"/>
        <v>6.8004623055458069E-2</v>
      </c>
      <c r="W12" s="60">
        <f t="shared" si="11"/>
        <v>6.6476717591285706E-2</v>
      </c>
      <c r="X12" s="60">
        <f t="shared" si="11"/>
        <v>6.6476717591285706E-2</v>
      </c>
      <c r="Y12" s="60">
        <f t="shared" ref="Y12:AE12" si="12">MIN(Y10,Y11)</f>
        <v>6.7029622197151195E-2</v>
      </c>
      <c r="Z12" s="60">
        <f t="shared" si="12"/>
        <v>6.7029622197151195E-2</v>
      </c>
      <c r="AA12" s="60">
        <f t="shared" si="12"/>
        <v>6.7605009675025959E-2</v>
      </c>
      <c r="AB12" s="60">
        <f t="shared" si="12"/>
        <v>6.7912176251411452E-2</v>
      </c>
      <c r="AC12" s="60">
        <f>MIN(AC10,AC11)</f>
        <v>6.8017444014549261E-2</v>
      </c>
      <c r="AD12" s="60">
        <f>MIN(AD10,AD11)</f>
        <v>6.7514356970787073E-2</v>
      </c>
      <c r="AE12" s="60">
        <f t="shared" si="12"/>
        <v>0</v>
      </c>
      <c r="AF12" s="4"/>
    </row>
    <row r="13" spans="1:32" x14ac:dyDescent="0.25">
      <c r="A13" s="174" t="s">
        <v>379</v>
      </c>
      <c r="B13" s="60">
        <f>ABS(B9)</f>
        <v>8.77E-2</v>
      </c>
      <c r="C13" s="60">
        <f>ABS(C9)</f>
        <v>2.5768239498139001E-4</v>
      </c>
      <c r="D13" s="60">
        <f>ABS(D9)</f>
        <v>1.4267331361770622E-2</v>
      </c>
      <c r="E13" s="60">
        <f t="shared" ref="E13:O13" si="13">ABS(E9)</f>
        <v>7.3174986243247989E-2</v>
      </c>
      <c r="F13" s="60">
        <f t="shared" si="13"/>
        <v>5.0991058349609264E-3</v>
      </c>
      <c r="G13" s="60">
        <f t="shared" si="13"/>
        <v>1.8367230892181174E-3</v>
      </c>
      <c r="H13" s="60">
        <f t="shared" si="13"/>
        <v>6.8346261978151357E-4</v>
      </c>
      <c r="I13" s="60">
        <f t="shared" si="13"/>
        <v>1.3168573379516713E-3</v>
      </c>
      <c r="J13" s="60">
        <f t="shared" si="13"/>
        <v>1.8491148948668323E-4</v>
      </c>
      <c r="K13" s="60">
        <f t="shared" si="13"/>
        <v>3.7401914596543739E-5</v>
      </c>
      <c r="L13" s="60">
        <f>ABS(L9)</f>
        <v>7.0537924766539417E-4</v>
      </c>
      <c r="M13" s="60">
        <f>ABS(M9)</f>
        <v>2.6177406311034823E-3</v>
      </c>
      <c r="N13" s="60">
        <f>ABS(N9)</f>
        <v>6.7514356970787073E-2</v>
      </c>
      <c r="O13" s="60">
        <f t="shared" si="13"/>
        <v>2.9393196105956948E-3</v>
      </c>
      <c r="P13" s="60">
        <f>ABS(P9)</f>
        <v>7.0453676581382768E-2</v>
      </c>
      <c r="Q13" s="4"/>
      <c r="R13" s="60">
        <f t="shared" ref="R13:Y13" si="14">ABS(R9)</f>
        <v>7.3174986243247989E-2</v>
      </c>
      <c r="S13" s="60">
        <f t="shared" si="14"/>
        <v>2.7686119079589899E-3</v>
      </c>
      <c r="T13" s="60">
        <f t="shared" si="14"/>
        <v>5.2571296691895919E-4</v>
      </c>
      <c r="U13" s="60">
        <f t="shared" si="14"/>
        <v>1.5100717544555831E-3</v>
      </c>
      <c r="V13" s="60">
        <f t="shared" si="14"/>
        <v>1.417392492294306E-3</v>
      </c>
      <c r="W13" s="60">
        <f t="shared" si="14"/>
        <v>1.5279054641723633E-3</v>
      </c>
      <c r="X13" s="60">
        <f t="shared" si="14"/>
        <v>1.2355923652648954E-3</v>
      </c>
      <c r="Y13" s="60">
        <f t="shared" si="14"/>
        <v>6.8268775939940574E-4</v>
      </c>
      <c r="Z13" s="60">
        <f t="shared" ref="Z13:AE13" si="15">ABS(Z9)</f>
        <v>5.7538747787476419E-4</v>
      </c>
      <c r="AA13" s="60">
        <f t="shared" si="15"/>
        <v>3.071665763854925E-4</v>
      </c>
      <c r="AB13" s="60">
        <f t="shared" si="15"/>
        <v>1.0888576507568637E-4</v>
      </c>
      <c r="AC13" s="60">
        <f>ABS(AC9)</f>
        <v>3.6180019378773132E-6</v>
      </c>
      <c r="AD13" s="60">
        <f>ABS(AD9)</f>
        <v>5.030870437621876E-4</v>
      </c>
      <c r="AE13" s="60">
        <f t="shared" si="15"/>
        <v>6.7514356970787073E-2</v>
      </c>
    </row>
    <row r="14" spans="1:32" ht="50.1" customHeight="1" x14ac:dyDescent="0.35">
      <c r="A14" s="101" t="s">
        <v>521</v>
      </c>
      <c r="C14" s="4"/>
      <c r="D14"/>
      <c r="E14" s="4"/>
      <c r="I14"/>
      <c r="J14" s="4"/>
      <c r="L14" s="4"/>
      <c r="O14"/>
      <c r="Q14" s="4"/>
      <c r="V14"/>
      <c r="AA14"/>
      <c r="AB14" s="4"/>
      <c r="AC14" s="4"/>
    </row>
    <row r="15" spans="1:32" s="4" customFormat="1" x14ac:dyDescent="0.25">
      <c r="A15" s="113" t="s">
        <v>518</v>
      </c>
    </row>
    <row r="16" spans="1:32" x14ac:dyDescent="0.25">
      <c r="A16" s="174" t="s">
        <v>571</v>
      </c>
      <c r="B16" s="60">
        <f>B$8</f>
        <v>8.77E-2</v>
      </c>
      <c r="C16" s="112"/>
      <c r="D16" s="60"/>
      <c r="E16" s="60"/>
      <c r="F16" s="60"/>
      <c r="G16" s="60"/>
      <c r="H16" s="60"/>
      <c r="I16" s="60"/>
      <c r="J16" s="60"/>
      <c r="K16" s="60"/>
      <c r="L16" s="60"/>
      <c r="M16" s="60"/>
      <c r="N16" s="60"/>
      <c r="O16" s="60"/>
      <c r="P16" s="60"/>
      <c r="R16" s="60"/>
      <c r="S16" s="60"/>
      <c r="T16" s="60"/>
      <c r="U16" s="60"/>
      <c r="V16" s="60"/>
      <c r="W16" s="60"/>
      <c r="X16" s="60"/>
      <c r="Y16" s="60"/>
      <c r="Z16" s="60"/>
      <c r="AA16" s="60"/>
      <c r="AB16" s="60"/>
      <c r="AC16" s="60"/>
      <c r="AD16" s="60"/>
      <c r="AE16" s="175"/>
      <c r="AF16" s="60">
        <f t="shared" ref="AF16:AF28" si="16">SUM(B16:AE16)</f>
        <v>8.77E-2</v>
      </c>
    </row>
    <row r="17" spans="1:32" x14ac:dyDescent="0.25">
      <c r="A17" s="174" t="s">
        <v>572</v>
      </c>
      <c r="B17" s="60"/>
      <c r="C17" s="60"/>
      <c r="D17" s="60">
        <f>D$9</f>
        <v>-1.4267331361770622E-2</v>
      </c>
      <c r="E17" s="60"/>
      <c r="F17" s="60"/>
      <c r="G17" s="60"/>
      <c r="H17" s="60"/>
      <c r="I17" s="60"/>
      <c r="J17" s="60"/>
      <c r="K17" s="60"/>
      <c r="L17" s="60"/>
      <c r="M17" s="60"/>
      <c r="N17" s="60"/>
      <c r="O17" s="60"/>
      <c r="P17" s="60"/>
      <c r="R17" s="60"/>
      <c r="S17" s="60"/>
      <c r="T17" s="60"/>
      <c r="U17" s="60"/>
      <c r="V17" s="60"/>
      <c r="W17" s="60"/>
      <c r="X17" s="60"/>
      <c r="Y17" s="60"/>
      <c r="Z17" s="60"/>
      <c r="AA17" s="60"/>
      <c r="AB17" s="60"/>
      <c r="AC17" s="60"/>
      <c r="AD17" s="60"/>
      <c r="AE17" s="175"/>
      <c r="AF17" s="60">
        <f t="shared" si="16"/>
        <v>-1.4267331361770622E-2</v>
      </c>
    </row>
    <row r="18" spans="1:32" x14ac:dyDescent="0.25">
      <c r="A18" s="174" t="s">
        <v>573</v>
      </c>
      <c r="B18" s="60"/>
      <c r="C18" s="60"/>
      <c r="D18" s="175"/>
      <c r="E18" s="175">
        <f>E$9-C25</f>
        <v>7.3432668638229379E-2</v>
      </c>
      <c r="F18" s="60"/>
      <c r="G18" s="60"/>
      <c r="H18" s="60"/>
      <c r="I18" s="60"/>
      <c r="J18" s="60"/>
      <c r="K18" s="60"/>
      <c r="L18" s="60"/>
      <c r="M18" s="60"/>
      <c r="N18" s="60"/>
      <c r="O18" s="60"/>
      <c r="P18" s="60"/>
      <c r="R18" s="60"/>
      <c r="S18" s="60"/>
      <c r="T18" s="60"/>
      <c r="U18" s="60"/>
      <c r="V18" s="60"/>
      <c r="W18" s="60"/>
      <c r="X18" s="60"/>
      <c r="Y18" s="60"/>
      <c r="Z18" s="60"/>
      <c r="AA18" s="60"/>
      <c r="AB18" s="60"/>
      <c r="AC18" s="60"/>
      <c r="AD18" s="60"/>
      <c r="AE18" s="175"/>
      <c r="AF18" s="60">
        <f t="shared" si="16"/>
        <v>7.3432668638229379E-2</v>
      </c>
    </row>
    <row r="19" spans="1:32" s="4" customFormat="1" x14ac:dyDescent="0.25">
      <c r="A19" s="174" t="s">
        <v>574</v>
      </c>
      <c r="B19" s="60"/>
      <c r="C19" s="60"/>
      <c r="D19" s="60"/>
      <c r="E19" s="60"/>
      <c r="F19" s="60"/>
      <c r="G19" s="60"/>
      <c r="H19" s="60"/>
      <c r="I19" s="60"/>
      <c r="J19" s="60"/>
      <c r="K19" s="60"/>
      <c r="L19" s="60"/>
      <c r="M19" s="60"/>
      <c r="N19" s="60"/>
      <c r="O19" s="60"/>
      <c r="P19" s="60"/>
      <c r="R19" s="60"/>
      <c r="S19" s="60">
        <f>S$9</f>
        <v>-2.7686119079589899E-3</v>
      </c>
      <c r="T19" s="60">
        <f>T$9</f>
        <v>5.2571296691895919E-4</v>
      </c>
      <c r="U19" s="60"/>
      <c r="V19" s="60"/>
      <c r="W19" s="60"/>
      <c r="X19" s="60"/>
      <c r="Y19" s="60"/>
      <c r="Z19" s="60"/>
      <c r="AA19" s="60"/>
      <c r="AB19" s="60"/>
      <c r="AC19" s="60"/>
      <c r="AD19" s="60"/>
      <c r="AE19" s="175"/>
      <c r="AF19" s="60">
        <f t="shared" si="16"/>
        <v>-2.2428989410400307E-3</v>
      </c>
    </row>
    <row r="20" spans="1:32" s="4" customFormat="1" x14ac:dyDescent="0.25">
      <c r="A20" s="174" t="s">
        <v>575</v>
      </c>
      <c r="B20" s="60"/>
      <c r="C20" s="60"/>
      <c r="D20" s="60"/>
      <c r="E20" s="60"/>
      <c r="F20" s="60"/>
      <c r="G20" s="60"/>
      <c r="H20" s="60"/>
      <c r="I20" s="60"/>
      <c r="J20" s="60"/>
      <c r="K20" s="60"/>
      <c r="L20" s="60"/>
      <c r="M20" s="60"/>
      <c r="N20" s="60"/>
      <c r="O20" s="60"/>
      <c r="P20" s="60"/>
      <c r="R20" s="60"/>
      <c r="S20" s="60"/>
      <c r="T20" s="60"/>
      <c r="U20" s="60">
        <f>U$9</f>
        <v>-1.5100717544555831E-3</v>
      </c>
      <c r="V20" s="60"/>
      <c r="W20" s="60"/>
      <c r="X20" s="60"/>
      <c r="Y20" s="60"/>
      <c r="Z20" s="60"/>
      <c r="AA20" s="60"/>
      <c r="AB20" s="60"/>
      <c r="AC20" s="60"/>
      <c r="AD20" s="60"/>
      <c r="AE20" s="175"/>
      <c r="AF20" s="60">
        <f t="shared" si="16"/>
        <v>-1.5100717544555831E-3</v>
      </c>
    </row>
    <row r="21" spans="1:32" s="4" customFormat="1" x14ac:dyDescent="0.25">
      <c r="A21" s="174" t="s">
        <v>576</v>
      </c>
      <c r="B21" s="60"/>
      <c r="C21" s="60"/>
      <c r="D21" s="60"/>
      <c r="E21" s="60"/>
      <c r="F21" s="60"/>
      <c r="G21" s="60"/>
      <c r="H21" s="60">
        <f>H$9</f>
        <v>6.8346261978151357E-4</v>
      </c>
      <c r="I21" s="60"/>
      <c r="J21" s="60"/>
      <c r="K21" s="60"/>
      <c r="L21" s="60"/>
      <c r="M21" s="60"/>
      <c r="N21" s="60"/>
      <c r="O21" s="60"/>
      <c r="P21" s="60"/>
      <c r="R21" s="60"/>
      <c r="S21" s="60"/>
      <c r="T21" s="60"/>
      <c r="U21" s="60"/>
      <c r="V21" s="60"/>
      <c r="W21" s="60"/>
      <c r="X21" s="60"/>
      <c r="Y21" s="60"/>
      <c r="Z21" s="60"/>
      <c r="AA21" s="60"/>
      <c r="AB21" s="60"/>
      <c r="AC21" s="60"/>
      <c r="AD21" s="60"/>
      <c r="AE21" s="175"/>
      <c r="AF21" s="60">
        <f t="shared" si="16"/>
        <v>6.8346261978151357E-4</v>
      </c>
    </row>
    <row r="22" spans="1:32" s="4" customFormat="1" x14ac:dyDescent="0.25">
      <c r="A22" s="174" t="s">
        <v>577</v>
      </c>
      <c r="B22" s="60"/>
      <c r="C22" s="60"/>
      <c r="D22" s="60"/>
      <c r="E22" s="60"/>
      <c r="F22" s="60"/>
      <c r="G22" s="60"/>
      <c r="H22" s="60"/>
      <c r="I22" s="60">
        <f>I$9</f>
        <v>-1.3168573379516713E-3</v>
      </c>
      <c r="J22" s="60"/>
      <c r="K22" s="60"/>
      <c r="L22" s="60"/>
      <c r="M22" s="60"/>
      <c r="N22" s="60"/>
      <c r="O22" s="60"/>
      <c r="P22" s="60"/>
      <c r="R22" s="60"/>
      <c r="S22" s="60"/>
      <c r="T22" s="60"/>
      <c r="U22" s="60"/>
      <c r="V22" s="60"/>
      <c r="W22" s="60"/>
      <c r="X22" s="60"/>
      <c r="Y22" s="60"/>
      <c r="Z22" s="60"/>
      <c r="AA22" s="60"/>
      <c r="AB22" s="60"/>
      <c r="AC22" s="60"/>
      <c r="AD22" s="60"/>
      <c r="AE22" s="175"/>
      <c r="AF22" s="60">
        <f t="shared" si="16"/>
        <v>-1.3168573379516713E-3</v>
      </c>
    </row>
    <row r="23" spans="1:32" s="4" customFormat="1" x14ac:dyDescent="0.25">
      <c r="A23" s="174" t="s">
        <v>578</v>
      </c>
      <c r="B23" s="60"/>
      <c r="C23" s="60"/>
      <c r="D23" s="60"/>
      <c r="E23" s="60"/>
      <c r="F23" s="60"/>
      <c r="G23" s="60"/>
      <c r="H23" s="60"/>
      <c r="I23" s="60"/>
      <c r="J23" s="60">
        <f>J$9</f>
        <v>1.8491148948668323E-4</v>
      </c>
      <c r="K23" s="60"/>
      <c r="L23" s="60"/>
      <c r="M23" s="60"/>
      <c r="N23" s="60"/>
      <c r="O23" s="60"/>
      <c r="P23" s="60"/>
      <c r="R23" s="60"/>
      <c r="S23" s="60"/>
      <c r="T23" s="60"/>
      <c r="U23" s="60"/>
      <c r="V23" s="60"/>
      <c r="W23" s="60"/>
      <c r="X23" s="60"/>
      <c r="Y23" s="60"/>
      <c r="Z23" s="60"/>
      <c r="AA23" s="60"/>
      <c r="AB23" s="60"/>
      <c r="AC23" s="60"/>
      <c r="AD23" s="60"/>
      <c r="AE23" s="175"/>
      <c r="AF23" s="60">
        <f t="shared" si="16"/>
        <v>1.8491148948668323E-4</v>
      </c>
    </row>
    <row r="24" spans="1:32" s="4" customFormat="1" x14ac:dyDescent="0.25">
      <c r="A24" s="174" t="s">
        <v>579</v>
      </c>
      <c r="B24" s="60"/>
      <c r="C24" s="60"/>
      <c r="D24" s="60"/>
      <c r="E24" s="60"/>
      <c r="F24" s="60"/>
      <c r="G24" s="60"/>
      <c r="H24" s="60"/>
      <c r="I24" s="60"/>
      <c r="J24" s="60"/>
      <c r="K24" s="60"/>
      <c r="L24" s="60"/>
      <c r="M24" s="60"/>
      <c r="N24" s="60"/>
      <c r="O24" s="60"/>
      <c r="P24" s="60"/>
      <c r="R24" s="60"/>
      <c r="S24" s="60"/>
      <c r="T24" s="60"/>
      <c r="U24" s="60"/>
      <c r="V24" s="60">
        <f t="shared" ref="V24:AC24" si="17">V$9</f>
        <v>-1.417392492294306E-3</v>
      </c>
      <c r="W24" s="60">
        <f t="shared" si="17"/>
        <v>-1.5279054641723633E-3</v>
      </c>
      <c r="X24" s="60">
        <f t="shared" si="17"/>
        <v>1.2355923652648954E-3</v>
      </c>
      <c r="Y24" s="60">
        <f t="shared" si="17"/>
        <v>-6.8268775939940574E-4</v>
      </c>
      <c r="Z24" s="60">
        <f t="shared" si="17"/>
        <v>5.7538747787476419E-4</v>
      </c>
      <c r="AA24" s="60">
        <f t="shared" si="17"/>
        <v>3.071665763854925E-4</v>
      </c>
      <c r="AB24" s="60">
        <f t="shared" si="17"/>
        <v>1.0888576507568637E-4</v>
      </c>
      <c r="AC24" s="60">
        <f t="shared" si="17"/>
        <v>-3.6180019378773132E-6</v>
      </c>
      <c r="AD24" s="60"/>
      <c r="AE24" s="175"/>
      <c r="AF24" s="60">
        <f t="shared" si="16"/>
        <v>-1.4045715332031139E-3</v>
      </c>
    </row>
    <row r="25" spans="1:32" x14ac:dyDescent="0.25">
      <c r="A25" s="174" t="s">
        <v>580</v>
      </c>
      <c r="B25" s="60"/>
      <c r="C25" s="60">
        <f>C$9</f>
        <v>-2.5768239498139001E-4</v>
      </c>
      <c r="D25" s="60"/>
      <c r="E25" s="60"/>
      <c r="F25" s="60"/>
      <c r="G25" s="60">
        <f>G$9</f>
        <v>1.8367230892181174E-3</v>
      </c>
      <c r="H25" s="60"/>
      <c r="I25" s="60"/>
      <c r="J25" s="60"/>
      <c r="K25" s="60">
        <f>K$9</f>
        <v>-3.7401914596543739E-5</v>
      </c>
      <c r="L25" s="60">
        <f>L$9</f>
        <v>7.0537924766539417E-4</v>
      </c>
      <c r="M25" s="60">
        <f>M$9</f>
        <v>-2.6177406311034823E-3</v>
      </c>
      <c r="N25" s="60"/>
      <c r="O25" s="60"/>
      <c r="P25" s="60"/>
      <c r="R25" s="60"/>
      <c r="S25" s="60"/>
      <c r="T25" s="60"/>
      <c r="U25" s="60"/>
      <c r="V25" s="60"/>
      <c r="W25" s="60"/>
      <c r="X25" s="60"/>
      <c r="Y25" s="60"/>
      <c r="Z25" s="60"/>
      <c r="AA25" s="60"/>
      <c r="AB25" s="60"/>
      <c r="AC25" s="60"/>
      <c r="AD25" s="60"/>
      <c r="AE25" s="175"/>
      <c r="AF25" s="60">
        <f t="shared" si="16"/>
        <v>-3.7072260379790445E-4</v>
      </c>
    </row>
    <row r="26" spans="1:32" x14ac:dyDescent="0.25">
      <c r="A26" s="174" t="s">
        <v>581</v>
      </c>
      <c r="B26" s="60"/>
      <c r="C26" s="60"/>
      <c r="D26" s="60"/>
      <c r="E26" s="60"/>
      <c r="F26" s="60"/>
      <c r="G26" s="60"/>
      <c r="H26" s="60"/>
      <c r="I26" s="60"/>
      <c r="J26" s="60"/>
      <c r="K26" s="60"/>
      <c r="L26" s="60"/>
      <c r="M26" s="60"/>
      <c r="N26" s="60">
        <f>N$9</f>
        <v>6.7514356970787073E-2</v>
      </c>
      <c r="O26" s="60"/>
      <c r="P26" s="60"/>
      <c r="R26" s="60"/>
      <c r="S26" s="60"/>
      <c r="T26" s="60"/>
      <c r="U26" s="60"/>
      <c r="V26" s="60"/>
      <c r="W26" s="60"/>
      <c r="X26" s="60"/>
      <c r="Y26" s="60"/>
      <c r="Z26" s="60"/>
      <c r="AA26" s="60"/>
      <c r="AB26" s="60"/>
      <c r="AC26" s="60"/>
      <c r="AD26" s="60"/>
      <c r="AE26" s="175"/>
      <c r="AF26" s="60">
        <f t="shared" si="16"/>
        <v>6.7514356970787073E-2</v>
      </c>
    </row>
    <row r="27" spans="1:32" x14ac:dyDescent="0.25">
      <c r="A27" s="174" t="s">
        <v>582</v>
      </c>
      <c r="B27" s="60"/>
      <c r="C27" s="60"/>
      <c r="D27" s="60"/>
      <c r="E27" s="60"/>
      <c r="F27" s="60"/>
      <c r="G27" s="60"/>
      <c r="H27" s="60"/>
      <c r="I27" s="60"/>
      <c r="J27" s="60"/>
      <c r="K27" s="60"/>
      <c r="L27" s="60"/>
      <c r="M27" s="60"/>
      <c r="N27" s="60"/>
      <c r="O27" s="60">
        <f>O$9</f>
        <v>2.9393196105956948E-3</v>
      </c>
      <c r="P27" s="60"/>
      <c r="R27" s="60"/>
      <c r="S27" s="60"/>
      <c r="T27" s="60"/>
      <c r="U27" s="60"/>
      <c r="V27" s="60"/>
      <c r="W27" s="60"/>
      <c r="X27" s="60"/>
      <c r="Y27" s="60"/>
      <c r="Z27" s="60"/>
      <c r="AA27" s="60"/>
      <c r="AB27" s="60"/>
      <c r="AC27" s="60"/>
      <c r="AD27" s="60"/>
      <c r="AE27" s="175"/>
      <c r="AF27" s="60">
        <f t="shared" si="16"/>
        <v>2.9393196105956948E-3</v>
      </c>
    </row>
    <row r="28" spans="1:32" x14ac:dyDescent="0.25">
      <c r="A28" s="174" t="s">
        <v>583</v>
      </c>
      <c r="B28" s="60"/>
      <c r="C28" s="60"/>
      <c r="D28" s="60"/>
      <c r="E28" s="60"/>
      <c r="F28" s="60"/>
      <c r="G28" s="60"/>
      <c r="H28" s="60"/>
      <c r="I28" s="60"/>
      <c r="J28" s="60"/>
      <c r="K28" s="60"/>
      <c r="L28" s="60"/>
      <c r="M28" s="60"/>
      <c r="N28" s="60"/>
      <c r="O28" s="60"/>
      <c r="P28" s="60">
        <f>P$9</f>
        <v>7.0453676581382768E-2</v>
      </c>
      <c r="R28" s="60"/>
      <c r="S28" s="60"/>
      <c r="T28" s="60"/>
      <c r="U28" s="60"/>
      <c r="V28" s="60"/>
      <c r="W28" s="60"/>
      <c r="X28" s="60"/>
      <c r="Y28" s="60"/>
      <c r="Z28" s="60"/>
      <c r="AA28" s="60"/>
      <c r="AB28" s="60"/>
      <c r="AC28" s="60"/>
      <c r="AD28" s="60"/>
      <c r="AE28" s="175"/>
      <c r="AF28" s="60">
        <f t="shared" si="16"/>
        <v>7.0453676581382768E-2</v>
      </c>
    </row>
    <row r="29" spans="1:32" x14ac:dyDescent="0.25">
      <c r="A29" s="113" t="s">
        <v>434</v>
      </c>
      <c r="C29" s="4"/>
      <c r="D29"/>
      <c r="E29" s="4"/>
      <c r="I29"/>
      <c r="J29" s="4"/>
      <c r="P29" s="4"/>
      <c r="Q29" s="4"/>
      <c r="R29" s="4"/>
      <c r="S29" s="4"/>
      <c r="T29" s="4"/>
      <c r="U29" s="4"/>
      <c r="W29" s="4"/>
      <c r="X29" s="4"/>
      <c r="Z29" s="4"/>
      <c r="AA29"/>
      <c r="AB29" s="4"/>
    </row>
    <row r="30" spans="1:32" s="4" customFormat="1" ht="50.1" customHeight="1" x14ac:dyDescent="0.35">
      <c r="A30" s="101" t="s">
        <v>522</v>
      </c>
    </row>
    <row r="31" spans="1:32" x14ac:dyDescent="0.25">
      <c r="N31" s="4"/>
      <c r="P31" s="4"/>
      <c r="Q31" s="4"/>
      <c r="R31" s="4"/>
      <c r="S31" s="4"/>
      <c r="T31" s="4"/>
      <c r="U31" s="4"/>
      <c r="W31" s="4"/>
      <c r="X31" s="4"/>
    </row>
    <row r="32" spans="1:32" x14ac:dyDescent="0.25">
      <c r="N32" s="4"/>
      <c r="P32" s="4"/>
      <c r="Q32" s="4"/>
      <c r="R32" s="4"/>
      <c r="S32" s="4"/>
      <c r="T32" s="4"/>
      <c r="U32" s="4"/>
      <c r="W32" s="4"/>
      <c r="X32" s="4"/>
    </row>
    <row r="33" spans="14:24" x14ac:dyDescent="0.25">
      <c r="N33" s="4"/>
      <c r="P33" s="4"/>
      <c r="Q33" s="4"/>
      <c r="R33" s="4"/>
      <c r="S33" s="4"/>
      <c r="T33" s="4"/>
      <c r="U33" s="4"/>
      <c r="W33" s="4"/>
      <c r="X33" s="4"/>
    </row>
    <row r="34" spans="14:24" x14ac:dyDescent="0.25">
      <c r="N34" s="4"/>
      <c r="P34" s="4"/>
      <c r="Q34" s="4"/>
      <c r="R34" s="4"/>
      <c r="S34" s="4"/>
      <c r="T34" s="4"/>
      <c r="U34" s="4"/>
      <c r="W34" s="4"/>
      <c r="X34" s="4"/>
    </row>
    <row r="35" spans="14:24" x14ac:dyDescent="0.25">
      <c r="N35" s="4"/>
      <c r="P35" s="4"/>
      <c r="Q35" s="4"/>
      <c r="R35" s="4"/>
      <c r="S35" s="4"/>
      <c r="T35" s="4"/>
      <c r="U35" s="4"/>
      <c r="W35" s="4"/>
      <c r="X35" s="4"/>
    </row>
    <row r="36" spans="14:24" x14ac:dyDescent="0.25">
      <c r="N36" s="4"/>
      <c r="P36" s="4"/>
      <c r="Q36" s="4"/>
      <c r="R36" s="4"/>
      <c r="S36" s="4"/>
      <c r="T36" s="4"/>
      <c r="U36" s="4"/>
      <c r="W36" s="4"/>
      <c r="X36" s="4"/>
    </row>
    <row r="37" spans="14:24" x14ac:dyDescent="0.25">
      <c r="N37" s="4"/>
      <c r="P37" s="4"/>
      <c r="Q37" s="4"/>
      <c r="R37" s="4"/>
      <c r="S37" s="4"/>
      <c r="T37" s="4"/>
      <c r="U37" s="4"/>
      <c r="W37" s="4"/>
      <c r="X37" s="4"/>
    </row>
    <row r="38" spans="14:24" x14ac:dyDescent="0.25">
      <c r="N38" s="4"/>
      <c r="P38" s="4"/>
      <c r="Q38" s="4"/>
      <c r="R38" s="4"/>
      <c r="S38" s="4"/>
      <c r="T38" s="4"/>
      <c r="U38" s="4"/>
      <c r="W38" s="4"/>
      <c r="X38" s="4"/>
    </row>
    <row r="39" spans="14:24" x14ac:dyDescent="0.25">
      <c r="N39" s="4"/>
      <c r="P39" s="4"/>
      <c r="Q39" s="4"/>
      <c r="R39" s="4"/>
      <c r="S39" s="4"/>
      <c r="T39" s="4"/>
      <c r="U39" s="4"/>
      <c r="W39" s="4"/>
      <c r="X39" s="4"/>
    </row>
    <row r="40" spans="14:24" x14ac:dyDescent="0.25">
      <c r="N40" s="4"/>
      <c r="P40" s="4"/>
      <c r="Q40" s="4"/>
      <c r="R40" s="4"/>
      <c r="S40" s="4"/>
      <c r="T40" s="4"/>
      <c r="U40" s="4"/>
      <c r="W40" s="4"/>
      <c r="X40" s="4"/>
    </row>
    <row r="41" spans="14:24" x14ac:dyDescent="0.25">
      <c r="N41" s="4"/>
      <c r="P41" s="4"/>
      <c r="Q41" s="4"/>
      <c r="R41" s="4"/>
      <c r="S41" s="4"/>
      <c r="T41" s="4"/>
      <c r="U41" s="4"/>
      <c r="W41" s="4"/>
      <c r="X41" s="4"/>
    </row>
    <row r="42" spans="14:24" x14ac:dyDescent="0.25">
      <c r="N42" s="4"/>
      <c r="P42" s="4"/>
      <c r="Q42" s="4"/>
      <c r="R42" s="4"/>
      <c r="S42" s="4"/>
      <c r="T42" s="4"/>
      <c r="U42" s="4"/>
      <c r="W42" s="4"/>
      <c r="X42" s="4"/>
    </row>
    <row r="43" spans="14:24" x14ac:dyDescent="0.25">
      <c r="N43" s="4"/>
      <c r="P43" s="4"/>
      <c r="Q43" s="4"/>
      <c r="R43" s="4"/>
      <c r="S43" s="4"/>
      <c r="T43" s="4"/>
      <c r="U43" s="4"/>
      <c r="W43" s="4"/>
      <c r="X43" s="4"/>
    </row>
    <row r="44" spans="14:24" x14ac:dyDescent="0.25">
      <c r="N44" s="4"/>
      <c r="P44" s="4"/>
      <c r="Q44" s="4"/>
      <c r="R44" s="4"/>
      <c r="S44" s="4"/>
      <c r="T44" s="4"/>
      <c r="U44" s="4"/>
      <c r="W44" s="4"/>
      <c r="X44" s="4"/>
    </row>
    <row r="45" spans="14:24" x14ac:dyDescent="0.25">
      <c r="N45" s="4"/>
      <c r="P45" s="4"/>
      <c r="Q45" s="4"/>
      <c r="R45" s="4"/>
      <c r="S45" s="4"/>
      <c r="T45" s="4"/>
      <c r="U45" s="4"/>
      <c r="W45" s="4"/>
      <c r="X45" s="4"/>
    </row>
    <row r="46" spans="14:24" x14ac:dyDescent="0.25">
      <c r="N46" s="4"/>
      <c r="P46" s="4"/>
      <c r="Q46" s="4"/>
      <c r="R46" s="4"/>
      <c r="S46" s="4"/>
      <c r="T46" s="4"/>
      <c r="U46" s="4"/>
      <c r="W46" s="4"/>
      <c r="X46" s="4"/>
    </row>
    <row r="47" spans="14:24" x14ac:dyDescent="0.25">
      <c r="N47" s="4"/>
      <c r="P47" s="4"/>
      <c r="Q47" s="4"/>
      <c r="R47" s="4"/>
      <c r="S47" s="4"/>
      <c r="T47" s="4"/>
      <c r="U47" s="4"/>
      <c r="W47" s="4"/>
      <c r="X47" s="4"/>
    </row>
    <row r="48" spans="14:24" x14ac:dyDescent="0.25">
      <c r="N48" s="4"/>
      <c r="P48" s="4"/>
      <c r="Q48" s="4"/>
      <c r="R48" s="4"/>
      <c r="S48" s="4"/>
      <c r="T48" s="4"/>
      <c r="U48" s="4"/>
      <c r="W48" s="4"/>
      <c r="X48" s="4"/>
    </row>
    <row r="49" spans="1:27" x14ac:dyDescent="0.25">
      <c r="N49" s="4"/>
      <c r="P49" s="4"/>
      <c r="Q49" s="4"/>
      <c r="R49" s="4"/>
      <c r="S49" s="4"/>
      <c r="T49" s="4"/>
      <c r="U49" s="4"/>
      <c r="W49" s="4"/>
      <c r="X49" s="4"/>
    </row>
    <row r="52" spans="1:27" s="4" customFormat="1" x14ac:dyDescent="0.25"/>
    <row r="53" spans="1:27" s="4" customFormat="1" x14ac:dyDescent="0.25"/>
    <row r="54" spans="1:27" s="4" customFormat="1" x14ac:dyDescent="0.25"/>
    <row r="58" spans="1:27" ht="23.25" x14ac:dyDescent="0.35">
      <c r="E58" s="169" t="str">
        <f>C2&amp;" IRR waterfall—cost effects"</f>
        <v>DPP Total IRR waterfall—cost effects</v>
      </c>
      <c r="N58" s="4"/>
      <c r="P58" s="4"/>
      <c r="Q58" s="4"/>
      <c r="U58" s="169" t="str">
        <f>$C$2&amp;" IRR waterfall—revenue effects"</f>
        <v>DPP Total IRR waterfall—revenue effects</v>
      </c>
    </row>
    <row r="60" spans="1:27" x14ac:dyDescent="0.25">
      <c r="A60" s="201" t="s">
        <v>585</v>
      </c>
    </row>
    <row r="61" spans="1:27" x14ac:dyDescent="0.25">
      <c r="C61" s="4"/>
      <c r="D61"/>
      <c r="G61" s="4"/>
      <c r="I61"/>
      <c r="O61"/>
    </row>
    <row r="62" spans="1:27" ht="50.1" customHeight="1" x14ac:dyDescent="0.35">
      <c r="A62" s="101" t="s">
        <v>520</v>
      </c>
      <c r="B62"/>
      <c r="D62"/>
      <c r="I62"/>
      <c r="O62"/>
    </row>
    <row r="63" spans="1:27" x14ac:dyDescent="0.25">
      <c r="C63" s="4"/>
      <c r="E63" s="4"/>
      <c r="F63" s="4"/>
      <c r="G63" s="4"/>
      <c r="H63" s="4"/>
      <c r="J63" s="4"/>
      <c r="K63" s="4"/>
      <c r="L63" s="4"/>
      <c r="M63" s="4"/>
      <c r="N63" s="4"/>
      <c r="O63"/>
      <c r="U63" s="4"/>
      <c r="V63"/>
      <c r="X63" s="4"/>
      <c r="Y63"/>
      <c r="Z63" s="4"/>
      <c r="AA63"/>
    </row>
    <row r="64" spans="1:27" ht="64.5" x14ac:dyDescent="0.25">
      <c r="A64" s="118" t="s">
        <v>9</v>
      </c>
      <c r="B64" s="28" t="str">
        <f>A16</f>
        <v xml:space="preserve"> Expected nominal return (incl forecast asset revaluations) </v>
      </c>
      <c r="C64" s="28" t="str">
        <f>A17</f>
        <v xml:space="preserve"> Forecast asset revaluations </v>
      </c>
      <c r="D64" s="28" t="str">
        <f>A18</f>
        <v xml:space="preserve"> Expected real return (excl forecast asset revaluations) </v>
      </c>
      <c r="E64" s="28" t="str">
        <f>A19</f>
        <v xml:space="preserve"> Changes in demand </v>
      </c>
      <c r="F64" s="28" t="str">
        <f>A20</f>
        <v xml:space="preserve"> Inflation indexation of revenue limit (CPI-X%) </v>
      </c>
      <c r="G64" s="28" t="str">
        <f>A21</f>
        <v xml:space="preserve"> Input price inflators 2013–15 </v>
      </c>
      <c r="H64" s="28" t="str">
        <f>A22</f>
        <v xml:space="preserve"> Operating expenditure 2013–15 </v>
      </c>
      <c r="I64" s="28" t="str">
        <f>A23</f>
        <v xml:space="preserve"> Commissioned assets 2013–15 </v>
      </c>
      <c r="J64" s="28" t="str">
        <f>A24</f>
        <v xml:space="preserve"> Other revenue effects </v>
      </c>
      <c r="K64" s="28" t="str">
        <f>A25</f>
        <v xml:space="preserve"> Other cost effects </v>
      </c>
      <c r="L64" s="28" t="str">
        <f>A26</f>
        <v xml:space="preserve"> Disclosed real return (excl actual asset revaluations) </v>
      </c>
      <c r="M64" s="28" t="str">
        <f>A27</f>
        <v xml:space="preserve"> Actual asset revaluations </v>
      </c>
      <c r="N64" s="28" t="str">
        <f>A28</f>
        <v xml:space="preserve"> Disclosed nominal return (incl actual asset revaluations) </v>
      </c>
      <c r="O64"/>
      <c r="U64" s="4"/>
      <c r="V64"/>
      <c r="X64" s="4"/>
      <c r="Y64"/>
      <c r="Z64" s="4"/>
      <c r="AA64"/>
    </row>
    <row r="65" spans="1:27" x14ac:dyDescent="0.25">
      <c r="A65" s="174" t="s">
        <v>376</v>
      </c>
      <c r="B65" s="60">
        <f>AF16</f>
        <v>8.77E-2</v>
      </c>
      <c r="C65" s="60">
        <f>AF17</f>
        <v>-1.4267331361770622E-2</v>
      </c>
      <c r="D65" s="60">
        <f>E18</f>
        <v>7.3432668638229379E-2</v>
      </c>
      <c r="E65" s="60">
        <f>AF19</f>
        <v>-2.2428989410400307E-3</v>
      </c>
      <c r="F65" s="60">
        <f>AF20</f>
        <v>-1.5100717544555831E-3</v>
      </c>
      <c r="G65" s="60">
        <f>AF21</f>
        <v>6.8346261978151357E-4</v>
      </c>
      <c r="H65" s="60">
        <f>AF22</f>
        <v>-1.3168573379516713E-3</v>
      </c>
      <c r="I65" s="60">
        <f>AF23</f>
        <v>1.8491148948668323E-4</v>
      </c>
      <c r="J65" s="60">
        <f>AF24</f>
        <v>-1.4045715332031139E-3</v>
      </c>
      <c r="K65" s="60">
        <f>AF25</f>
        <v>-3.7072260379790445E-4</v>
      </c>
      <c r="L65" s="60">
        <f>AF26</f>
        <v>6.7514356970787073E-2</v>
      </c>
      <c r="M65" s="60">
        <f>AF27</f>
        <v>2.9393196105956948E-3</v>
      </c>
      <c r="N65" s="60">
        <f>AF28</f>
        <v>7.0453676581382768E-2</v>
      </c>
      <c r="O65"/>
      <c r="U65" s="4"/>
      <c r="V65"/>
      <c r="X65" s="4"/>
      <c r="Y65"/>
      <c r="Z65" s="4"/>
      <c r="AA65"/>
    </row>
    <row r="66" spans="1:27" x14ac:dyDescent="0.25">
      <c r="A66" s="174" t="s">
        <v>377</v>
      </c>
      <c r="B66" s="112">
        <v>0</v>
      </c>
      <c r="C66" s="60">
        <f>B65</f>
        <v>8.77E-2</v>
      </c>
      <c r="D66" s="112">
        <v>0</v>
      </c>
      <c r="E66" s="60">
        <f t="shared" ref="E66:K66" si="18">D67</f>
        <v>7.3432668638229379E-2</v>
      </c>
      <c r="F66" s="60">
        <f t="shared" si="18"/>
        <v>7.1189769697189348E-2</v>
      </c>
      <c r="G66" s="60">
        <f t="shared" si="18"/>
        <v>6.9679697942733765E-2</v>
      </c>
      <c r="H66" s="60">
        <f t="shared" si="18"/>
        <v>7.0363160562515278E-2</v>
      </c>
      <c r="I66" s="60">
        <f t="shared" si="18"/>
        <v>6.9046303224563607E-2</v>
      </c>
      <c r="J66" s="60">
        <f t="shared" si="18"/>
        <v>6.923121471405029E-2</v>
      </c>
      <c r="K66" s="60">
        <f t="shared" si="18"/>
        <v>6.7826643180847176E-2</v>
      </c>
      <c r="L66" s="112">
        <v>0</v>
      </c>
      <c r="M66" s="60">
        <f>L67</f>
        <v>6.7514356970787073E-2</v>
      </c>
      <c r="N66" s="112">
        <f>0</f>
        <v>0</v>
      </c>
      <c r="O66"/>
      <c r="U66" s="4"/>
      <c r="V66"/>
      <c r="X66" s="4"/>
      <c r="Y66"/>
      <c r="Z66" s="4"/>
      <c r="AA66"/>
    </row>
    <row r="67" spans="1:27" x14ac:dyDescent="0.25">
      <c r="A67" s="174" t="s">
        <v>378</v>
      </c>
      <c r="B67" s="60">
        <f>B65</f>
        <v>8.77E-2</v>
      </c>
      <c r="C67" s="60">
        <f>C66+C65</f>
        <v>7.3432668638229379E-2</v>
      </c>
      <c r="D67" s="60">
        <f>D65</f>
        <v>7.3432668638229379E-2</v>
      </c>
      <c r="E67" s="60">
        <f t="shared" ref="E67:L67" si="19">E66+E65</f>
        <v>7.1189769697189348E-2</v>
      </c>
      <c r="F67" s="60">
        <f t="shared" si="19"/>
        <v>6.9679697942733765E-2</v>
      </c>
      <c r="G67" s="60">
        <f t="shared" si="19"/>
        <v>7.0363160562515278E-2</v>
      </c>
      <c r="H67" s="60">
        <f t="shared" si="19"/>
        <v>6.9046303224563607E-2</v>
      </c>
      <c r="I67" s="60">
        <f t="shared" si="19"/>
        <v>6.923121471405029E-2</v>
      </c>
      <c r="J67" s="60">
        <f>J66+J65</f>
        <v>6.7826643180847176E-2</v>
      </c>
      <c r="K67" s="60">
        <f>K66+K65</f>
        <v>6.7455920577049272E-2</v>
      </c>
      <c r="L67" s="60">
        <f t="shared" si="19"/>
        <v>6.7514356970787073E-2</v>
      </c>
      <c r="M67" s="60">
        <f>N67</f>
        <v>7.0453676581382768E-2</v>
      </c>
      <c r="N67" s="60">
        <f>N66+N65</f>
        <v>7.0453676581382768E-2</v>
      </c>
      <c r="O67"/>
      <c r="U67" s="4"/>
      <c r="V67"/>
      <c r="X67" s="4"/>
      <c r="Y67"/>
      <c r="Z67" s="4"/>
      <c r="AA67"/>
    </row>
    <row r="68" spans="1:27" x14ac:dyDescent="0.25">
      <c r="A68" s="174" t="s">
        <v>400</v>
      </c>
      <c r="B68" s="60">
        <f t="shared" ref="B68:N68" si="20">MIN(B66,B67)</f>
        <v>0</v>
      </c>
      <c r="C68" s="60">
        <f t="shared" si="20"/>
        <v>7.3432668638229379E-2</v>
      </c>
      <c r="D68" s="60">
        <f t="shared" si="20"/>
        <v>0</v>
      </c>
      <c r="E68" s="60">
        <f t="shared" si="20"/>
        <v>7.1189769697189348E-2</v>
      </c>
      <c r="F68" s="60">
        <f t="shared" si="20"/>
        <v>6.9679697942733765E-2</v>
      </c>
      <c r="G68" s="60">
        <f t="shared" si="20"/>
        <v>6.9679697942733765E-2</v>
      </c>
      <c r="H68" s="60">
        <f t="shared" si="20"/>
        <v>6.9046303224563607E-2</v>
      </c>
      <c r="I68" s="60">
        <f t="shared" si="20"/>
        <v>6.9046303224563607E-2</v>
      </c>
      <c r="J68" s="60">
        <f>MIN(J66,J67)</f>
        <v>6.7826643180847176E-2</v>
      </c>
      <c r="K68" s="60">
        <f>MIN(K66,K67)</f>
        <v>6.7455920577049272E-2</v>
      </c>
      <c r="L68" s="60">
        <f t="shared" si="20"/>
        <v>0</v>
      </c>
      <c r="M68" s="60">
        <f t="shared" si="20"/>
        <v>6.7514356970787073E-2</v>
      </c>
      <c r="N68" s="60">
        <f t="shared" si="20"/>
        <v>0</v>
      </c>
      <c r="O68"/>
      <c r="U68" s="4"/>
      <c r="V68"/>
      <c r="X68" s="4"/>
      <c r="Y68"/>
      <c r="Z68" s="4"/>
      <c r="AA68"/>
    </row>
    <row r="69" spans="1:27" x14ac:dyDescent="0.25">
      <c r="A69" s="174" t="s">
        <v>379</v>
      </c>
      <c r="B69" s="60">
        <f>B65</f>
        <v>8.77E-2</v>
      </c>
      <c r="C69" s="60">
        <f t="shared" ref="C69:N69" si="21">ABS(C65)</f>
        <v>1.4267331361770622E-2</v>
      </c>
      <c r="D69" s="60">
        <f t="shared" si="21"/>
        <v>7.3432668638229379E-2</v>
      </c>
      <c r="E69" s="60">
        <f t="shared" si="21"/>
        <v>2.2428989410400307E-3</v>
      </c>
      <c r="F69" s="60">
        <f t="shared" si="21"/>
        <v>1.5100717544555831E-3</v>
      </c>
      <c r="G69" s="60">
        <f t="shared" si="21"/>
        <v>6.8346261978151357E-4</v>
      </c>
      <c r="H69" s="60">
        <f t="shared" si="21"/>
        <v>1.3168573379516713E-3</v>
      </c>
      <c r="I69" s="60">
        <f t="shared" si="21"/>
        <v>1.8491148948668323E-4</v>
      </c>
      <c r="J69" s="60">
        <f>ABS(J65)</f>
        <v>1.4045715332031139E-3</v>
      </c>
      <c r="K69" s="60">
        <f>ABS(K65)</f>
        <v>3.7072260379790445E-4</v>
      </c>
      <c r="L69" s="60">
        <f t="shared" si="21"/>
        <v>6.7514356970787073E-2</v>
      </c>
      <c r="M69" s="60">
        <f t="shared" si="21"/>
        <v>2.9393196105956948E-3</v>
      </c>
      <c r="N69" s="60">
        <f t="shared" si="21"/>
        <v>7.0453676581382768E-2</v>
      </c>
      <c r="O69"/>
      <c r="U69" s="4"/>
      <c r="V69"/>
      <c r="X69" s="4"/>
      <c r="Y69"/>
      <c r="Z69" s="4"/>
      <c r="AA69"/>
    </row>
    <row r="70" spans="1:27" s="4" customFormat="1" x14ac:dyDescent="0.25">
      <c r="A70" s="174" t="s">
        <v>441</v>
      </c>
      <c r="B70" s="97" t="s">
        <v>442</v>
      </c>
      <c r="C70" s="97" t="s">
        <v>443</v>
      </c>
      <c r="D70" s="97" t="s">
        <v>444</v>
      </c>
      <c r="E70" s="97" t="s">
        <v>445</v>
      </c>
      <c r="F70" s="97" t="s">
        <v>446</v>
      </c>
      <c r="G70" s="97" t="s">
        <v>447</v>
      </c>
      <c r="H70" s="97" t="s">
        <v>448</v>
      </c>
      <c r="I70" s="97" t="s">
        <v>449</v>
      </c>
      <c r="J70" s="97" t="s">
        <v>450</v>
      </c>
      <c r="K70" s="97" t="s">
        <v>451</v>
      </c>
      <c r="L70" s="97" t="s">
        <v>452</v>
      </c>
      <c r="M70" s="97" t="s">
        <v>453</v>
      </c>
      <c r="N70" s="97" t="s">
        <v>454</v>
      </c>
    </row>
    <row r="71" spans="1:27" x14ac:dyDescent="0.25">
      <c r="A71" s="113" t="s">
        <v>608</v>
      </c>
    </row>
    <row r="72" spans="1:27" x14ac:dyDescent="0.25">
      <c r="A72" s="113" t="s">
        <v>609</v>
      </c>
    </row>
    <row r="73" spans="1:27" s="4" customFormat="1" ht="50.1" customHeight="1" x14ac:dyDescent="0.35">
      <c r="A73" s="101" t="s">
        <v>523</v>
      </c>
    </row>
    <row r="99" spans="1:1" x14ac:dyDescent="0.25">
      <c r="A99" s="201" t="s">
        <v>585</v>
      </c>
    </row>
  </sheetData>
  <mergeCells count="1">
    <mergeCell ref="C2:D2"/>
  </mergeCells>
  <pageMargins left="0.70866141732283472" right="0.70866141732283472" top="0.74803149606299213" bottom="0.74803149606299213" header="0.31496062992125984" footer="0.31496062992125984"/>
  <pageSetup paperSize="9" scale="33" fitToHeight="0" orientation="landscape" r:id="rId1"/>
  <headerFooter>
    <oddFooter>&amp;L&amp;F&amp;C&amp;A&amp;R&amp;P</oddFooter>
  </headerFooter>
  <rowBreaks count="1" manualBreakCount="1">
    <brk id="61" max="33" man="1"/>
  </rowBreaks>
  <colBreaks count="1" manualBreakCount="1">
    <brk id="13" max="9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Outputs!$C$20:$S$20</xm:f>
          </x14:formula1>
          <xm:sqref>C2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20</vt:i4>
      </vt:variant>
    </vt:vector>
  </HeadingPairs>
  <TitlesOfParts>
    <vt:vector size="31" baseType="lpstr">
      <vt:lpstr>CoverSheet</vt:lpstr>
      <vt:lpstr>Description</vt:lpstr>
      <vt:lpstr>Table of Contents</vt:lpstr>
      <vt:lpstr>Inputs</vt:lpstr>
      <vt:lpstr>Selection</vt:lpstr>
      <vt:lpstr>Calculation</vt:lpstr>
      <vt:lpstr>IRR</vt:lpstr>
      <vt:lpstr>Outputs</vt:lpstr>
      <vt:lpstr>Waterfall</vt:lpstr>
      <vt:lpstr>Chart data</vt:lpstr>
      <vt:lpstr>Charts</vt:lpstr>
      <vt:lpstr>EDB_Name</vt:lpstr>
      <vt:lpstr>Calculation!Print_Area</vt:lpstr>
      <vt:lpstr>'Chart data'!Print_Area</vt:lpstr>
      <vt:lpstr>Charts!Print_Area</vt:lpstr>
      <vt:lpstr>CoverSheet!Print_Area</vt:lpstr>
      <vt:lpstr>Description!Print_Area</vt:lpstr>
      <vt:lpstr>Inputs!Print_Area</vt:lpstr>
      <vt:lpstr>IRR!Print_Area</vt:lpstr>
      <vt:lpstr>Outputs!Print_Area</vt:lpstr>
      <vt:lpstr>Selection!Print_Area</vt:lpstr>
      <vt:lpstr>'Table of Contents'!Print_Area</vt:lpstr>
      <vt:lpstr>Waterfall!Print_Area</vt:lpstr>
      <vt:lpstr>ra_Active_Business</vt:lpstr>
      <vt:lpstr>ra_Active_General</vt:lpstr>
      <vt:lpstr>ra_Items</vt:lpstr>
      <vt:lpstr>ra_ScenarioSelect</vt:lpstr>
      <vt:lpstr>ra_ScenarioSelectNumber</vt:lpstr>
      <vt:lpstr>ra_ScName</vt:lpstr>
      <vt:lpstr>ra_ScNumber</vt:lpstr>
      <vt:lpstr>ra_Years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2014-11-27T01:28:47Z</dcterms:created>
  <dcterms:modified xsi:type="dcterms:W3CDTF">2016-06-08T03:59:18Z</dcterms:modified>
</cp:coreProperties>
</file>