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3395" windowHeight="13740"/>
  </bookViews>
  <sheets>
    <sheet name="Model Description" sheetId="9" r:id="rId1"/>
    <sheet name="Net Benefit calcs (15yrs)" sheetId="7" r:id="rId2"/>
    <sheet name="Ofcom_Mobile network externalit" sheetId="5" r:id="rId3"/>
  </sheets>
  <calcPr calcId="145621"/>
</workbook>
</file>

<file path=xl/calcChain.xml><?xml version="1.0" encoding="utf-8"?>
<calcChain xmlns="http://schemas.openxmlformats.org/spreadsheetml/2006/main">
  <c r="M21" i="7" l="1"/>
  <c r="L21" i="7"/>
  <c r="K22" i="7"/>
  <c r="L22" i="7" s="1"/>
  <c r="G22" i="7" s="1"/>
  <c r="B70" i="7" s="1"/>
  <c r="J22" i="7"/>
  <c r="J23" i="7" s="1"/>
  <c r="J24" i="7" s="1"/>
  <c r="J25" i="7" s="1"/>
  <c r="J26" i="7" s="1"/>
  <c r="J27" i="7" s="1"/>
  <c r="J28" i="7" s="1"/>
  <c r="J29" i="7" s="1"/>
  <c r="J30" i="7" s="1"/>
  <c r="J31" i="7" s="1"/>
  <c r="J32" i="7" s="1"/>
  <c r="J33" i="7" s="1"/>
  <c r="J34" i="7" s="1"/>
  <c r="J35" i="7" s="1"/>
  <c r="J36" i="7" s="1"/>
  <c r="C23" i="7"/>
  <c r="C24" i="7" s="1"/>
  <c r="C25" i="7" s="1"/>
  <c r="C26" i="7" s="1"/>
  <c r="C27" i="7" s="1"/>
  <c r="C28" i="7" s="1"/>
  <c r="C29" i="7" s="1"/>
  <c r="C30" i="7" s="1"/>
  <c r="C31" i="7" s="1"/>
  <c r="C32" i="7" s="1"/>
  <c r="C33" i="7" s="1"/>
  <c r="C34" i="7" s="1"/>
  <c r="C35" i="7" s="1"/>
  <c r="C36" i="7" s="1"/>
  <c r="K23" i="7" l="1"/>
  <c r="K24" i="7" s="1"/>
  <c r="M24" i="7" s="1"/>
  <c r="M22" i="7"/>
  <c r="A80" i="7"/>
  <c r="A81" i="7" s="1"/>
  <c r="A82" i="7" s="1"/>
  <c r="A83" i="7" s="1"/>
  <c r="A84" i="7" s="1"/>
  <c r="A59" i="7"/>
  <c r="A60" i="7" s="1"/>
  <c r="A61" i="7" s="1"/>
  <c r="A62" i="7" s="1"/>
  <c r="A63" i="7" s="1"/>
  <c r="B32" i="7"/>
  <c r="B33" i="7" s="1"/>
  <c r="B34" i="7" s="1"/>
  <c r="B35" i="7" s="1"/>
  <c r="B36" i="7" s="1"/>
  <c r="C10" i="7"/>
  <c r="D41" i="7"/>
  <c r="D42" i="7" s="1"/>
  <c r="A23" i="7"/>
  <c r="A24" i="7" s="1"/>
  <c r="A25" i="7" s="1"/>
  <c r="A26" i="7" s="1"/>
  <c r="A27" i="7" s="1"/>
  <c r="A28" i="7" s="1"/>
  <c r="A29" i="7" s="1"/>
  <c r="A30" i="7" s="1"/>
  <c r="A31" i="7" s="1"/>
  <c r="A32" i="7" s="1"/>
  <c r="A33" i="7" s="1"/>
  <c r="A34" i="7" s="1"/>
  <c r="A35" i="7" s="1"/>
  <c r="A36" i="7" s="1"/>
  <c r="C13" i="7"/>
  <c r="L23" i="7" l="1"/>
  <c r="M23" i="7"/>
  <c r="K25" i="7"/>
  <c r="L24" i="7"/>
  <c r="C14" i="7"/>
  <c r="D22" i="7" s="1"/>
  <c r="D70" i="7"/>
  <c r="F70" i="7" s="1"/>
  <c r="H22" i="7" l="1"/>
  <c r="C70" i="7" s="1"/>
  <c r="K26" i="7"/>
  <c r="L25" i="7"/>
  <c r="M25" i="7"/>
  <c r="D24" i="7"/>
  <c r="D25" i="7"/>
  <c r="D23" i="7"/>
  <c r="D26" i="7"/>
  <c r="E70" i="7" l="1"/>
  <c r="G70" i="7" s="1"/>
  <c r="K27" i="7"/>
  <c r="L26" i="7"/>
  <c r="M26" i="7"/>
  <c r="E24" i="7"/>
  <c r="F24" i="7" s="1"/>
  <c r="G24" i="7" s="1"/>
  <c r="B72" i="7" s="1"/>
  <c r="E23" i="7"/>
  <c r="F23" i="7" s="1"/>
  <c r="H23" i="7" s="1"/>
  <c r="C71" i="7" s="1"/>
  <c r="E25" i="7"/>
  <c r="F25" i="7" s="1"/>
  <c r="H25" i="7" s="1"/>
  <c r="C73" i="7" s="1"/>
  <c r="E26" i="7"/>
  <c r="F26" i="7" s="1"/>
  <c r="D27" i="7"/>
  <c r="G26" i="7" l="1"/>
  <c r="B74" i="7" s="1"/>
  <c r="D74" i="7" s="1"/>
  <c r="F74" i="7" s="1"/>
  <c r="H24" i="7"/>
  <c r="C72" i="7" s="1"/>
  <c r="H26" i="7"/>
  <c r="C74" i="7" s="1"/>
  <c r="K28" i="7"/>
  <c r="M27" i="7"/>
  <c r="L27" i="7"/>
  <c r="G25" i="7"/>
  <c r="B73" i="7" s="1"/>
  <c r="G23" i="7"/>
  <c r="B71" i="7" s="1"/>
  <c r="B49" i="7"/>
  <c r="D28" i="7"/>
  <c r="E27" i="7"/>
  <c r="F27" i="7" s="1"/>
  <c r="G27" i="7" l="1"/>
  <c r="B75" i="7" s="1"/>
  <c r="H27" i="7"/>
  <c r="C75" i="7" s="1"/>
  <c r="B50" i="7"/>
  <c r="C49" i="7"/>
  <c r="K29" i="7"/>
  <c r="L28" i="7"/>
  <c r="M28" i="7"/>
  <c r="E73" i="7"/>
  <c r="G73" i="7" s="1"/>
  <c r="E72" i="7"/>
  <c r="G72" i="7" s="1"/>
  <c r="D71" i="7"/>
  <c r="F71" i="7" s="1"/>
  <c r="D72" i="7"/>
  <c r="F72" i="7" s="1"/>
  <c r="D73" i="7"/>
  <c r="F73" i="7" s="1"/>
  <c r="E28" i="7"/>
  <c r="F28" i="7" s="1"/>
  <c r="D29" i="7"/>
  <c r="B51" i="7" l="1"/>
  <c r="B52" i="7" s="1"/>
  <c r="B53" i="7" s="1"/>
  <c r="H28" i="7"/>
  <c r="C76" i="7" s="1"/>
  <c r="C50" i="7"/>
  <c r="G28" i="7"/>
  <c r="B76" i="7" s="1"/>
  <c r="K30" i="7"/>
  <c r="M29" i="7"/>
  <c r="L29" i="7"/>
  <c r="E71" i="7"/>
  <c r="G71" i="7" s="1"/>
  <c r="C51" i="7"/>
  <c r="D75" i="7"/>
  <c r="F75" i="7" s="1"/>
  <c r="E74" i="7"/>
  <c r="G74" i="7" s="1"/>
  <c r="E29" i="7"/>
  <c r="F29" i="7" s="1"/>
  <c r="D30" i="7"/>
  <c r="B54" i="7" l="1"/>
  <c r="G29" i="7"/>
  <c r="B77" i="7" s="1"/>
  <c r="H29" i="7"/>
  <c r="C77" i="7" s="1"/>
  <c r="K31" i="7"/>
  <c r="L30" i="7"/>
  <c r="M30" i="7"/>
  <c r="C52" i="7"/>
  <c r="D76" i="7"/>
  <c r="F76" i="7" s="1"/>
  <c r="E75" i="7"/>
  <c r="G75" i="7" s="1"/>
  <c r="D32" i="7"/>
  <c r="D31" i="7"/>
  <c r="E31" i="7" s="1"/>
  <c r="E30" i="7"/>
  <c r="F30" i="7" s="1"/>
  <c r="E34" i="5"/>
  <c r="D34" i="5"/>
  <c r="C34" i="5"/>
  <c r="B34" i="5"/>
  <c r="F34" i="5" s="1"/>
  <c r="E20" i="5"/>
  <c r="E25" i="5" s="1"/>
  <c r="D20" i="5"/>
  <c r="D25" i="5" s="1"/>
  <c r="C20" i="5"/>
  <c r="C25" i="5" s="1"/>
  <c r="B20" i="5"/>
  <c r="B25" i="5" s="1"/>
  <c r="G30" i="7" l="1"/>
  <c r="B78" i="7" s="1"/>
  <c r="H30" i="7"/>
  <c r="C78" i="7" s="1"/>
  <c r="B55" i="7"/>
  <c r="K32" i="7"/>
  <c r="M31" i="7"/>
  <c r="L31" i="7"/>
  <c r="C53" i="7"/>
  <c r="D77" i="7"/>
  <c r="F77" i="7" s="1"/>
  <c r="E76" i="7"/>
  <c r="G76" i="7" s="1"/>
  <c r="E32" i="7"/>
  <c r="F32" i="7" s="1"/>
  <c r="D33" i="7"/>
  <c r="F31" i="7"/>
  <c r="B24" i="5"/>
  <c r="C24" i="5"/>
  <c r="D24" i="5"/>
  <c r="E24" i="5"/>
  <c r="F25" i="5"/>
  <c r="F36" i="5" s="1"/>
  <c r="G31" i="7" l="1"/>
  <c r="B79" i="7" s="1"/>
  <c r="H31" i="7"/>
  <c r="C79" i="7" s="1"/>
  <c r="B56" i="7"/>
  <c r="K33" i="7"/>
  <c r="L32" i="7"/>
  <c r="H32" i="7" s="1"/>
  <c r="C80" i="7" s="1"/>
  <c r="M32" i="7"/>
  <c r="C54" i="7"/>
  <c r="D78" i="7"/>
  <c r="F78" i="7" s="1"/>
  <c r="E78" i="7"/>
  <c r="G78" i="7" s="1"/>
  <c r="E77" i="7"/>
  <c r="G77" i="7" s="1"/>
  <c r="D34" i="7"/>
  <c r="E33" i="7"/>
  <c r="F33" i="7" s="1"/>
  <c r="G32" i="7" l="1"/>
  <c r="B57" i="7"/>
  <c r="B58" i="7" s="1"/>
  <c r="K34" i="7"/>
  <c r="L33" i="7"/>
  <c r="G33" i="7" s="1"/>
  <c r="B81" i="7" s="1"/>
  <c r="M33" i="7"/>
  <c r="C55" i="7"/>
  <c r="D79" i="7"/>
  <c r="F79" i="7" s="1"/>
  <c r="D35" i="7"/>
  <c r="E34" i="7"/>
  <c r="F34" i="7" s="1"/>
  <c r="H33" i="7" l="1"/>
  <c r="C81" i="7" s="1"/>
  <c r="B80" i="7"/>
  <c r="D80" i="7" s="1"/>
  <c r="F80" i="7" s="1"/>
  <c r="B59" i="7"/>
  <c r="K35" i="7"/>
  <c r="L34" i="7"/>
  <c r="G34" i="7" s="1"/>
  <c r="B82" i="7" s="1"/>
  <c r="M34" i="7"/>
  <c r="C56" i="7"/>
  <c r="D81" i="7"/>
  <c r="F81" i="7" s="1"/>
  <c r="E35" i="7"/>
  <c r="F35" i="7" s="1"/>
  <c r="E80" i="7"/>
  <c r="G80" i="7" s="1"/>
  <c r="E79" i="7"/>
  <c r="G79" i="7" s="1"/>
  <c r="D36" i="7"/>
  <c r="H34" i="7" l="1"/>
  <c r="K36" i="7"/>
  <c r="M35" i="7"/>
  <c r="L35" i="7"/>
  <c r="G35" i="7" s="1"/>
  <c r="B83" i="7" s="1"/>
  <c r="C57" i="7"/>
  <c r="D82" i="7"/>
  <c r="F82" i="7" s="1"/>
  <c r="E81" i="7"/>
  <c r="G81" i="7" s="1"/>
  <c r="E36" i="7"/>
  <c r="F36" i="7" s="1"/>
  <c r="C82" i="7" l="1"/>
  <c r="E82" i="7" s="1"/>
  <c r="G82" i="7" s="1"/>
  <c r="B60" i="7"/>
  <c r="H35" i="7"/>
  <c r="C83" i="7" s="1"/>
  <c r="M36" i="7"/>
  <c r="B63" i="7" s="1"/>
  <c r="L36" i="7"/>
  <c r="G36" i="7" s="1"/>
  <c r="B84" i="7" s="1"/>
  <c r="C58" i="7"/>
  <c r="D83" i="7"/>
  <c r="F83" i="7" s="1"/>
  <c r="B61" i="7" l="1"/>
  <c r="H36" i="7"/>
  <c r="C84" i="7" s="1"/>
  <c r="C59" i="7"/>
  <c r="D84" i="7"/>
  <c r="F84" i="7" s="1"/>
  <c r="F85" i="7" s="1"/>
  <c r="E83" i="7"/>
  <c r="G83" i="7" s="1"/>
  <c r="B62" i="7" l="1"/>
  <c r="C60" i="7"/>
  <c r="E84" i="7"/>
  <c r="G84" i="7" s="1"/>
  <c r="G85" i="7" s="1"/>
  <c r="G86" i="7" s="1"/>
  <c r="C61" i="7" l="1"/>
  <c r="C62" i="7" l="1"/>
  <c r="C63" i="7"/>
  <c r="C64" i="7" l="1"/>
</calcChain>
</file>

<file path=xl/sharedStrings.xml><?xml version="1.0" encoding="utf-8"?>
<sst xmlns="http://schemas.openxmlformats.org/spreadsheetml/2006/main" count="110" uniqueCount="85">
  <si>
    <t>Increase in UCLL price</t>
  </si>
  <si>
    <t>Assumed pass-through</t>
  </si>
  <si>
    <t>Average retail copper price</t>
  </si>
  <si>
    <t>Discount rate</t>
  </si>
  <si>
    <t>Increase in UCLL price per month</t>
  </si>
  <si>
    <t>Increase in UCLL price per annum</t>
  </si>
  <si>
    <t>Copper/UFB cross-elasticity (Ingo 2013, para. 12)</t>
  </si>
  <si>
    <t>UFB penetration</t>
  </si>
  <si>
    <t>year</t>
  </si>
  <si>
    <t>year #</t>
  </si>
  <si>
    <t>subscript 0 refers to UFB demand under the scenario of no UCLL uplift</t>
  </si>
  <si>
    <t>subscript 1 refers to UFB demand under the scenario of UCLL uplift</t>
  </si>
  <si>
    <t>Q</t>
  </si>
  <si>
    <t>add'l spend</t>
  </si>
  <si>
    <t>(see https://www.chorus.co.nz/file/52452/3.-Management-commentary.pdf )</t>
  </si>
  <si>
    <r>
      <t xml:space="preserve">Chorus total fixedline connections </t>
    </r>
    <r>
      <rPr>
        <i/>
        <sz val="8"/>
        <color theme="1"/>
        <rFont val="Calibri"/>
        <family val="2"/>
        <scheme val="minor"/>
      </rPr>
      <t>less fibre</t>
    </r>
    <r>
      <rPr>
        <sz val="8"/>
        <color theme="1"/>
        <rFont val="Calibri"/>
        <family val="2"/>
        <scheme val="minor"/>
      </rPr>
      <t>, 30 June 2014 (Chorus Management Commentary, p.16) 1,739,000 lines</t>
    </r>
  </si>
  <si>
    <t>http://stakeholders.ofcom.org.uk/binaries/consultations/mobile_call_termination/statement/Statement_on_Wholesale_Mobi1.pdf</t>
  </si>
  <si>
    <t>ppm</t>
  </si>
  <si>
    <t>network externality surcharge included in MTR:</t>
  </si>
  <si>
    <t>(Annex D, page 172)</t>
  </si>
  <si>
    <t>Ofcom, Wholesale Mobile Voice Call Termination - Statement, 1 June 2004</t>
  </si>
  <si>
    <t>Vodafone</t>
  </si>
  <si>
    <t>O2</t>
  </si>
  <si>
    <t>T-Mobile</t>
  </si>
  <si>
    <t>Orange</t>
  </si>
  <si>
    <t>2005 Q1</t>
  </si>
  <si>
    <t>2005 Q2</t>
  </si>
  <si>
    <t>2005 Q3</t>
  </si>
  <si>
    <t>2005 Q4</t>
  </si>
  <si>
    <t>http://stakeholders.ofcom.org.uk/binaries/research/cmr/tablessep06.pdf</t>
  </si>
  <si>
    <t>Ofcom, Telecommunications Market Data Tables</t>
  </si>
  <si>
    <t>Interconnection call volumes (minutes) (page 20)</t>
  </si>
  <si>
    <t>TOTAL</t>
  </si>
  <si>
    <t>LRIC++ MTR (ppm)</t>
  </si>
  <si>
    <r>
      <t>Implied interconnection call revenues (</t>
    </r>
    <r>
      <rPr>
        <sz val="8"/>
        <color theme="1"/>
        <rFont val="Calibri"/>
        <family val="2"/>
      </rPr>
      <t>£)</t>
    </r>
  </si>
  <si>
    <r>
      <t>Retail mobile call revenues (</t>
    </r>
    <r>
      <rPr>
        <sz val="8"/>
        <color theme="1"/>
        <rFont val="Calibri"/>
        <family val="2"/>
      </rPr>
      <t>£</t>
    </r>
    <r>
      <rPr>
        <sz val="8"/>
        <color theme="1"/>
        <rFont val="Calibri"/>
        <family val="2"/>
        <scheme val="minor"/>
      </rPr>
      <t>) (page 17)</t>
    </r>
  </si>
  <si>
    <t>network externality value</t>
  </si>
  <si>
    <t>Network externality as a % of retail call revenues</t>
  </si>
  <si>
    <t>Price increase to DSL and POTS users</t>
  </si>
  <si>
    <t>NPV gain</t>
  </si>
  <si>
    <t>NPV consumer welfare</t>
  </si>
  <si>
    <t>UFB demand</t>
  </si>
  <si>
    <t>% change</t>
  </si>
  <si>
    <t>Network effect % change</t>
  </si>
  <si>
    <t>(b)</t>
  </si>
  <si>
    <r>
      <t>No UCLL uplift Q</t>
    </r>
    <r>
      <rPr>
        <vertAlign val="subscript"/>
        <sz val="10"/>
        <color theme="1"/>
        <rFont val="Calibri"/>
        <family val="2"/>
        <scheme val="minor"/>
      </rPr>
      <t>0</t>
    </r>
  </si>
  <si>
    <r>
      <t>UCLL uplift Q</t>
    </r>
    <r>
      <rPr>
        <vertAlign val="subscript"/>
        <sz val="10"/>
        <color theme="1"/>
        <rFont val="Calibri"/>
        <family val="2"/>
        <scheme val="minor"/>
      </rPr>
      <t>1</t>
    </r>
    <r>
      <rPr>
        <sz val="10"/>
        <color theme="1"/>
        <rFont val="Calibri"/>
        <family val="2"/>
        <scheme val="minor"/>
      </rPr>
      <t xml:space="preserve"> (a)</t>
    </r>
  </si>
  <si>
    <t>No UCLL uplift (adjusted)</t>
  </si>
  <si>
    <t>(a)</t>
  </si>
  <si>
    <t>(c )</t>
  </si>
  <si>
    <t>(d) = (a) x (1+(c ))</t>
  </si>
  <si>
    <t>(e) = (b) x (1+(c ))</t>
  </si>
  <si>
    <t>UCLL uplift (adjusted)</t>
  </si>
  <si>
    <t>Private Welfare losses (from higher cost of copper-based services)</t>
  </si>
  <si>
    <t>Potential quantification of private and externality benefits and costs</t>
  </si>
  <si>
    <t>Externality effects</t>
  </si>
  <si>
    <t>Consumer UFB expenditure</t>
  </si>
  <si>
    <t>no UCLL uplift</t>
  </si>
  <si>
    <t>UCLL uplift</t>
  </si>
  <si>
    <t>NPV</t>
  </si>
  <si>
    <t>cross-elasticity</t>
  </si>
  <si>
    <t>UFB demand 2015-2029 (15 years)</t>
  </si>
  <si>
    <t>Fixed line connections and additional expenditure 2015-2029 (15 years)</t>
  </si>
  <si>
    <t>Externality value</t>
  </si>
  <si>
    <t>Inputs required:</t>
  </si>
  <si>
    <t>calculated % increase in retail copper price</t>
  </si>
  <si>
    <t>calculated % increase in UFB demand</t>
  </si>
  <si>
    <t>Annual UFB expenditure</t>
  </si>
  <si>
    <t>Externality value (as % of annual UFB expenditure)</t>
  </si>
  <si>
    <t>Annual growth in UFB demand (subscriptions)</t>
  </si>
  <si>
    <t>Number of dwellings</t>
  </si>
  <si>
    <t>http://www.stats.govt.nz/browse_for_stats/population/estimates_and_projections/DwellingHouseholdEstimates_HOTPDec14qtr.aspx</t>
  </si>
  <si>
    <t>Annual growth in number of dwellings</t>
  </si>
  <si>
    <t>min copper demand (20%)</t>
  </si>
  <si>
    <t>max UFB demand (80%)</t>
  </si>
  <si>
    <t>annual reduction in copper demand, based on growth in UFB</t>
  </si>
  <si>
    <t>2014 dwellings:</t>
  </si>
  <si>
    <t>(based on statsnz growth 2004-2014)</t>
  </si>
  <si>
    <t>(Vogelsang 2013 para 12, Cambini 2015 Section 2)</t>
  </si>
  <si>
    <t>UFB demand not to exceed 80% of dwellings (Copper demand not to be less than 20% of dwellings)</t>
  </si>
  <si>
    <r>
      <rPr>
        <b/>
        <sz val="11"/>
        <color theme="1"/>
        <rFont val="Calibri"/>
        <family val="2"/>
        <scheme val="minor"/>
      </rPr>
      <t xml:space="preserve">Model overview:
</t>
    </r>
    <r>
      <rPr>
        <sz val="11"/>
        <color theme="1"/>
        <rFont val="Calibri"/>
        <family val="2"/>
        <scheme val="minor"/>
      </rPr>
      <t xml:space="preserve">
The purpose of the quantitative model is to consider the potential welfare consequences of increasing the wholesale price for the UCLL service above the central estimate produced by our TSLRIC model.
It is assumed that the TSLRIC monthly price is uplifted by $1, and that this increase in the UCLL price is passed through into higher retail prices for UCLL-based services. As a result, there is likely to be faster migration of end users away from UCLL-based services and towards fibre-based services. In other words, demand for UFB subscriptions is likely to be higher under the scenario where there is an uplift to the UCLL price. This higher demand is likely to increase consumer welfare through an 'externality' benefit. Offsetting this benefit will be the higher cost paid by those subscribers who remain on UCLL-based services.
The model estimates the gain in consumer welfare from faster migration to fibre (eternality effects) and the loss in consumer welfare from higher retail prices for UCLL-based services.
The faster migration from copper to fibre is measured using an estimated cross-price elasticity of fibre demand with respect to DSL prices. UFB demand is allowed to increase over the 15 years, subject to a cap of 80% of households (to reflect the geographic coverage of the UFB, which is assumed to be 80% coverage in line with the government's plans to increase UFB from 75% to 80%). Similarly, demand for UCLL-based services is assumed to have a floor of 20% of households.</t>
    </r>
  </si>
  <si>
    <t>for the adjusted demand, see Professor Cambini (16 March 2015), page 11-12.</t>
  </si>
  <si>
    <t>Sensitivity</t>
  </si>
  <si>
    <t>Network externality as % of UFB expenditure</t>
  </si>
  <si>
    <t>Cross-elasticity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</si>
</sst>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_-&quot;$&quot;* #,##0_-;\-&quot;$&quot;* #,##0_-;_-&quot;$&quot;* &quot;-&quot;??_-;_-@_-"/>
    <numFmt numFmtId="167" formatCode="0.0"/>
    <numFmt numFmtId="168" formatCode="#,##0\ "/>
    <numFmt numFmtId="169" formatCode="mmm\-yyyy"/>
    <numFmt numFmtId="170" formatCode="_(* #,##0.00_);_(* \(#,##0.00\);_(* &quot;-&quot;??_);_(@_)"/>
  </numFmts>
  <fonts count="25">
    <font>
      <sz val="11"/>
      <color theme="1"/>
      <name val="Calibri"/>
      <family val="2"/>
      <scheme val="minor"/>
    </font>
    <font>
      <sz val="11"/>
      <color theme="1"/>
      <name val="Calibri"/>
      <family val="2"/>
      <scheme val="minor"/>
    </font>
    <font>
      <vertAlign val="subscript"/>
      <sz val="10"/>
      <color theme="1"/>
      <name val="Calibri"/>
      <family val="2"/>
      <scheme val="minor"/>
    </font>
    <font>
      <sz val="8"/>
      <color theme="1"/>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i/>
      <sz val="8"/>
      <color theme="1"/>
      <name val="Calibri"/>
      <family val="2"/>
      <scheme val="minor"/>
    </font>
    <font>
      <u/>
      <sz val="11"/>
      <color theme="10"/>
      <name val="Calibri"/>
      <family val="2"/>
      <scheme val="minor"/>
    </font>
    <font>
      <sz val="8"/>
      <color theme="1"/>
      <name val="Calibri"/>
      <family val="2"/>
    </font>
    <font>
      <sz val="10"/>
      <color theme="1"/>
      <name val="Calibri"/>
      <family val="2"/>
      <scheme val="minor"/>
    </font>
    <font>
      <i/>
      <sz val="8"/>
      <color theme="1"/>
      <name val="Calibri"/>
      <family val="2"/>
    </font>
    <font>
      <sz val="8"/>
      <color rgb="FFFF0000"/>
      <name val="Calibri"/>
      <family val="2"/>
      <scheme val="minor"/>
    </font>
    <font>
      <b/>
      <sz val="11"/>
      <color theme="1"/>
      <name val="Calibri"/>
      <family val="2"/>
      <scheme val="minor"/>
    </font>
    <font>
      <sz val="10"/>
      <name val="Helv"/>
    </font>
    <font>
      <sz val="8"/>
      <name val="Arial Mäori"/>
      <family val="2"/>
    </font>
    <font>
      <sz val="10"/>
      <name val="Arial"/>
      <family val="2"/>
    </font>
    <font>
      <sz val="8"/>
      <name val="Arial"/>
      <family val="2"/>
    </font>
    <font>
      <sz val="10"/>
      <name val="Times New Roman"/>
      <family val="1"/>
    </font>
    <font>
      <u/>
      <sz val="10"/>
      <color indexed="12"/>
      <name val="Arial"/>
      <family val="2"/>
    </font>
    <font>
      <u/>
      <sz val="10"/>
      <color theme="10"/>
      <name val="Arial Mäori"/>
      <family val="2"/>
    </font>
    <font>
      <u/>
      <sz val="10"/>
      <color theme="10"/>
      <name val="Arial"/>
      <family val="2"/>
    </font>
    <font>
      <b/>
      <sz val="10"/>
      <color rgb="FF000000"/>
      <name val="Verdana"/>
      <family val="2"/>
    </font>
    <font>
      <sz val="10"/>
      <color theme="1"/>
      <name val="Arial Mäori"/>
      <family val="2"/>
    </font>
    <font>
      <b/>
      <sz val="8"/>
      <color theme="1"/>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23">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14" fillId="0" borderId="0"/>
    <xf numFmtId="4" fontId="14" fillId="0" borderId="0" applyFont="0" applyFill="0" applyBorder="0" applyAlignment="0" applyProtection="0"/>
    <xf numFmtId="170" fontId="18"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69" fontId="22"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8" fillId="0" borderId="0"/>
    <xf numFmtId="0" fontId="18" fillId="0" borderId="0"/>
    <xf numFmtId="0" fontId="18" fillId="0" borderId="0"/>
    <xf numFmtId="0" fontId="23" fillId="0" borderId="0"/>
    <xf numFmtId="0" fontId="18" fillId="0" borderId="0"/>
    <xf numFmtId="0" fontId="23" fillId="0" borderId="0"/>
    <xf numFmtId="0" fontId="23" fillId="0" borderId="0"/>
    <xf numFmtId="0" fontId="23"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23" fillId="0" borderId="0"/>
    <xf numFmtId="0" fontId="18" fillId="0" borderId="0"/>
    <xf numFmtId="0" fontId="18" fillId="0" borderId="0"/>
    <xf numFmtId="0" fontId="18" fillId="0" borderId="0"/>
    <xf numFmtId="0" fontId="23" fillId="0" borderId="0"/>
    <xf numFmtId="0" fontId="23"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7" fillId="0" borderId="0"/>
    <xf numFmtId="0" fontId="17"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4" fillId="0" borderId="0"/>
    <xf numFmtId="0" fontId="22" fillId="0" borderId="0">
      <alignment vertical="center" wrapText="1"/>
    </xf>
  </cellStyleXfs>
  <cellXfs count="138">
    <xf numFmtId="0" fontId="0" fillId="0" borderId="0" xfId="0"/>
    <xf numFmtId="165" fontId="3" fillId="0" borderId="0" xfId="2" applyNumberFormat="1" applyFont="1"/>
    <xf numFmtId="165" fontId="3" fillId="0" borderId="0" xfId="0" applyNumberFormat="1" applyFont="1"/>
    <xf numFmtId="166" fontId="3" fillId="0" borderId="0" xfId="0" applyNumberFormat="1" applyFont="1"/>
    <xf numFmtId="6" fontId="3" fillId="0" borderId="0" xfId="0" applyNumberFormat="1" applyFont="1"/>
    <xf numFmtId="3" fontId="3" fillId="0" borderId="0" xfId="0" applyNumberFormat="1" applyFont="1"/>
    <xf numFmtId="0" fontId="3"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3" fillId="3" borderId="0" xfId="0" applyFont="1" applyFill="1" applyAlignment="1">
      <alignment vertical="top"/>
    </xf>
    <xf numFmtId="0" fontId="3" fillId="3" borderId="0" xfId="0" applyFont="1" applyFill="1"/>
    <xf numFmtId="10" fontId="3" fillId="3" borderId="0" xfId="1" applyNumberFormat="1" applyFont="1" applyFill="1"/>
    <xf numFmtId="10" fontId="3" fillId="3" borderId="0" xfId="0" applyNumberFormat="1" applyFont="1" applyFill="1"/>
    <xf numFmtId="0" fontId="4" fillId="2" borderId="0" xfId="0" applyFont="1" applyFill="1"/>
    <xf numFmtId="0" fontId="3" fillId="2" borderId="0" xfId="0" applyFont="1" applyFill="1"/>
    <xf numFmtId="0" fontId="3" fillId="4"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0" fontId="3" fillId="4" borderId="1" xfId="0" applyFont="1" applyFill="1" applyBorder="1"/>
    <xf numFmtId="3" fontId="3" fillId="4" borderId="1" xfId="0" applyNumberFormat="1" applyFont="1" applyFill="1" applyBorder="1"/>
    <xf numFmtId="165" fontId="3" fillId="4" borderId="1" xfId="2" applyNumberFormat="1" applyFont="1" applyFill="1" applyBorder="1"/>
    <xf numFmtId="0" fontId="3" fillId="0" borderId="0" xfId="0" applyFont="1" applyFill="1"/>
    <xf numFmtId="0" fontId="4" fillId="5" borderId="0" xfId="0" applyFont="1" applyFill="1"/>
    <xf numFmtId="0" fontId="3" fillId="5" borderId="0" xfId="0" applyFont="1" applyFill="1"/>
    <xf numFmtId="0" fontId="3" fillId="5" borderId="1" xfId="0" applyFont="1" applyFill="1" applyBorder="1" applyAlignment="1">
      <alignment horizontal="center"/>
    </xf>
    <xf numFmtId="0" fontId="3" fillId="5" borderId="1" xfId="0" applyFont="1" applyFill="1" applyBorder="1"/>
    <xf numFmtId="0" fontId="3" fillId="5" borderId="0" xfId="0" applyFont="1" applyFill="1" applyBorder="1"/>
    <xf numFmtId="3" fontId="3" fillId="5" borderId="1" xfId="0" applyNumberFormat="1" applyFont="1" applyFill="1" applyBorder="1"/>
    <xf numFmtId="166" fontId="3" fillId="5" borderId="1" xfId="0" applyNumberFormat="1" applyFont="1" applyFill="1" applyBorder="1"/>
    <xf numFmtId="165" fontId="3" fillId="5" borderId="0" xfId="2" applyNumberFormat="1" applyFont="1" applyFill="1"/>
    <xf numFmtId="0" fontId="3" fillId="0" borderId="0" xfId="0" applyFont="1"/>
    <xf numFmtId="0" fontId="3" fillId="0" borderId="0" xfId="0" applyFont="1" applyFill="1" applyBorder="1" applyAlignment="1">
      <alignment vertical="center"/>
    </xf>
    <xf numFmtId="15" fontId="3" fillId="0" borderId="0" xfId="0" applyNumberFormat="1" applyFont="1"/>
    <xf numFmtId="0" fontId="4" fillId="0" borderId="0" xfId="0" applyFont="1"/>
    <xf numFmtId="0" fontId="4" fillId="0" borderId="0" xfId="0" applyFont="1" applyAlignment="1">
      <alignment horizontal="center"/>
    </xf>
    <xf numFmtId="0" fontId="3" fillId="5" borderId="0" xfId="0" applyFont="1" applyFill="1" applyAlignment="1">
      <alignment horizontal="left"/>
    </xf>
    <xf numFmtId="165" fontId="3" fillId="5" borderId="0" xfId="0" applyNumberFormat="1" applyFont="1" applyFill="1"/>
    <xf numFmtId="0" fontId="3" fillId="0" borderId="0" xfId="0" applyFont="1" applyAlignment="1">
      <alignment horizontal="left"/>
    </xf>
    <xf numFmtId="10" fontId="4" fillId="6" borderId="0" xfId="1" applyNumberFormat="1" applyFont="1" applyFill="1"/>
    <xf numFmtId="0" fontId="8" fillId="0" borderId="0" xfId="4"/>
    <xf numFmtId="17" fontId="3" fillId="0" borderId="0" xfId="0" applyNumberFormat="1" applyFont="1"/>
    <xf numFmtId="6" fontId="3" fillId="0" borderId="0" xfId="0" applyNumberFormat="1" applyFont="1" applyFill="1"/>
    <xf numFmtId="0" fontId="4" fillId="0" borderId="0" xfId="0" applyFont="1" applyFill="1" applyAlignment="1"/>
    <xf numFmtId="0" fontId="3" fillId="0" borderId="0" xfId="0" applyFont="1" applyAlignment="1"/>
    <xf numFmtId="17" fontId="3" fillId="0" borderId="0" xfId="0" applyNumberFormat="1" applyFont="1" applyAlignment="1"/>
    <xf numFmtId="165" fontId="3" fillId="0" borderId="0" xfId="2" applyNumberFormat="1" applyFont="1" applyAlignment="1"/>
    <xf numFmtId="166" fontId="3" fillId="0" borderId="0" xfId="3" applyNumberFormat="1" applyFont="1" applyAlignment="1"/>
    <xf numFmtId="3" fontId="3" fillId="0" borderId="0" xfId="0" applyNumberFormat="1" applyFont="1" applyAlignment="1"/>
    <xf numFmtId="43" fontId="3" fillId="0" borderId="0" xfId="2" applyFont="1" applyAlignment="1"/>
    <xf numFmtId="43" fontId="3" fillId="0" borderId="0" xfId="0" applyNumberFormat="1" applyFont="1" applyAlignment="1"/>
    <xf numFmtId="10" fontId="3" fillId="0" borderId="0" xfId="0" applyNumberFormat="1" applyFont="1" applyAlignment="1"/>
    <xf numFmtId="0" fontId="12" fillId="0" borderId="0" xfId="0" applyFont="1"/>
    <xf numFmtId="0" fontId="3" fillId="4" borderId="2" xfId="0" applyFont="1" applyFill="1" applyBorder="1" applyAlignment="1">
      <alignment horizontal="center" vertical="center"/>
    </xf>
    <xf numFmtId="165" fontId="3" fillId="4" borderId="2" xfId="2" applyNumberFormat="1" applyFont="1" applyFill="1" applyBorder="1"/>
    <xf numFmtId="0" fontId="7" fillId="4" borderId="1" xfId="0" applyFont="1" applyFill="1" applyBorder="1" applyAlignment="1">
      <alignment horizontal="center"/>
    </xf>
    <xf numFmtId="2" fontId="3" fillId="4" borderId="1" xfId="0" applyNumberFormat="1" applyFont="1" applyFill="1" applyBorder="1"/>
    <xf numFmtId="0" fontId="3" fillId="0" borderId="0" xfId="0" applyFont="1" applyFill="1" applyBorder="1"/>
    <xf numFmtId="3" fontId="3" fillId="4" borderId="1" xfId="0" quotePrefix="1" applyNumberFormat="1" applyFont="1" applyFill="1" applyBorder="1" applyAlignment="1">
      <alignment horizontal="center" vertical="center"/>
    </xf>
    <xf numFmtId="0" fontId="3" fillId="4" borderId="2" xfId="0" quotePrefix="1" applyFont="1" applyFill="1" applyBorder="1" applyAlignment="1">
      <alignment horizontal="center" vertical="center"/>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xf>
    <xf numFmtId="0" fontId="4" fillId="0" borderId="0" xfId="0" applyFont="1" applyFill="1"/>
    <xf numFmtId="0" fontId="7" fillId="0" borderId="0" xfId="0" applyFont="1"/>
    <xf numFmtId="0" fontId="11" fillId="0" borderId="0" xfId="0" applyFont="1" applyFill="1" applyBorder="1" applyAlignment="1">
      <alignment vertical="center"/>
    </xf>
    <xf numFmtId="43" fontId="3" fillId="0" borderId="0" xfId="2" applyNumberFormat="1" applyFont="1"/>
    <xf numFmtId="43" fontId="3" fillId="0" borderId="0" xfId="2" applyNumberFormat="1" applyFont="1" applyAlignment="1"/>
    <xf numFmtId="9" fontId="3" fillId="4" borderId="1" xfId="1" applyNumberFormat="1" applyFont="1" applyFill="1" applyBorder="1"/>
    <xf numFmtId="8" fontId="3" fillId="0" borderId="0" xfId="0" applyNumberFormat="1" applyFont="1"/>
    <xf numFmtId="0" fontId="3" fillId="0" borderId="0" xfId="0" applyFont="1" applyBorder="1" applyAlignment="1"/>
    <xf numFmtId="8" fontId="3" fillId="0" borderId="0" xfId="0" applyNumberFormat="1" applyFont="1" applyFill="1"/>
    <xf numFmtId="0" fontId="4" fillId="8" borderId="0" xfId="0" applyFont="1" applyFill="1" applyAlignment="1">
      <alignment vertical="center"/>
    </xf>
    <xf numFmtId="6" fontId="3" fillId="0" borderId="3" xfId="0" applyNumberFormat="1" applyFont="1" applyBorder="1"/>
    <xf numFmtId="0" fontId="4" fillId="9" borderId="0" xfId="0" applyFont="1" applyFill="1"/>
    <xf numFmtId="0" fontId="3" fillId="9" borderId="0" xfId="0" applyFont="1" applyFill="1"/>
    <xf numFmtId="0" fontId="3" fillId="0" borderId="0" xfId="0" applyFont="1" applyAlignment="1">
      <alignment horizontal="right"/>
    </xf>
    <xf numFmtId="9" fontId="3" fillId="0" borderId="0" xfId="1" applyFont="1"/>
    <xf numFmtId="167" fontId="3" fillId="0" borderId="0" xfId="0" applyNumberFormat="1" applyFont="1"/>
    <xf numFmtId="0" fontId="3" fillId="7" borderId="2" xfId="0" applyFont="1" applyFill="1" applyBorder="1" applyAlignment="1">
      <alignment horizontal="center" vertical="center"/>
    </xf>
    <xf numFmtId="0" fontId="3" fillId="7" borderId="2" xfId="0" applyFont="1" applyFill="1" applyBorder="1"/>
    <xf numFmtId="3" fontId="3" fillId="7" borderId="6" xfId="0" applyNumberFormat="1" applyFont="1" applyFill="1" applyBorder="1" applyAlignment="1">
      <alignment horizontal="center" vertical="center"/>
    </xf>
    <xf numFmtId="0" fontId="3" fillId="7" borderId="7" xfId="0" applyFont="1" applyFill="1" applyBorder="1" applyAlignment="1">
      <alignment horizontal="center" vertical="center"/>
    </xf>
    <xf numFmtId="3" fontId="3" fillId="7" borderId="6" xfId="0" applyNumberFormat="1" applyFont="1" applyFill="1" applyBorder="1"/>
    <xf numFmtId="166" fontId="3" fillId="7" borderId="6" xfId="0" applyNumberFormat="1" applyFont="1" applyFill="1" applyBorder="1"/>
    <xf numFmtId="166" fontId="3" fillId="7" borderId="7" xfId="0" applyNumberFormat="1" applyFont="1" applyFill="1" applyBorder="1"/>
    <xf numFmtId="166" fontId="3" fillId="7" borderId="8" xfId="0" applyNumberFormat="1" applyFont="1" applyFill="1" applyBorder="1"/>
    <xf numFmtId="166" fontId="3" fillId="7" borderId="9" xfId="0" applyNumberFormat="1" applyFont="1" applyFill="1" applyBorder="1"/>
    <xf numFmtId="0" fontId="3" fillId="0" borderId="3" xfId="0" applyFont="1" applyBorder="1" applyAlignment="1">
      <alignment horizontal="right"/>
    </xf>
    <xf numFmtId="0" fontId="3" fillId="10" borderId="0" xfId="0" applyFont="1" applyFill="1"/>
    <xf numFmtId="164" fontId="3" fillId="0" borderId="0" xfId="1" applyNumberFormat="1" applyFont="1" applyBorder="1" applyAlignment="1"/>
    <xf numFmtId="0" fontId="7" fillId="5" borderId="0" xfId="0" applyFont="1" applyFill="1"/>
    <xf numFmtId="0" fontId="3" fillId="0" borderId="10" xfId="0" applyFont="1" applyFill="1" applyBorder="1" applyAlignment="1">
      <alignment vertical="center"/>
    </xf>
    <xf numFmtId="0" fontId="3" fillId="0" borderId="10" xfId="0" applyFont="1" applyBorder="1" applyAlignment="1">
      <alignment horizontal="center" vertical="center" wrapText="1"/>
    </xf>
    <xf numFmtId="0" fontId="3" fillId="0" borderId="10" xfId="0" applyFont="1" applyBorder="1"/>
    <xf numFmtId="0" fontId="3" fillId="0" borderId="10" xfId="0" applyFont="1" applyFill="1" applyBorder="1"/>
    <xf numFmtId="168" fontId="15" fillId="0" borderId="10" xfId="6" applyNumberFormat="1" applyFont="1" applyBorder="1" applyAlignment="1">
      <alignment horizontal="right"/>
    </xf>
    <xf numFmtId="165" fontId="3" fillId="0" borderId="10" xfId="2" applyNumberFormat="1" applyFont="1" applyBorder="1"/>
    <xf numFmtId="0" fontId="4" fillId="6" borderId="1" xfId="0" applyFont="1" applyFill="1" applyBorder="1"/>
    <xf numFmtId="6" fontId="4" fillId="6" borderId="1" xfId="0" applyNumberFormat="1" applyFont="1" applyFill="1" applyBorder="1"/>
    <xf numFmtId="0" fontId="4" fillId="10" borderId="0" xfId="0" applyFont="1" applyFill="1"/>
    <xf numFmtId="0" fontId="4" fillId="6" borderId="1" xfId="0" applyFont="1" applyFill="1" applyBorder="1" applyAlignment="1">
      <alignment horizontal="right"/>
    </xf>
    <xf numFmtId="0" fontId="3" fillId="5" borderId="1" xfId="0" applyFont="1" applyFill="1" applyBorder="1" applyAlignment="1">
      <alignment horizontal="right"/>
    </xf>
    <xf numFmtId="44" fontId="3" fillId="0" borderId="0" xfId="0" applyNumberFormat="1" applyFont="1" applyAlignment="1"/>
    <xf numFmtId="8" fontId="3" fillId="0" borderId="0" xfId="0" applyNumberFormat="1" applyFont="1" applyAlignment="1"/>
    <xf numFmtId="0" fontId="0" fillId="11" borderId="0" xfId="0" applyFill="1"/>
    <xf numFmtId="0" fontId="0" fillId="11" borderId="0" xfId="0" applyFill="1" applyAlignment="1">
      <alignment vertical="top"/>
    </xf>
    <xf numFmtId="0" fontId="3" fillId="7" borderId="0" xfId="0" applyFont="1" applyFill="1" applyAlignment="1">
      <alignment vertical="top"/>
    </xf>
    <xf numFmtId="0" fontId="3" fillId="7" borderId="0" xfId="0" applyFont="1" applyFill="1"/>
    <xf numFmtId="9" fontId="3" fillId="7" borderId="0" xfId="0" applyNumberFormat="1" applyFont="1" applyFill="1"/>
    <xf numFmtId="6" fontId="3" fillId="7" borderId="0" xfId="0" applyNumberFormat="1" applyFont="1" applyFill="1"/>
    <xf numFmtId="9" fontId="3" fillId="7" borderId="0" xfId="1" applyFont="1" applyFill="1"/>
    <xf numFmtId="2" fontId="3" fillId="7" borderId="0" xfId="0" applyNumberFormat="1" applyFont="1" applyFill="1"/>
    <xf numFmtId="8" fontId="3" fillId="7" borderId="0" xfId="0" applyNumberFormat="1" applyFont="1" applyFill="1"/>
    <xf numFmtId="165" fontId="3" fillId="7" borderId="0" xfId="2" applyNumberFormat="1" applyFont="1" applyFill="1"/>
    <xf numFmtId="43" fontId="4" fillId="0" borderId="1" xfId="2" applyNumberFormat="1" applyFont="1" applyBorder="1" applyAlignment="1">
      <alignment horizontal="center"/>
    </xf>
    <xf numFmtId="166" fontId="3" fillId="0" borderId="0" xfId="3" applyNumberFormat="1" applyFont="1" applyFill="1" applyAlignment="1"/>
    <xf numFmtId="44" fontId="3" fillId="0" borderId="0" xfId="0" applyNumberFormat="1" applyFont="1" applyFill="1" applyAlignment="1"/>
    <xf numFmtId="166" fontId="3" fillId="0" borderId="1" xfId="3" applyNumberFormat="1" applyFont="1" applyBorder="1" applyAlignment="1">
      <alignment horizontal="center"/>
    </xf>
    <xf numFmtId="43" fontId="4" fillId="0" borderId="0" xfId="2" applyNumberFormat="1" applyFont="1" applyBorder="1" applyAlignment="1">
      <alignment horizontal="center"/>
    </xf>
    <xf numFmtId="43" fontId="3" fillId="0" borderId="1" xfId="2" applyFont="1" applyBorder="1" applyAlignment="1">
      <alignment horizontal="center" vertical="center"/>
    </xf>
    <xf numFmtId="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6" fontId="9" fillId="0" borderId="1" xfId="0" applyNumberFormat="1" applyFont="1" applyBorder="1" applyAlignment="1">
      <alignment horizontal="right" vertical="center" wrapText="1"/>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43" fontId="3" fillId="5" borderId="1" xfId="2" applyFont="1" applyFill="1" applyBorder="1" applyAlignment="1">
      <alignment horizontal="center" vertical="center"/>
    </xf>
    <xf numFmtId="166" fontId="3" fillId="5" borderId="1" xfId="3" applyNumberFormat="1" applyFont="1" applyFill="1" applyBorder="1" applyAlignment="1">
      <alignment horizontal="center"/>
    </xf>
    <xf numFmtId="0" fontId="9" fillId="5" borderId="1" xfId="0" applyFont="1" applyFill="1" applyBorder="1" applyAlignment="1">
      <alignment horizontal="center" vertical="center" wrapText="1"/>
    </xf>
    <xf numFmtId="6" fontId="9" fillId="5" borderId="1" xfId="0" applyNumberFormat="1" applyFont="1" applyFill="1" applyBorder="1" applyAlignment="1">
      <alignment horizontal="right" vertical="center" wrapText="1"/>
    </xf>
    <xf numFmtId="9" fontId="3" fillId="0" borderId="0" xfId="1" applyFont="1" applyFill="1"/>
    <xf numFmtId="0" fontId="0" fillId="2" borderId="0" xfId="0" applyFill="1" applyAlignment="1">
      <alignment horizontal="left" vertical="top" wrapText="1"/>
    </xf>
    <xf numFmtId="0" fontId="24" fillId="0" borderId="1"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4" xfId="0" applyFont="1" applyBorder="1" applyAlignment="1">
      <alignment horizontal="center"/>
    </xf>
    <xf numFmtId="0" fontId="4" fillId="0" borderId="5" xfId="0" applyFont="1" applyBorder="1" applyAlignment="1">
      <alignment horizontal="center"/>
    </xf>
    <xf numFmtId="0" fontId="4" fillId="2" borderId="0" xfId="0" applyFont="1" applyFill="1" applyAlignment="1">
      <alignment horizontal="center"/>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xf>
  </cellXfs>
  <cellStyles count="123">
    <cellStyle name="Comma" xfId="2" builtinId="3"/>
    <cellStyle name="Comma 2" xfId="7"/>
    <cellStyle name="Comma 3" xfId="6"/>
    <cellStyle name="Currency" xfId="3" builtinId="4"/>
    <cellStyle name="Hyperlink" xfId="4" builtinId="8"/>
    <cellStyle name="Hyperlink 2" xfId="9"/>
    <cellStyle name="Hyperlink 3" xfId="10"/>
    <cellStyle name="Hyperlink 4" xfId="8"/>
    <cellStyle name="IdentifierStyle" xfId="11"/>
    <cellStyle name="Normal" xfId="0" builtinId="0"/>
    <cellStyle name="Normal 10 2" xfId="12"/>
    <cellStyle name="Normal 10 3" xfId="13"/>
    <cellStyle name="Normal 10 4" xfId="14"/>
    <cellStyle name="Normal 10 5" xfId="15"/>
    <cellStyle name="Normal 10 6" xfId="16"/>
    <cellStyle name="Normal 10 7" xfId="17"/>
    <cellStyle name="Normal 11 2" xfId="18"/>
    <cellStyle name="Normal 11 3" xfId="19"/>
    <cellStyle name="Normal 11 4" xfId="20"/>
    <cellStyle name="Normal 12" xfId="21"/>
    <cellStyle name="Normal 2" xfId="22"/>
    <cellStyle name="Normal 2 10" xfId="23"/>
    <cellStyle name="Normal 2 11" xfId="24"/>
    <cellStyle name="Normal 2 2" xfId="25"/>
    <cellStyle name="Normal 2 2 2" xfId="26"/>
    <cellStyle name="Normal 2 2 2 2" xfId="27"/>
    <cellStyle name="Normal 2 2 2 2 2" xfId="28"/>
    <cellStyle name="Normal 2 2 2 2 3" xfId="29"/>
    <cellStyle name="Normal 2 2 2 2 4" xfId="30"/>
    <cellStyle name="Normal 2 2 2 3" xfId="31"/>
    <cellStyle name="Normal 2 2 2 4" xfId="32"/>
    <cellStyle name="Normal 2 2 3" xfId="33"/>
    <cellStyle name="Normal 2 2 4" xfId="34"/>
    <cellStyle name="Normal 2 2 5" xfId="35"/>
    <cellStyle name="Normal 2 2 6" xfId="36"/>
    <cellStyle name="Normal 2 2 7" xfId="37"/>
    <cellStyle name="Normal 2 3" xfId="38"/>
    <cellStyle name="Normal 2 4" xfId="39"/>
    <cellStyle name="Normal 2 5" xfId="40"/>
    <cellStyle name="Normal 2 6" xfId="41"/>
    <cellStyle name="Normal 2 7" xfId="42"/>
    <cellStyle name="Normal 2 7 2" xfId="43"/>
    <cellStyle name="Normal 2 7 2 2" xfId="44"/>
    <cellStyle name="Normal 2 7 2 3" xfId="45"/>
    <cellStyle name="Normal 2 7 2 4" xfId="46"/>
    <cellStyle name="Normal 2 7 3" xfId="47"/>
    <cellStyle name="Normal 2 7 4" xfId="48"/>
    <cellStyle name="Normal 2 8" xfId="49"/>
    <cellStyle name="Normal 2 9" xfId="50"/>
    <cellStyle name="Normal 3" xfId="51"/>
    <cellStyle name="Normal 3 2" xfId="52"/>
    <cellStyle name="Normal 3 3" xfId="53"/>
    <cellStyle name="Normal 3 4" xfId="54"/>
    <cellStyle name="Normal 3 5" xfId="55"/>
    <cellStyle name="Normal 3 6" xfId="56"/>
    <cellStyle name="Normal 3 7" xfId="57"/>
    <cellStyle name="Normal 4" xfId="58"/>
    <cellStyle name="Normal 4 10" xfId="59"/>
    <cellStyle name="Normal 4 11" xfId="60"/>
    <cellStyle name="Normal 4 2" xfId="61"/>
    <cellStyle name="Normal 4 2 2" xfId="62"/>
    <cellStyle name="Normal 4 2 2 2" xfId="63"/>
    <cellStyle name="Normal 4 2 2 2 2" xfId="64"/>
    <cellStyle name="Normal 4 2 2 2 3" xfId="65"/>
    <cellStyle name="Normal 4 2 2 2 4" xfId="66"/>
    <cellStyle name="Normal 4 2 2 3" xfId="67"/>
    <cellStyle name="Normal 4 2 2 4" xfId="68"/>
    <cellStyle name="Normal 4 2 3" xfId="69"/>
    <cellStyle name="Normal 4 2 4" xfId="70"/>
    <cellStyle name="Normal 4 2 5" xfId="71"/>
    <cellStyle name="Normal 4 2 6" xfId="72"/>
    <cellStyle name="Normal 4 2 7" xfId="73"/>
    <cellStyle name="Normal 4 3" xfId="74"/>
    <cellStyle name="Normal 4 4" xfId="75"/>
    <cellStyle name="Normal 4 5" xfId="76"/>
    <cellStyle name="Normal 4 6" xfId="77"/>
    <cellStyle name="Normal 4 7" xfId="78"/>
    <cellStyle name="Normal 4 7 2" xfId="79"/>
    <cellStyle name="Normal 4 7 2 2" xfId="80"/>
    <cellStyle name="Normal 4 7 2 3" xfId="81"/>
    <cellStyle name="Normal 4 7 2 4" xfId="82"/>
    <cellStyle name="Normal 4 7 3" xfId="83"/>
    <cellStyle name="Normal 4 7 4" xfId="84"/>
    <cellStyle name="Normal 4 8" xfId="85"/>
    <cellStyle name="Normal 4 9" xfId="86"/>
    <cellStyle name="Normal 5" xfId="87"/>
    <cellStyle name="Normal 5 2" xfId="88"/>
    <cellStyle name="Normal 5 3" xfId="89"/>
    <cellStyle name="Normal 5 4" xfId="90"/>
    <cellStyle name="Normal 5 5" xfId="91"/>
    <cellStyle name="Normal 5 6" xfId="92"/>
    <cellStyle name="Normal 5 7" xfId="93"/>
    <cellStyle name="Normal 55" xfId="94"/>
    <cellStyle name="Normal 56" xfId="95"/>
    <cellStyle name="Normal 6" xfId="96"/>
    <cellStyle name="Normal 6 2" xfId="97"/>
    <cellStyle name="Normal 6 3" xfId="98"/>
    <cellStyle name="Normal 6 4" xfId="99"/>
    <cellStyle name="Normal 6 5" xfId="100"/>
    <cellStyle name="Normal 6 6" xfId="101"/>
    <cellStyle name="Normal 6 7" xfId="102"/>
    <cellStyle name="Normal 7" xfId="5"/>
    <cellStyle name="Normal 7 2" xfId="103"/>
    <cellStyle name="Normal 7 3" xfId="104"/>
    <cellStyle name="Normal 7 4" xfId="105"/>
    <cellStyle name="Normal 7 5" xfId="106"/>
    <cellStyle name="Normal 7 6" xfId="107"/>
    <cellStyle name="Normal 7 7" xfId="108"/>
    <cellStyle name="Normal 8 2" xfId="109"/>
    <cellStyle name="Normal 8 3" xfId="110"/>
    <cellStyle name="Normal 8 4" xfId="111"/>
    <cellStyle name="Normal 8 5" xfId="112"/>
    <cellStyle name="Normal 8 6" xfId="113"/>
    <cellStyle name="Normal 8 7" xfId="114"/>
    <cellStyle name="Normal 9 2" xfId="115"/>
    <cellStyle name="Normal 9 3" xfId="116"/>
    <cellStyle name="Normal 9 4" xfId="117"/>
    <cellStyle name="Normal 9 5" xfId="118"/>
    <cellStyle name="Normal 9 6" xfId="119"/>
    <cellStyle name="Normal 9 7" xfId="120"/>
    <cellStyle name="NumericCellStyle" xfId="121"/>
    <cellStyle name="Percent" xfId="1" builtinId="5"/>
    <cellStyle name="TitleStyle" xfId="122"/>
  </cellStyles>
  <dxfs count="0"/>
  <tableStyles count="0" defaultTableStyle="TableStyleMedium2" defaultPivotStyle="PivotStyleLight16"/>
  <colors>
    <mruColors>
      <color rgb="FFFE73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s.govt.nz/browse_for_stats/population/estimates_and_projections/DwellingHouseholdEstimates_HOTPDec14qtr.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akeholders.ofcom.org.uk/binaries/research/cmr/tablessep06.pdf" TargetMode="External"/><Relationship Id="rId1" Type="http://schemas.openxmlformats.org/officeDocument/2006/relationships/hyperlink" Target="http://stakeholders.ofcom.org.uk/binaries/consultations/mobile_call_termination/statement/Statement_on_Wholesale_Mobi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workbookViewId="0">
      <selection activeCell="J21" sqref="J21"/>
    </sheetView>
  </sheetViews>
  <sheetFormatPr defaultRowHeight="15"/>
  <cols>
    <col min="1" max="16384" width="9.140625" style="102"/>
  </cols>
  <sheetData>
    <row r="1" spans="1:19" ht="15" customHeight="1">
      <c r="A1" s="129" t="s">
        <v>80</v>
      </c>
      <c r="B1" s="129"/>
      <c r="C1" s="129"/>
      <c r="D1" s="129"/>
      <c r="E1" s="129"/>
      <c r="F1" s="129"/>
      <c r="G1" s="129"/>
      <c r="H1" s="129"/>
      <c r="I1" s="129"/>
      <c r="J1" s="129"/>
      <c r="K1" s="129"/>
      <c r="L1" s="129"/>
      <c r="M1" s="129"/>
      <c r="N1" s="129"/>
      <c r="O1" s="129"/>
      <c r="P1" s="129"/>
      <c r="Q1" s="129"/>
      <c r="R1" s="129"/>
      <c r="S1" s="129"/>
    </row>
    <row r="2" spans="1:19">
      <c r="A2" s="129"/>
      <c r="B2" s="129"/>
      <c r="C2" s="129"/>
      <c r="D2" s="129"/>
      <c r="E2" s="129"/>
      <c r="F2" s="129"/>
      <c r="G2" s="129"/>
      <c r="H2" s="129"/>
      <c r="I2" s="129"/>
      <c r="J2" s="129"/>
      <c r="K2" s="129"/>
      <c r="L2" s="129"/>
      <c r="M2" s="129"/>
      <c r="N2" s="129"/>
      <c r="O2" s="129"/>
      <c r="P2" s="129"/>
      <c r="Q2" s="129"/>
      <c r="R2" s="129"/>
      <c r="S2" s="129"/>
    </row>
    <row r="3" spans="1:19">
      <c r="A3" s="129"/>
      <c r="B3" s="129"/>
      <c r="C3" s="129"/>
      <c r="D3" s="129"/>
      <c r="E3" s="129"/>
      <c r="F3" s="129"/>
      <c r="G3" s="129"/>
      <c r="H3" s="129"/>
      <c r="I3" s="129"/>
      <c r="J3" s="129"/>
      <c r="K3" s="129"/>
      <c r="L3" s="129"/>
      <c r="M3" s="129"/>
      <c r="N3" s="129"/>
      <c r="O3" s="129"/>
      <c r="P3" s="129"/>
      <c r="Q3" s="129"/>
      <c r="R3" s="129"/>
      <c r="S3" s="129"/>
    </row>
    <row r="4" spans="1:19">
      <c r="A4" s="129"/>
      <c r="B4" s="129"/>
      <c r="C4" s="129"/>
      <c r="D4" s="129"/>
      <c r="E4" s="129"/>
      <c r="F4" s="129"/>
      <c r="G4" s="129"/>
      <c r="H4" s="129"/>
      <c r="I4" s="129"/>
      <c r="J4" s="129"/>
      <c r="K4" s="129"/>
      <c r="L4" s="129"/>
      <c r="M4" s="129"/>
      <c r="N4" s="129"/>
      <c r="O4" s="129"/>
      <c r="P4" s="129"/>
      <c r="Q4" s="129"/>
      <c r="R4" s="129"/>
      <c r="S4" s="129"/>
    </row>
    <row r="5" spans="1:19">
      <c r="A5" s="129"/>
      <c r="B5" s="129"/>
      <c r="C5" s="129"/>
      <c r="D5" s="129"/>
      <c r="E5" s="129"/>
      <c r="F5" s="129"/>
      <c r="G5" s="129"/>
      <c r="H5" s="129"/>
      <c r="I5" s="129"/>
      <c r="J5" s="129"/>
      <c r="K5" s="129"/>
      <c r="L5" s="129"/>
      <c r="M5" s="129"/>
      <c r="N5" s="129"/>
      <c r="O5" s="129"/>
      <c r="P5" s="129"/>
      <c r="Q5" s="129"/>
      <c r="R5" s="129"/>
      <c r="S5" s="129"/>
    </row>
    <row r="6" spans="1:19">
      <c r="A6" s="129"/>
      <c r="B6" s="129"/>
      <c r="C6" s="129"/>
      <c r="D6" s="129"/>
      <c r="E6" s="129"/>
      <c r="F6" s="129"/>
      <c r="G6" s="129"/>
      <c r="H6" s="129"/>
      <c r="I6" s="129"/>
      <c r="J6" s="129"/>
      <c r="K6" s="129"/>
      <c r="L6" s="129"/>
      <c r="M6" s="129"/>
      <c r="N6" s="129"/>
      <c r="O6" s="129"/>
      <c r="P6" s="129"/>
      <c r="Q6" s="129"/>
      <c r="R6" s="129"/>
      <c r="S6" s="129"/>
    </row>
    <row r="7" spans="1:19">
      <c r="A7" s="129"/>
      <c r="B7" s="129"/>
      <c r="C7" s="129"/>
      <c r="D7" s="129"/>
      <c r="E7" s="129"/>
      <c r="F7" s="129"/>
      <c r="G7" s="129"/>
      <c r="H7" s="129"/>
      <c r="I7" s="129"/>
      <c r="J7" s="129"/>
      <c r="K7" s="129"/>
      <c r="L7" s="129"/>
      <c r="M7" s="129"/>
      <c r="N7" s="129"/>
      <c r="O7" s="129"/>
      <c r="P7" s="129"/>
      <c r="Q7" s="129"/>
      <c r="R7" s="129"/>
      <c r="S7" s="129"/>
    </row>
    <row r="8" spans="1:19">
      <c r="A8" s="129"/>
      <c r="B8" s="129"/>
      <c r="C8" s="129"/>
      <c r="D8" s="129"/>
      <c r="E8" s="129"/>
      <c r="F8" s="129"/>
      <c r="G8" s="129"/>
      <c r="H8" s="129"/>
      <c r="I8" s="129"/>
      <c r="J8" s="129"/>
      <c r="K8" s="129"/>
      <c r="L8" s="129"/>
      <c r="M8" s="129"/>
      <c r="N8" s="129"/>
      <c r="O8" s="129"/>
      <c r="P8" s="129"/>
      <c r="Q8" s="129"/>
      <c r="R8" s="129"/>
      <c r="S8" s="129"/>
    </row>
    <row r="9" spans="1:19">
      <c r="A9" s="129"/>
      <c r="B9" s="129"/>
      <c r="C9" s="129"/>
      <c r="D9" s="129"/>
      <c r="E9" s="129"/>
      <c r="F9" s="129"/>
      <c r="G9" s="129"/>
      <c r="H9" s="129"/>
      <c r="I9" s="129"/>
      <c r="J9" s="129"/>
      <c r="K9" s="129"/>
      <c r="L9" s="129"/>
      <c r="M9" s="129"/>
      <c r="N9" s="129"/>
      <c r="O9" s="129"/>
      <c r="P9" s="129"/>
      <c r="Q9" s="129"/>
      <c r="R9" s="129"/>
      <c r="S9" s="129"/>
    </row>
    <row r="10" spans="1:19">
      <c r="A10" s="129"/>
      <c r="B10" s="129"/>
      <c r="C10" s="129"/>
      <c r="D10" s="129"/>
      <c r="E10" s="129"/>
      <c r="F10" s="129"/>
      <c r="G10" s="129"/>
      <c r="H10" s="129"/>
      <c r="I10" s="129"/>
      <c r="J10" s="129"/>
      <c r="K10" s="129"/>
      <c r="L10" s="129"/>
      <c r="M10" s="129"/>
      <c r="N10" s="129"/>
      <c r="O10" s="129"/>
      <c r="P10" s="129"/>
      <c r="Q10" s="129"/>
      <c r="R10" s="129"/>
      <c r="S10" s="129"/>
    </row>
    <row r="11" spans="1:19">
      <c r="A11" s="129"/>
      <c r="B11" s="129"/>
      <c r="C11" s="129"/>
      <c r="D11" s="129"/>
      <c r="E11" s="129"/>
      <c r="F11" s="129"/>
      <c r="G11" s="129"/>
      <c r="H11" s="129"/>
      <c r="I11" s="129"/>
      <c r="J11" s="129"/>
      <c r="K11" s="129"/>
      <c r="L11" s="129"/>
      <c r="M11" s="129"/>
      <c r="N11" s="129"/>
      <c r="O11" s="129"/>
      <c r="P11" s="129"/>
      <c r="Q11" s="129"/>
      <c r="R11" s="129"/>
      <c r="S11" s="129"/>
    </row>
    <row r="12" spans="1:19">
      <c r="A12" s="129"/>
      <c r="B12" s="129"/>
      <c r="C12" s="129"/>
      <c r="D12" s="129"/>
      <c r="E12" s="129"/>
      <c r="F12" s="129"/>
      <c r="G12" s="129"/>
      <c r="H12" s="129"/>
      <c r="I12" s="129"/>
      <c r="J12" s="129"/>
      <c r="K12" s="129"/>
      <c r="L12" s="129"/>
      <c r="M12" s="129"/>
      <c r="N12" s="129"/>
      <c r="O12" s="129"/>
      <c r="P12" s="129"/>
      <c r="Q12" s="129"/>
      <c r="R12" s="129"/>
      <c r="S12" s="129"/>
    </row>
    <row r="13" spans="1:19">
      <c r="A13" s="129"/>
      <c r="B13" s="129"/>
      <c r="C13" s="129"/>
      <c r="D13" s="129"/>
      <c r="E13" s="129"/>
      <c r="F13" s="129"/>
      <c r="G13" s="129"/>
      <c r="H13" s="129"/>
      <c r="I13" s="129"/>
      <c r="J13" s="129"/>
      <c r="K13" s="129"/>
      <c r="L13" s="129"/>
      <c r="M13" s="129"/>
      <c r="N13" s="129"/>
      <c r="O13" s="129"/>
      <c r="P13" s="129"/>
      <c r="Q13" s="129"/>
      <c r="R13" s="129"/>
      <c r="S13" s="129"/>
    </row>
    <row r="14" spans="1:19">
      <c r="A14" s="129"/>
      <c r="B14" s="129"/>
      <c r="C14" s="129"/>
      <c r="D14" s="129"/>
      <c r="E14" s="129"/>
      <c r="F14" s="129"/>
      <c r="G14" s="129"/>
      <c r="H14" s="129"/>
      <c r="I14" s="129"/>
      <c r="J14" s="129"/>
      <c r="K14" s="129"/>
      <c r="L14" s="129"/>
      <c r="M14" s="129"/>
      <c r="N14" s="129"/>
      <c r="O14" s="129"/>
      <c r="P14" s="129"/>
      <c r="Q14" s="129"/>
      <c r="R14" s="129"/>
      <c r="S14" s="129"/>
    </row>
    <row r="15" spans="1:19">
      <c r="A15" s="129"/>
      <c r="B15" s="129"/>
      <c r="C15" s="129"/>
      <c r="D15" s="129"/>
      <c r="E15" s="129"/>
      <c r="F15" s="129"/>
      <c r="G15" s="129"/>
      <c r="H15" s="129"/>
      <c r="I15" s="129"/>
      <c r="J15" s="129"/>
      <c r="K15" s="129"/>
      <c r="L15" s="129"/>
      <c r="M15" s="129"/>
      <c r="N15" s="129"/>
      <c r="O15" s="129"/>
      <c r="P15" s="129"/>
      <c r="Q15" s="129"/>
      <c r="R15" s="129"/>
      <c r="S15" s="129"/>
    </row>
    <row r="16" spans="1:19">
      <c r="A16" s="103"/>
      <c r="B16" s="103"/>
      <c r="C16" s="103"/>
      <c r="D16" s="103"/>
      <c r="E16" s="103"/>
      <c r="F16" s="103"/>
      <c r="G16" s="103"/>
      <c r="H16" s="103"/>
      <c r="I16" s="103"/>
      <c r="J16" s="103"/>
      <c r="K16" s="103"/>
      <c r="L16" s="103"/>
      <c r="M16" s="103"/>
      <c r="N16" s="103"/>
      <c r="O16" s="103"/>
      <c r="P16" s="103"/>
      <c r="Q16" s="103"/>
      <c r="R16" s="103"/>
      <c r="S16" s="103"/>
    </row>
    <row r="17" spans="1:19">
      <c r="A17" s="103"/>
      <c r="B17" s="103"/>
      <c r="C17" s="103"/>
      <c r="D17" s="103"/>
      <c r="E17" s="103"/>
      <c r="F17" s="103"/>
      <c r="G17" s="103"/>
      <c r="H17" s="103"/>
      <c r="I17" s="103"/>
      <c r="J17" s="103"/>
      <c r="K17" s="103"/>
      <c r="L17" s="103"/>
      <c r="M17" s="103"/>
      <c r="N17" s="103"/>
      <c r="O17" s="103"/>
      <c r="P17" s="103"/>
      <c r="Q17" s="103"/>
      <c r="R17" s="103"/>
      <c r="S17" s="103"/>
    </row>
    <row r="18" spans="1:19">
      <c r="A18" s="103"/>
      <c r="B18" s="103"/>
      <c r="C18" s="103"/>
      <c r="D18" s="103"/>
      <c r="E18" s="103"/>
      <c r="F18" s="103"/>
      <c r="G18" s="103"/>
      <c r="H18" s="103"/>
      <c r="I18" s="103"/>
      <c r="J18" s="103"/>
      <c r="K18" s="103"/>
      <c r="L18" s="103"/>
      <c r="M18" s="103"/>
      <c r="N18" s="103"/>
      <c r="O18" s="103"/>
      <c r="P18" s="103"/>
      <c r="Q18" s="103"/>
      <c r="R18" s="103"/>
      <c r="S18" s="103"/>
    </row>
    <row r="19" spans="1:19">
      <c r="A19" s="103"/>
      <c r="B19" s="103"/>
      <c r="C19" s="103"/>
      <c r="D19" s="103"/>
      <c r="E19" s="103"/>
      <c r="F19" s="103"/>
      <c r="G19" s="103"/>
      <c r="H19" s="103"/>
      <c r="I19" s="103"/>
      <c r="J19" s="103"/>
      <c r="K19" s="103"/>
      <c r="L19" s="103"/>
      <c r="M19" s="103"/>
      <c r="N19" s="103"/>
      <c r="O19" s="103"/>
      <c r="P19" s="103"/>
      <c r="Q19" s="103"/>
      <c r="R19" s="103"/>
      <c r="S19" s="103"/>
    </row>
    <row r="20" spans="1:19">
      <c r="A20" s="103"/>
      <c r="B20" s="103"/>
      <c r="C20" s="103"/>
      <c r="D20" s="103"/>
      <c r="E20" s="103"/>
      <c r="F20" s="103"/>
      <c r="G20" s="103"/>
      <c r="H20" s="103"/>
      <c r="I20" s="103"/>
      <c r="J20" s="103"/>
      <c r="K20" s="103"/>
      <c r="L20" s="103"/>
      <c r="M20" s="103"/>
      <c r="N20" s="103"/>
      <c r="O20" s="103"/>
      <c r="P20" s="103"/>
      <c r="Q20" s="103"/>
      <c r="R20" s="103"/>
      <c r="S20" s="103"/>
    </row>
    <row r="21" spans="1:19">
      <c r="A21" s="103"/>
      <c r="B21" s="103"/>
      <c r="C21" s="103"/>
      <c r="D21" s="103"/>
      <c r="E21" s="103"/>
      <c r="F21" s="103"/>
      <c r="G21" s="103"/>
      <c r="H21" s="103"/>
      <c r="I21" s="103"/>
      <c r="J21" s="103"/>
      <c r="K21" s="103"/>
      <c r="L21" s="103"/>
      <c r="M21" s="103"/>
      <c r="N21" s="103"/>
      <c r="O21" s="103"/>
      <c r="P21" s="103"/>
      <c r="Q21" s="103"/>
      <c r="R21" s="103"/>
      <c r="S21" s="103"/>
    </row>
    <row r="22" spans="1:19">
      <c r="A22" s="103"/>
      <c r="B22" s="103"/>
      <c r="C22" s="103"/>
      <c r="D22" s="103"/>
      <c r="E22" s="103"/>
      <c r="F22" s="103"/>
      <c r="G22" s="103"/>
      <c r="H22" s="103"/>
      <c r="I22" s="103"/>
      <c r="J22" s="103"/>
      <c r="K22" s="103"/>
      <c r="L22" s="103"/>
      <c r="M22" s="103"/>
      <c r="N22" s="103"/>
      <c r="O22" s="103"/>
      <c r="P22" s="103"/>
      <c r="Q22" s="103"/>
      <c r="R22" s="103"/>
      <c r="S22" s="103"/>
    </row>
    <row r="23" spans="1:19">
      <c r="A23" s="103"/>
      <c r="B23" s="103"/>
      <c r="C23" s="103"/>
      <c r="D23" s="103"/>
      <c r="E23" s="103"/>
      <c r="F23" s="103"/>
      <c r="G23" s="103"/>
      <c r="H23" s="103"/>
      <c r="I23" s="103"/>
      <c r="J23" s="103"/>
      <c r="K23" s="103"/>
      <c r="L23" s="103"/>
      <c r="M23" s="103"/>
      <c r="N23" s="103"/>
      <c r="O23" s="103"/>
      <c r="P23" s="103"/>
      <c r="Q23" s="103"/>
      <c r="R23" s="103"/>
      <c r="S23" s="103"/>
    </row>
  </sheetData>
  <mergeCells count="1">
    <mergeCell ref="A1:S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3"/>
  <sheetViews>
    <sheetView zoomScale="90" zoomScaleNormal="90" workbookViewId="0">
      <selection activeCell="D15" sqref="D15"/>
    </sheetView>
  </sheetViews>
  <sheetFormatPr defaultRowHeight="11.25"/>
  <cols>
    <col min="1" max="1" width="34.7109375" style="29" customWidth="1"/>
    <col min="2" max="2" width="13.28515625" style="29" customWidth="1"/>
    <col min="3" max="3" width="16" style="29" customWidth="1"/>
    <col min="4" max="4" width="15.7109375" style="29" customWidth="1"/>
    <col min="5" max="5" width="18.5703125" style="29" customWidth="1"/>
    <col min="6" max="13" width="15.7109375" style="29" customWidth="1"/>
    <col min="14" max="14" width="9.140625" style="29"/>
    <col min="15" max="18" width="10.7109375" style="29" customWidth="1"/>
    <col min="19" max="16384" width="9.140625" style="29"/>
  </cols>
  <sheetData>
    <row r="1" spans="1:19">
      <c r="A1" s="8" t="s">
        <v>54</v>
      </c>
    </row>
    <row r="3" spans="1:19">
      <c r="A3" s="97" t="s">
        <v>64</v>
      </c>
      <c r="B3" s="86"/>
      <c r="C3" s="86"/>
    </row>
    <row r="4" spans="1:19">
      <c r="A4" s="104" t="s">
        <v>3</v>
      </c>
      <c r="B4" s="105"/>
      <c r="C4" s="106">
        <v>0.1</v>
      </c>
    </row>
    <row r="5" spans="1:19">
      <c r="A5" s="104" t="s">
        <v>0</v>
      </c>
      <c r="B5" s="105"/>
      <c r="C5" s="107">
        <v>1</v>
      </c>
    </row>
    <row r="6" spans="1:19">
      <c r="A6" s="104" t="s">
        <v>2</v>
      </c>
      <c r="B6" s="105"/>
      <c r="C6" s="107">
        <v>79</v>
      </c>
    </row>
    <row r="7" spans="1:19">
      <c r="A7" s="104" t="s">
        <v>1</v>
      </c>
      <c r="B7" s="105"/>
      <c r="C7" s="108">
        <v>1</v>
      </c>
    </row>
    <row r="8" spans="1:19">
      <c r="A8" s="104" t="s">
        <v>6</v>
      </c>
      <c r="B8" s="105"/>
      <c r="C8" s="109">
        <v>1.2</v>
      </c>
      <c r="D8" s="29" t="s">
        <v>78</v>
      </c>
    </row>
    <row r="9" spans="1:19">
      <c r="A9" s="105" t="s">
        <v>68</v>
      </c>
      <c r="B9" s="105"/>
      <c r="C9" s="108">
        <v>0.25</v>
      </c>
      <c r="J9" s="1"/>
    </row>
    <row r="10" spans="1:19">
      <c r="A10" s="105" t="s">
        <v>67</v>
      </c>
      <c r="B10" s="105"/>
      <c r="C10" s="110">
        <f>85*12</f>
        <v>1020</v>
      </c>
      <c r="J10" s="1"/>
    </row>
    <row r="11" spans="1:19">
      <c r="A11" s="105" t="s">
        <v>69</v>
      </c>
      <c r="B11" s="105"/>
      <c r="C11" s="111">
        <v>100000</v>
      </c>
      <c r="J11" s="1"/>
    </row>
    <row r="12" spans="1:19">
      <c r="A12" s="104" t="s">
        <v>72</v>
      </c>
      <c r="B12" s="105"/>
      <c r="C12" s="108">
        <v>0.01</v>
      </c>
      <c r="D12" s="29" t="s">
        <v>77</v>
      </c>
      <c r="J12" s="1"/>
    </row>
    <row r="13" spans="1:19">
      <c r="A13" s="9" t="s">
        <v>65</v>
      </c>
      <c r="B13" s="10"/>
      <c r="C13" s="11">
        <f>(C5*C7)/C6</f>
        <v>1.2658227848101266E-2</v>
      </c>
      <c r="G13" s="73"/>
      <c r="J13" s="1"/>
    </row>
    <row r="14" spans="1:19">
      <c r="A14" s="9" t="s">
        <v>66</v>
      </c>
      <c r="B14" s="10"/>
      <c r="C14" s="12">
        <f>C8*C13</f>
        <v>1.5189873417721518E-2</v>
      </c>
      <c r="D14" s="50"/>
      <c r="G14" s="73"/>
      <c r="J14" s="1"/>
    </row>
    <row r="15" spans="1:19">
      <c r="J15" s="1"/>
    </row>
    <row r="16" spans="1:19">
      <c r="A16" s="13" t="s">
        <v>61</v>
      </c>
      <c r="B16" s="14"/>
      <c r="C16" s="14"/>
      <c r="D16" s="14"/>
      <c r="E16" s="20"/>
      <c r="M16" s="67"/>
      <c r="N16" s="67"/>
      <c r="O16" s="67"/>
      <c r="P16" s="67"/>
      <c r="Q16" s="67"/>
      <c r="R16" s="67"/>
      <c r="S16" s="67"/>
    </row>
    <row r="17" spans="1:19">
      <c r="A17" s="14" t="s">
        <v>10</v>
      </c>
      <c r="B17" s="14"/>
      <c r="C17" s="14"/>
      <c r="D17" s="14"/>
      <c r="E17" s="20"/>
      <c r="G17" s="66"/>
      <c r="J17" s="32" t="s">
        <v>79</v>
      </c>
      <c r="M17" s="67"/>
      <c r="N17" s="67"/>
      <c r="O17" s="67"/>
      <c r="P17" s="67"/>
      <c r="Q17" s="67"/>
      <c r="R17" s="67"/>
      <c r="S17" s="67"/>
    </row>
    <row r="18" spans="1:19" ht="15">
      <c r="A18" s="14" t="s">
        <v>11</v>
      </c>
      <c r="B18" s="14"/>
      <c r="C18" s="14"/>
      <c r="D18" s="14"/>
      <c r="E18" s="20"/>
      <c r="J18" s="29" t="s">
        <v>76</v>
      </c>
      <c r="K18" s="38" t="s">
        <v>71</v>
      </c>
      <c r="M18" s="67"/>
      <c r="N18" s="67"/>
      <c r="O18" s="67"/>
      <c r="P18" s="67"/>
      <c r="Q18" s="67"/>
      <c r="R18" s="67"/>
      <c r="S18" s="67"/>
    </row>
    <row r="19" spans="1:19" ht="22.5">
      <c r="A19" s="14"/>
      <c r="B19" s="14"/>
      <c r="C19" s="135" t="s">
        <v>7</v>
      </c>
      <c r="D19" s="135"/>
      <c r="E19" s="55"/>
      <c r="F19" s="136" t="s">
        <v>43</v>
      </c>
      <c r="G19" s="131" t="s">
        <v>47</v>
      </c>
      <c r="H19" s="131" t="s">
        <v>52</v>
      </c>
      <c r="J19" s="89"/>
      <c r="K19" s="90" t="s">
        <v>70</v>
      </c>
      <c r="L19" s="90" t="s">
        <v>74</v>
      </c>
      <c r="M19" s="90" t="s">
        <v>73</v>
      </c>
      <c r="N19" s="67"/>
      <c r="O19" s="67"/>
      <c r="P19" s="67"/>
      <c r="Q19" s="67"/>
      <c r="R19" s="67"/>
      <c r="S19" s="67"/>
    </row>
    <row r="20" spans="1:19" ht="14.25">
      <c r="A20" s="15" t="s">
        <v>8</v>
      </c>
      <c r="B20" s="15" t="s">
        <v>9</v>
      </c>
      <c r="C20" s="16" t="s">
        <v>45</v>
      </c>
      <c r="D20" s="51" t="s">
        <v>46</v>
      </c>
      <c r="E20" s="53" t="s">
        <v>42</v>
      </c>
      <c r="F20" s="136"/>
      <c r="G20" s="132"/>
      <c r="H20" s="132"/>
      <c r="J20" s="89"/>
      <c r="K20" s="91"/>
      <c r="L20" s="91"/>
      <c r="M20" s="91"/>
      <c r="N20" s="67"/>
      <c r="O20" s="67"/>
      <c r="P20" s="67"/>
      <c r="Q20" s="67"/>
      <c r="R20" s="67"/>
      <c r="S20" s="67"/>
    </row>
    <row r="21" spans="1:19">
      <c r="A21" s="15"/>
      <c r="B21" s="15"/>
      <c r="C21" s="56" t="s">
        <v>48</v>
      </c>
      <c r="D21" s="57" t="s">
        <v>44</v>
      </c>
      <c r="E21" s="53"/>
      <c r="F21" s="58" t="s">
        <v>49</v>
      </c>
      <c r="G21" s="59" t="s">
        <v>50</v>
      </c>
      <c r="H21" s="59" t="s">
        <v>51</v>
      </c>
      <c r="J21" s="92">
        <v>2014</v>
      </c>
      <c r="K21" s="93">
        <v>1672600</v>
      </c>
      <c r="L21" s="94">
        <f>K21*0.8</f>
        <v>1338080</v>
      </c>
      <c r="M21" s="94">
        <f>K21*0.2</f>
        <v>334520</v>
      </c>
      <c r="N21" s="87"/>
      <c r="O21" s="67"/>
      <c r="P21" s="67"/>
      <c r="Q21" s="67"/>
      <c r="R21" s="67"/>
      <c r="S21" s="67"/>
    </row>
    <row r="22" spans="1:19">
      <c r="A22" s="17">
        <v>2015</v>
      </c>
      <c r="B22" s="17">
        <v>1</v>
      </c>
      <c r="C22" s="18">
        <v>100000</v>
      </c>
      <c r="D22" s="52">
        <f t="shared" ref="D22:D36" si="0">C22*(1+$C$14)</f>
        <v>101518.98734177215</v>
      </c>
      <c r="E22" s="17"/>
      <c r="F22" s="17"/>
      <c r="G22" s="19">
        <f t="shared" ref="G22:G36" si="1">MIN(C22*(1+F22),L22)</f>
        <v>100000</v>
      </c>
      <c r="H22" s="19">
        <f t="shared" ref="H22:H36" si="2">MIN(D22*(1+F22),L22)</f>
        <v>101518.98734177215</v>
      </c>
      <c r="J22" s="92">
        <f>1+J21</f>
        <v>2015</v>
      </c>
      <c r="K22" s="93">
        <f t="shared" ref="K22:K36" si="3">K21*(1+$C$12)</f>
        <v>1689326</v>
      </c>
      <c r="L22" s="94">
        <f t="shared" ref="L22:L36" si="4">K22*0.8</f>
        <v>1351460.8</v>
      </c>
      <c r="M22" s="94">
        <f t="shared" ref="M22:M36" si="5">K22*0.2</f>
        <v>337865.2</v>
      </c>
      <c r="N22" s="87"/>
      <c r="O22" s="67"/>
      <c r="P22" s="67"/>
      <c r="Q22" s="67"/>
      <c r="R22" s="67"/>
      <c r="S22" s="67"/>
    </row>
    <row r="23" spans="1:19">
      <c r="A23" s="17">
        <f>1+A22</f>
        <v>2016</v>
      </c>
      <c r="B23" s="17">
        <v>2</v>
      </c>
      <c r="C23" s="18">
        <f t="shared" ref="C23:C36" si="6">C22+$C$11</f>
        <v>200000</v>
      </c>
      <c r="D23" s="52">
        <f t="shared" si="0"/>
        <v>203037.97468354431</v>
      </c>
      <c r="E23" s="65">
        <f t="shared" ref="E23:E32" si="7">D23/D22-1</f>
        <v>1</v>
      </c>
      <c r="F23" s="54">
        <f>0.7*E23</f>
        <v>0.7</v>
      </c>
      <c r="G23" s="19">
        <f t="shared" si="1"/>
        <v>340000</v>
      </c>
      <c r="H23" s="19">
        <f t="shared" si="2"/>
        <v>345164.55696202529</v>
      </c>
      <c r="J23" s="92">
        <f t="shared" ref="J23:J36" si="8">1+J22</f>
        <v>2016</v>
      </c>
      <c r="K23" s="93">
        <f t="shared" si="3"/>
        <v>1706219.26</v>
      </c>
      <c r="L23" s="94">
        <f t="shared" si="4"/>
        <v>1364975.4080000001</v>
      </c>
      <c r="M23" s="94">
        <f t="shared" si="5"/>
        <v>341243.85200000001</v>
      </c>
      <c r="N23" s="87"/>
      <c r="O23" s="67"/>
      <c r="P23" s="67"/>
      <c r="Q23" s="67"/>
      <c r="R23" s="67"/>
      <c r="S23" s="67"/>
    </row>
    <row r="24" spans="1:19">
      <c r="A24" s="17">
        <f t="shared" ref="A24:A36" si="9">1+A23</f>
        <v>2017</v>
      </c>
      <c r="B24" s="17">
        <v>3</v>
      </c>
      <c r="C24" s="18">
        <f t="shared" si="6"/>
        <v>300000</v>
      </c>
      <c r="D24" s="52">
        <f t="shared" si="0"/>
        <v>304556.96202531649</v>
      </c>
      <c r="E24" s="65">
        <f t="shared" si="7"/>
        <v>0.50000000000000022</v>
      </c>
      <c r="F24" s="54">
        <f>0.7*E24</f>
        <v>0.35000000000000014</v>
      </c>
      <c r="G24" s="19">
        <f t="shared" si="1"/>
        <v>405000</v>
      </c>
      <c r="H24" s="19">
        <f t="shared" si="2"/>
        <v>411151.89873417729</v>
      </c>
      <c r="J24" s="92">
        <f t="shared" si="8"/>
        <v>2017</v>
      </c>
      <c r="K24" s="93">
        <f t="shared" si="3"/>
        <v>1723281.4526</v>
      </c>
      <c r="L24" s="94">
        <f t="shared" si="4"/>
        <v>1378625.1620800002</v>
      </c>
      <c r="M24" s="94">
        <f t="shared" si="5"/>
        <v>344656.29052000004</v>
      </c>
      <c r="N24" s="87"/>
      <c r="O24" s="67"/>
      <c r="P24" s="67"/>
      <c r="Q24" s="67"/>
      <c r="R24" s="67"/>
      <c r="S24" s="67"/>
    </row>
    <row r="25" spans="1:19">
      <c r="A25" s="17">
        <f t="shared" si="9"/>
        <v>2018</v>
      </c>
      <c r="B25" s="17">
        <v>4</v>
      </c>
      <c r="C25" s="18">
        <f t="shared" si="6"/>
        <v>400000</v>
      </c>
      <c r="D25" s="52">
        <f t="shared" si="0"/>
        <v>406075.94936708861</v>
      </c>
      <c r="E25" s="65">
        <f t="shared" si="7"/>
        <v>0.33333333333333326</v>
      </c>
      <c r="F25" s="54">
        <f>0.7*E25</f>
        <v>0.23333333333333325</v>
      </c>
      <c r="G25" s="19">
        <f t="shared" si="1"/>
        <v>493333.33333333326</v>
      </c>
      <c r="H25" s="19">
        <f t="shared" si="2"/>
        <v>500827.00421940925</v>
      </c>
      <c r="J25" s="92">
        <f t="shared" si="8"/>
        <v>2018</v>
      </c>
      <c r="K25" s="93">
        <f t="shared" si="3"/>
        <v>1740514.267126</v>
      </c>
      <c r="L25" s="94">
        <f t="shared" si="4"/>
        <v>1392411.4137008002</v>
      </c>
      <c r="M25" s="94">
        <f t="shared" si="5"/>
        <v>348102.85342520004</v>
      </c>
      <c r="N25" s="87"/>
      <c r="O25" s="67"/>
      <c r="P25" s="67"/>
      <c r="Q25" s="67"/>
      <c r="R25" s="67"/>
      <c r="S25" s="67"/>
    </row>
    <row r="26" spans="1:19">
      <c r="A26" s="17">
        <f t="shared" si="9"/>
        <v>2019</v>
      </c>
      <c r="B26" s="17">
        <v>5</v>
      </c>
      <c r="C26" s="18">
        <f t="shared" si="6"/>
        <v>500000</v>
      </c>
      <c r="D26" s="52">
        <f t="shared" si="0"/>
        <v>507594.9367088608</v>
      </c>
      <c r="E26" s="65">
        <f t="shared" si="7"/>
        <v>0.25</v>
      </c>
      <c r="F26" s="54">
        <f t="shared" ref="F26:F36" si="10">0.7*E26</f>
        <v>0.17499999999999999</v>
      </c>
      <c r="G26" s="19">
        <f t="shared" si="1"/>
        <v>587500</v>
      </c>
      <c r="H26" s="19">
        <f t="shared" si="2"/>
        <v>596424.0506329115</v>
      </c>
      <c r="J26" s="92">
        <f t="shared" si="8"/>
        <v>2019</v>
      </c>
      <c r="K26" s="93">
        <f t="shared" si="3"/>
        <v>1757919.4097972601</v>
      </c>
      <c r="L26" s="94">
        <f t="shared" si="4"/>
        <v>1406335.5278378082</v>
      </c>
      <c r="M26" s="94">
        <f t="shared" si="5"/>
        <v>351583.88195945206</v>
      </c>
      <c r="N26" s="87"/>
      <c r="O26" s="67"/>
      <c r="P26" s="67"/>
      <c r="Q26" s="67"/>
      <c r="R26" s="67"/>
      <c r="S26" s="67"/>
    </row>
    <row r="27" spans="1:19">
      <c r="A27" s="17">
        <f t="shared" si="9"/>
        <v>2020</v>
      </c>
      <c r="B27" s="17">
        <v>6</v>
      </c>
      <c r="C27" s="18">
        <f t="shared" si="6"/>
        <v>600000</v>
      </c>
      <c r="D27" s="52">
        <f t="shared" si="0"/>
        <v>609113.92405063298</v>
      </c>
      <c r="E27" s="65">
        <f t="shared" si="7"/>
        <v>0.19999999999999996</v>
      </c>
      <c r="F27" s="54">
        <f t="shared" si="10"/>
        <v>0.13999999999999996</v>
      </c>
      <c r="G27" s="19">
        <f t="shared" si="1"/>
        <v>683999.99999999988</v>
      </c>
      <c r="H27" s="19">
        <f t="shared" si="2"/>
        <v>694389.8734177216</v>
      </c>
      <c r="J27" s="92">
        <f t="shared" si="8"/>
        <v>2020</v>
      </c>
      <c r="K27" s="93">
        <f t="shared" si="3"/>
        <v>1775498.6038952328</v>
      </c>
      <c r="L27" s="94">
        <f t="shared" si="4"/>
        <v>1420398.8831161864</v>
      </c>
      <c r="M27" s="94">
        <f t="shared" si="5"/>
        <v>355099.72077904659</v>
      </c>
      <c r="N27" s="87"/>
      <c r="O27" s="67"/>
      <c r="P27" s="67"/>
      <c r="Q27" s="67"/>
      <c r="R27" s="67"/>
      <c r="S27" s="67"/>
    </row>
    <row r="28" spans="1:19">
      <c r="A28" s="17">
        <f t="shared" si="9"/>
        <v>2021</v>
      </c>
      <c r="B28" s="17">
        <v>7</v>
      </c>
      <c r="C28" s="18">
        <f t="shared" si="6"/>
        <v>700000</v>
      </c>
      <c r="D28" s="52">
        <f t="shared" si="0"/>
        <v>710632.91139240516</v>
      </c>
      <c r="E28" s="65">
        <f t="shared" si="7"/>
        <v>0.16666666666666674</v>
      </c>
      <c r="F28" s="54">
        <f t="shared" si="10"/>
        <v>0.11666666666666671</v>
      </c>
      <c r="G28" s="19">
        <f t="shared" si="1"/>
        <v>781666.66666666674</v>
      </c>
      <c r="H28" s="19">
        <f t="shared" si="2"/>
        <v>793540.08438818576</v>
      </c>
      <c r="J28" s="92">
        <f t="shared" si="8"/>
        <v>2021</v>
      </c>
      <c r="K28" s="93">
        <f t="shared" si="3"/>
        <v>1793253.5899341851</v>
      </c>
      <c r="L28" s="94">
        <f t="shared" si="4"/>
        <v>1434602.8719473481</v>
      </c>
      <c r="M28" s="94">
        <f t="shared" si="5"/>
        <v>358650.71798683703</v>
      </c>
      <c r="N28" s="87"/>
      <c r="O28" s="67"/>
      <c r="P28" s="67"/>
      <c r="Q28" s="67"/>
      <c r="R28" s="67"/>
      <c r="S28" s="67"/>
    </row>
    <row r="29" spans="1:19">
      <c r="A29" s="17">
        <f t="shared" si="9"/>
        <v>2022</v>
      </c>
      <c r="B29" s="17">
        <v>8</v>
      </c>
      <c r="C29" s="18">
        <f t="shared" si="6"/>
        <v>800000</v>
      </c>
      <c r="D29" s="52">
        <f t="shared" si="0"/>
        <v>812151.89873417723</v>
      </c>
      <c r="E29" s="65">
        <f t="shared" si="7"/>
        <v>0.14285714285714279</v>
      </c>
      <c r="F29" s="54">
        <f t="shared" si="10"/>
        <v>9.999999999999995E-2</v>
      </c>
      <c r="G29" s="19">
        <f t="shared" si="1"/>
        <v>879999.99999999988</v>
      </c>
      <c r="H29" s="19">
        <f t="shared" si="2"/>
        <v>893367.08860759484</v>
      </c>
      <c r="J29" s="92">
        <f t="shared" si="8"/>
        <v>2022</v>
      </c>
      <c r="K29" s="93">
        <f t="shared" si="3"/>
        <v>1811186.125833527</v>
      </c>
      <c r="L29" s="94">
        <f t="shared" si="4"/>
        <v>1448948.9006668217</v>
      </c>
      <c r="M29" s="94">
        <f t="shared" si="5"/>
        <v>362237.22516670544</v>
      </c>
      <c r="N29" s="87"/>
      <c r="O29" s="67"/>
      <c r="P29" s="67"/>
      <c r="Q29" s="67"/>
      <c r="R29" s="67"/>
      <c r="S29" s="67"/>
    </row>
    <row r="30" spans="1:19">
      <c r="A30" s="17">
        <f t="shared" si="9"/>
        <v>2023</v>
      </c>
      <c r="B30" s="17">
        <v>9</v>
      </c>
      <c r="C30" s="18">
        <f t="shared" si="6"/>
        <v>900000</v>
      </c>
      <c r="D30" s="52">
        <f t="shared" si="0"/>
        <v>913670.88607594941</v>
      </c>
      <c r="E30" s="65">
        <f t="shared" si="7"/>
        <v>0.125</v>
      </c>
      <c r="F30" s="54">
        <f t="shared" si="10"/>
        <v>8.7499999999999994E-2</v>
      </c>
      <c r="G30" s="19">
        <f t="shared" si="1"/>
        <v>978749.99999999988</v>
      </c>
      <c r="H30" s="19">
        <f t="shared" si="2"/>
        <v>993617.08860759495</v>
      </c>
      <c r="J30" s="92">
        <f t="shared" si="8"/>
        <v>2023</v>
      </c>
      <c r="K30" s="93">
        <f t="shared" si="3"/>
        <v>1829297.9870918621</v>
      </c>
      <c r="L30" s="94">
        <f t="shared" si="4"/>
        <v>1463438.3896734898</v>
      </c>
      <c r="M30" s="94">
        <f t="shared" si="5"/>
        <v>365859.59741837246</v>
      </c>
      <c r="N30" s="87"/>
      <c r="O30" s="67"/>
      <c r="P30" s="67"/>
      <c r="Q30" s="67"/>
      <c r="R30" s="67"/>
      <c r="S30" s="67"/>
    </row>
    <row r="31" spans="1:19">
      <c r="A31" s="17">
        <f t="shared" si="9"/>
        <v>2024</v>
      </c>
      <c r="B31" s="17">
        <v>10</v>
      </c>
      <c r="C31" s="18">
        <f t="shared" si="6"/>
        <v>1000000</v>
      </c>
      <c r="D31" s="52">
        <f t="shared" si="0"/>
        <v>1015189.8734177216</v>
      </c>
      <c r="E31" s="65">
        <f>D31/D30-1</f>
        <v>0.11111111111111116</v>
      </c>
      <c r="F31" s="54">
        <f t="shared" si="10"/>
        <v>7.7777777777777807E-2</v>
      </c>
      <c r="G31" s="19">
        <f t="shared" si="1"/>
        <v>1077777.7777777778</v>
      </c>
      <c r="H31" s="19">
        <f t="shared" si="2"/>
        <v>1094149.0857946554</v>
      </c>
      <c r="J31" s="92">
        <f t="shared" si="8"/>
        <v>2024</v>
      </c>
      <c r="K31" s="93">
        <f t="shared" si="3"/>
        <v>1847590.9669627808</v>
      </c>
      <c r="L31" s="94">
        <f t="shared" si="4"/>
        <v>1478072.7735702246</v>
      </c>
      <c r="M31" s="94">
        <f t="shared" si="5"/>
        <v>369518.19339255616</v>
      </c>
      <c r="N31" s="87"/>
      <c r="O31" s="67"/>
      <c r="P31" s="67"/>
      <c r="Q31" s="67"/>
      <c r="R31" s="67"/>
      <c r="S31" s="67"/>
    </row>
    <row r="32" spans="1:19">
      <c r="A32" s="17">
        <f t="shared" si="9"/>
        <v>2025</v>
      </c>
      <c r="B32" s="17">
        <f>1+B31</f>
        <v>11</v>
      </c>
      <c r="C32" s="18">
        <f t="shared" si="6"/>
        <v>1100000</v>
      </c>
      <c r="D32" s="19">
        <f t="shared" si="0"/>
        <v>1116708.8607594937</v>
      </c>
      <c r="E32" s="65">
        <f t="shared" si="7"/>
        <v>9.9999999999999867E-2</v>
      </c>
      <c r="F32" s="54">
        <f t="shared" si="10"/>
        <v>6.9999999999999896E-2</v>
      </c>
      <c r="G32" s="19">
        <f t="shared" si="1"/>
        <v>1176999.9999999998</v>
      </c>
      <c r="H32" s="19">
        <f t="shared" si="2"/>
        <v>1194878.481012658</v>
      </c>
      <c r="J32" s="92">
        <f t="shared" si="8"/>
        <v>2025</v>
      </c>
      <c r="K32" s="93">
        <f t="shared" si="3"/>
        <v>1866066.8766324087</v>
      </c>
      <c r="L32" s="94">
        <f t="shared" si="4"/>
        <v>1492853.5013059271</v>
      </c>
      <c r="M32" s="94">
        <f t="shared" si="5"/>
        <v>373213.37532648176</v>
      </c>
      <c r="N32" s="87"/>
      <c r="O32" s="67"/>
      <c r="P32" s="67"/>
      <c r="Q32" s="67"/>
      <c r="R32" s="67"/>
      <c r="S32" s="67"/>
    </row>
    <row r="33" spans="1:19">
      <c r="A33" s="17">
        <f t="shared" si="9"/>
        <v>2026</v>
      </c>
      <c r="B33" s="17">
        <f>1+B32</f>
        <v>12</v>
      </c>
      <c r="C33" s="18">
        <f t="shared" si="6"/>
        <v>1200000</v>
      </c>
      <c r="D33" s="19">
        <f t="shared" si="0"/>
        <v>1218227.848101266</v>
      </c>
      <c r="E33" s="65">
        <f t="shared" ref="E33:E36" si="11">D33/D32-1</f>
        <v>9.090909090909105E-2</v>
      </c>
      <c r="F33" s="54">
        <f t="shared" si="10"/>
        <v>6.3636363636363727E-2</v>
      </c>
      <c r="G33" s="19">
        <f t="shared" si="1"/>
        <v>1276363.6363636365</v>
      </c>
      <c r="H33" s="19">
        <f t="shared" si="2"/>
        <v>1295751.4384349829</v>
      </c>
      <c r="J33" s="92">
        <f t="shared" si="8"/>
        <v>2026</v>
      </c>
      <c r="K33" s="93">
        <f t="shared" si="3"/>
        <v>1884727.5453987329</v>
      </c>
      <c r="L33" s="94">
        <f t="shared" si="4"/>
        <v>1507782.0363189864</v>
      </c>
      <c r="M33" s="94">
        <f t="shared" si="5"/>
        <v>376945.50907974661</v>
      </c>
      <c r="N33" s="87"/>
      <c r="O33" s="67"/>
      <c r="P33" s="67"/>
      <c r="Q33" s="67"/>
      <c r="R33" s="67"/>
      <c r="S33" s="67"/>
    </row>
    <row r="34" spans="1:19">
      <c r="A34" s="17">
        <f t="shared" si="9"/>
        <v>2027</v>
      </c>
      <c r="B34" s="17">
        <f>1+B33</f>
        <v>13</v>
      </c>
      <c r="C34" s="18">
        <f t="shared" si="6"/>
        <v>1300000</v>
      </c>
      <c r="D34" s="19">
        <f t="shared" si="0"/>
        <v>1319746.835443038</v>
      </c>
      <c r="E34" s="65">
        <f t="shared" si="11"/>
        <v>8.3333333333333259E-2</v>
      </c>
      <c r="F34" s="54">
        <f t="shared" si="10"/>
        <v>5.8333333333333279E-2</v>
      </c>
      <c r="G34" s="19">
        <f t="shared" si="1"/>
        <v>1375833.3333333333</v>
      </c>
      <c r="H34" s="19">
        <f t="shared" si="2"/>
        <v>1396732.0675105485</v>
      </c>
      <c r="J34" s="92">
        <f t="shared" si="8"/>
        <v>2027</v>
      </c>
      <c r="K34" s="93">
        <f t="shared" si="3"/>
        <v>1903574.8208527202</v>
      </c>
      <c r="L34" s="94">
        <f t="shared" si="4"/>
        <v>1522859.8566821762</v>
      </c>
      <c r="M34" s="94">
        <f t="shared" si="5"/>
        <v>380714.96417054406</v>
      </c>
      <c r="N34" s="87"/>
      <c r="O34" s="67"/>
      <c r="P34" s="67"/>
      <c r="Q34" s="67"/>
      <c r="R34" s="67"/>
      <c r="S34" s="67"/>
    </row>
    <row r="35" spans="1:19" ht="409.6">
      <c r="A35" s="17">
        <f t="shared" si="9"/>
        <v>2028</v>
      </c>
      <c r="B35" s="17">
        <f>1+B34</f>
        <v>14</v>
      </c>
      <c r="C35" s="18">
        <f t="shared" si="6"/>
        <v>1400000</v>
      </c>
      <c r="D35" s="19">
        <f t="shared" si="0"/>
        <v>1421265.8227848103</v>
      </c>
      <c r="E35" s="65">
        <f t="shared" si="11"/>
        <v>7.6923076923077094E-2</v>
      </c>
      <c r="F35" s="54">
        <f t="shared" si="10"/>
        <v>5.384615384615396E-2</v>
      </c>
      <c r="G35" s="19">
        <f t="shared" si="1"/>
        <v>1475384.6153846155</v>
      </c>
      <c r="H35" s="19">
        <f t="shared" si="2"/>
        <v>1497795.5209347617</v>
      </c>
      <c r="J35" s="92">
        <f t="shared" si="8"/>
        <v>2028</v>
      </c>
      <c r="K35" s="93">
        <f t="shared" si="3"/>
        <v>1922610.5690612474</v>
      </c>
      <c r="L35" s="94">
        <f t="shared" si="4"/>
        <v>1538088.455248998</v>
      </c>
      <c r="M35" s="94">
        <f t="shared" si="5"/>
        <v>384522.1138122495</v>
      </c>
      <c r="N35" s="87"/>
      <c r="O35" s="67"/>
      <c r="P35" s="67"/>
      <c r="Q35" s="67"/>
      <c r="R35" s="67"/>
      <c r="S35" s="67"/>
    </row>
    <row r="36" spans="1:19" ht="409.6">
      <c r="A36" s="17">
        <f t="shared" si="9"/>
        <v>2029</v>
      </c>
      <c r="B36" s="17">
        <f>1+B35</f>
        <v>15</v>
      </c>
      <c r="C36" s="18">
        <f t="shared" si="6"/>
        <v>1500000</v>
      </c>
      <c r="D36" s="19">
        <f t="shared" si="0"/>
        <v>1522784.8101265824</v>
      </c>
      <c r="E36" s="65">
        <f t="shared" si="11"/>
        <v>7.1428571428571397E-2</v>
      </c>
      <c r="F36" s="54">
        <f t="shared" si="10"/>
        <v>4.9999999999999975E-2</v>
      </c>
      <c r="G36" s="19">
        <f t="shared" si="1"/>
        <v>1553469.339801488</v>
      </c>
      <c r="H36" s="19">
        <f t="shared" si="2"/>
        <v>1553469.339801488</v>
      </c>
      <c r="J36" s="92">
        <f t="shared" si="8"/>
        <v>2029</v>
      </c>
      <c r="K36" s="93">
        <f t="shared" si="3"/>
        <v>1941836.6747518599</v>
      </c>
      <c r="L36" s="94">
        <f t="shared" si="4"/>
        <v>1553469.339801488</v>
      </c>
      <c r="M36" s="94">
        <f t="shared" si="5"/>
        <v>388367.33495037199</v>
      </c>
      <c r="N36" s="87"/>
      <c r="O36" s="67"/>
      <c r="P36" s="67"/>
      <c r="Q36" s="67"/>
      <c r="R36" s="67"/>
      <c r="S36" s="67"/>
    </row>
    <row r="37" spans="1:19" ht="409.6">
      <c r="A37" s="61" t="s">
        <v>81</v>
      </c>
      <c r="M37" s="67"/>
      <c r="N37" s="67"/>
      <c r="O37" s="67"/>
      <c r="P37" s="67"/>
      <c r="Q37" s="67"/>
      <c r="R37" s="67"/>
      <c r="S37" s="67"/>
    </row>
    <row r="38" spans="1:19" ht="409.6">
      <c r="A38" s="60"/>
      <c r="B38" s="20"/>
      <c r="C38" s="20"/>
      <c r="D38" s="20"/>
      <c r="E38" s="20"/>
      <c r="F38" s="20"/>
      <c r="G38" s="68"/>
      <c r="H38" s="68"/>
      <c r="R38" s="2"/>
    </row>
    <row r="39" spans="1:19" ht="409.6">
      <c r="A39" s="69" t="s">
        <v>53</v>
      </c>
      <c r="B39" s="69"/>
      <c r="C39" s="69"/>
      <c r="D39" s="69"/>
      <c r="E39" s="20"/>
      <c r="O39" s="4"/>
      <c r="P39" s="4"/>
      <c r="Q39" s="4"/>
      <c r="R39" s="4"/>
    </row>
    <row r="40" spans="1:19" ht="409.6">
      <c r="A40" s="7" t="s">
        <v>38</v>
      </c>
      <c r="E40" s="20"/>
      <c r="O40" s="4"/>
      <c r="P40" s="4"/>
      <c r="Q40" s="4"/>
      <c r="R40" s="4"/>
    </row>
    <row r="41" spans="1:19" ht="409.6">
      <c r="A41" s="6" t="s">
        <v>4</v>
      </c>
      <c r="D41" s="3">
        <f>C5</f>
        <v>1</v>
      </c>
      <c r="E41" s="41"/>
      <c r="F41" s="42"/>
      <c r="G41" s="42"/>
      <c r="H41" s="42"/>
      <c r="I41" s="42"/>
      <c r="J41" s="42"/>
      <c r="K41" s="42"/>
      <c r="L41" s="42"/>
    </row>
    <row r="42" spans="1:19" ht="409.6">
      <c r="A42" s="6" t="s">
        <v>5</v>
      </c>
      <c r="D42" s="3">
        <f>D41*12</f>
        <v>12</v>
      </c>
      <c r="F42" s="42"/>
      <c r="G42" s="42"/>
      <c r="H42" s="42"/>
      <c r="I42" s="42"/>
      <c r="J42" s="42"/>
      <c r="K42" s="42"/>
      <c r="L42" s="42"/>
    </row>
    <row r="43" spans="1:19" ht="409.6">
      <c r="F43" s="46"/>
      <c r="G43" s="42"/>
      <c r="H43" s="42"/>
      <c r="I43" s="42"/>
      <c r="J43" s="42"/>
      <c r="K43" s="42"/>
      <c r="L43" s="42"/>
    </row>
    <row r="44" spans="1:19" ht="11.25" customHeight="1">
      <c r="A44" s="21" t="s">
        <v>62</v>
      </c>
      <c r="B44" s="22"/>
      <c r="C44" s="22"/>
      <c r="D44" s="22"/>
      <c r="F44" s="42"/>
      <c r="G44" s="48"/>
      <c r="H44" s="42"/>
      <c r="I44" s="42"/>
      <c r="J44" s="42"/>
      <c r="K44" s="42"/>
      <c r="L44" s="42"/>
      <c r="M44" s="1"/>
    </row>
    <row r="45" spans="1:19" ht="12" customHeight="1">
      <c r="A45" s="88" t="s">
        <v>75</v>
      </c>
      <c r="B45" s="22"/>
      <c r="C45" s="22"/>
      <c r="D45" s="28"/>
      <c r="F45" s="46"/>
      <c r="G45" s="46"/>
      <c r="H45" s="47"/>
      <c r="I45" s="44"/>
      <c r="J45" s="45"/>
      <c r="K45" s="45"/>
      <c r="L45" s="42"/>
      <c r="M45" s="1"/>
    </row>
    <row r="46" spans="1:19" ht="409.6">
      <c r="A46" s="22"/>
      <c r="B46" s="22"/>
      <c r="C46" s="22"/>
      <c r="D46" s="22"/>
      <c r="F46" s="42"/>
      <c r="G46" s="42"/>
      <c r="H46" s="48"/>
      <c r="I46" s="44"/>
      <c r="J46" s="45"/>
      <c r="K46" s="45"/>
      <c r="L46" s="42"/>
      <c r="N46" s="31"/>
    </row>
    <row r="47" spans="1:19" ht="409.6">
      <c r="A47" s="23" t="s">
        <v>8</v>
      </c>
      <c r="B47" s="23" t="s">
        <v>12</v>
      </c>
      <c r="C47" s="23" t="s">
        <v>13</v>
      </c>
      <c r="D47" s="25"/>
      <c r="F47" s="42"/>
      <c r="G47" s="42"/>
      <c r="H47" s="49"/>
      <c r="I47" s="44"/>
      <c r="J47" s="45"/>
      <c r="K47" s="45"/>
      <c r="L47" s="101"/>
      <c r="M47" s="1"/>
    </row>
    <row r="48" spans="1:19" ht="409.6">
      <c r="A48" s="99">
        <v>2014</v>
      </c>
      <c r="B48" s="26">
        <v>1739000</v>
      </c>
      <c r="C48" s="23"/>
      <c r="D48" s="25"/>
      <c r="E48" s="30" t="s">
        <v>15</v>
      </c>
      <c r="F48" s="42"/>
      <c r="G48" s="42"/>
      <c r="H48" s="49"/>
      <c r="I48" s="44"/>
      <c r="J48" s="45"/>
      <c r="K48" s="45"/>
      <c r="L48" s="42"/>
      <c r="M48" s="1"/>
    </row>
    <row r="49" spans="1:18" ht="409.6">
      <c r="A49" s="24">
        <v>2015</v>
      </c>
      <c r="B49" s="26">
        <f t="shared" ref="B49:B62" si="12">MAX(B48-(H23-H22),M22)</f>
        <v>1495354.4303797469</v>
      </c>
      <c r="C49" s="27">
        <f t="shared" ref="C49:C63" si="13">B49*$D$42*$C$7</f>
        <v>17944253.164556965</v>
      </c>
      <c r="D49" s="25"/>
      <c r="E49" s="29" t="s">
        <v>14</v>
      </c>
      <c r="F49" s="42"/>
      <c r="G49" s="42"/>
      <c r="H49" s="43"/>
      <c r="I49" s="44"/>
      <c r="J49" s="45"/>
      <c r="K49" s="45"/>
      <c r="L49" s="100"/>
      <c r="M49" s="1"/>
      <c r="N49" s="31"/>
    </row>
    <row r="50" spans="1:18" ht="409.6">
      <c r="A50" s="24">
        <v>2016</v>
      </c>
      <c r="B50" s="26">
        <f t="shared" si="12"/>
        <v>1429367.0886075948</v>
      </c>
      <c r="C50" s="27">
        <f t="shared" si="13"/>
        <v>17152405.06329114</v>
      </c>
      <c r="D50" s="25"/>
      <c r="H50" s="39"/>
      <c r="I50" s="1"/>
      <c r="J50" s="45"/>
      <c r="K50" s="45"/>
      <c r="L50" s="100"/>
      <c r="M50" s="1"/>
    </row>
    <row r="51" spans="1:18" ht="409.6">
      <c r="A51" s="24">
        <v>2017</v>
      </c>
      <c r="B51" s="26">
        <f t="shared" si="12"/>
        <v>1339691.9831223628</v>
      </c>
      <c r="C51" s="27">
        <f t="shared" si="13"/>
        <v>16076303.797468353</v>
      </c>
      <c r="D51" s="25"/>
      <c r="H51" s="39"/>
      <c r="I51" s="1"/>
      <c r="J51" s="45"/>
      <c r="K51" s="45"/>
      <c r="L51" s="100"/>
    </row>
    <row r="52" spans="1:18" ht="409.6">
      <c r="A52" s="24">
        <v>2018</v>
      </c>
      <c r="B52" s="26">
        <f t="shared" si="12"/>
        <v>1244094.9367088606</v>
      </c>
      <c r="C52" s="27">
        <f t="shared" si="13"/>
        <v>14929139.240506327</v>
      </c>
      <c r="D52" s="25"/>
      <c r="F52" s="5"/>
      <c r="G52" s="63"/>
      <c r="H52" s="63"/>
      <c r="I52" s="63"/>
      <c r="J52" s="64"/>
      <c r="K52" s="45"/>
      <c r="L52" s="100"/>
    </row>
    <row r="53" spans="1:18" ht="409.6">
      <c r="A53" s="24">
        <v>2019</v>
      </c>
      <c r="B53" s="26">
        <f t="shared" si="12"/>
        <v>1146129.1139240505</v>
      </c>
      <c r="C53" s="27">
        <f t="shared" si="13"/>
        <v>13753549.367088605</v>
      </c>
      <c r="D53" s="25"/>
      <c r="F53" s="32" t="s">
        <v>82</v>
      </c>
      <c r="G53" s="63"/>
      <c r="H53" s="63"/>
      <c r="I53" s="63"/>
      <c r="J53" s="64"/>
      <c r="K53" s="45"/>
      <c r="L53" s="100"/>
    </row>
    <row r="54" spans="1:18" ht="409.6">
      <c r="A54" s="24">
        <v>2020</v>
      </c>
      <c r="B54" s="26">
        <f t="shared" si="12"/>
        <v>1046978.9029535863</v>
      </c>
      <c r="C54" s="27">
        <f t="shared" si="13"/>
        <v>12563746.835443035</v>
      </c>
      <c r="D54" s="25"/>
      <c r="G54" s="63"/>
      <c r="H54" s="112" t="s">
        <v>59</v>
      </c>
      <c r="I54" s="63"/>
      <c r="J54" s="63"/>
      <c r="K54" s="45"/>
      <c r="L54" s="100"/>
      <c r="M54" s="1"/>
    </row>
    <row r="55" spans="1:18" ht="409.6">
      <c r="A55" s="24">
        <v>2021</v>
      </c>
      <c r="B55" s="26">
        <f t="shared" si="12"/>
        <v>947151.89873417723</v>
      </c>
      <c r="C55" s="27">
        <f t="shared" si="13"/>
        <v>11365822.784810126</v>
      </c>
      <c r="D55" s="25"/>
      <c r="F55" s="137" t="s">
        <v>60</v>
      </c>
      <c r="G55" s="117">
        <v>0.6</v>
      </c>
      <c r="H55" s="115">
        <v>-93788978.697670266</v>
      </c>
      <c r="I55" s="63"/>
      <c r="J55" s="63"/>
      <c r="K55" s="45"/>
      <c r="L55" s="100"/>
      <c r="M55" s="1"/>
    </row>
    <row r="56" spans="1:18" ht="409.6">
      <c r="A56" s="24">
        <v>2022</v>
      </c>
      <c r="B56" s="26">
        <f t="shared" si="12"/>
        <v>846901.89873417711</v>
      </c>
      <c r="C56" s="27">
        <f t="shared" si="13"/>
        <v>10162822.784810126</v>
      </c>
      <c r="D56" s="25"/>
      <c r="F56" s="137"/>
      <c r="G56" s="124">
        <v>1.2</v>
      </c>
      <c r="H56" s="125">
        <v>-93396617.577496171</v>
      </c>
      <c r="I56" s="63"/>
      <c r="J56" s="63"/>
      <c r="K56" s="45"/>
      <c r="L56" s="100"/>
      <c r="M56" s="1"/>
    </row>
    <row r="57" spans="1:18" ht="409.6">
      <c r="A57" s="24">
        <v>2023</v>
      </c>
      <c r="B57" s="26">
        <f t="shared" si="12"/>
        <v>746369.90154711669</v>
      </c>
      <c r="C57" s="27">
        <f t="shared" si="13"/>
        <v>8956438.8185654003</v>
      </c>
      <c r="D57" s="25"/>
      <c r="F57" s="137"/>
      <c r="G57" s="117">
        <v>3</v>
      </c>
      <c r="H57" s="115">
        <v>-92219534.216973975</v>
      </c>
      <c r="I57" s="63"/>
      <c r="J57" s="63"/>
      <c r="K57" s="45"/>
      <c r="L57" s="100"/>
      <c r="M57" s="1"/>
    </row>
    <row r="58" spans="1:18" ht="409.6">
      <c r="A58" s="24">
        <v>2024</v>
      </c>
      <c r="B58" s="26">
        <f t="shared" si="12"/>
        <v>645640.50632911408</v>
      </c>
      <c r="C58" s="27">
        <f t="shared" si="13"/>
        <v>7747686.075949369</v>
      </c>
      <c r="D58" s="25"/>
      <c r="G58" s="63"/>
      <c r="H58" s="116"/>
      <c r="I58" s="63"/>
      <c r="J58" s="63"/>
      <c r="K58" s="45"/>
      <c r="L58" s="100"/>
      <c r="M58" s="1"/>
    </row>
    <row r="59" spans="1:18" ht="409.6">
      <c r="A59" s="24">
        <f>1+A58</f>
        <v>2025</v>
      </c>
      <c r="B59" s="26">
        <f t="shared" si="12"/>
        <v>544767.54890678916</v>
      </c>
      <c r="C59" s="27">
        <f t="shared" si="13"/>
        <v>6537210.5868814699</v>
      </c>
      <c r="D59" s="25"/>
      <c r="G59" s="4"/>
      <c r="H59" s="4"/>
      <c r="I59" s="4"/>
      <c r="J59" s="40"/>
      <c r="K59" s="113"/>
      <c r="L59" s="114"/>
    </row>
    <row r="60" spans="1:18" ht="409.6">
      <c r="A60" s="24">
        <f t="shared" ref="A60:A63" si="14">1+A59</f>
        <v>2026</v>
      </c>
      <c r="B60" s="26">
        <f t="shared" si="12"/>
        <v>443786.91983122355</v>
      </c>
      <c r="C60" s="27">
        <f t="shared" si="13"/>
        <v>5325443.0379746826</v>
      </c>
      <c r="D60" s="25"/>
      <c r="G60" s="4"/>
      <c r="H60" s="4"/>
      <c r="I60" s="4"/>
      <c r="J60" s="4"/>
      <c r="K60" s="45"/>
      <c r="L60" s="100"/>
    </row>
    <row r="61" spans="1:18" ht="409.6">
      <c r="A61" s="24">
        <f t="shared" si="14"/>
        <v>2027</v>
      </c>
      <c r="B61" s="26">
        <f t="shared" si="12"/>
        <v>380714.96417054406</v>
      </c>
      <c r="C61" s="27">
        <f t="shared" si="13"/>
        <v>4568579.5700465292</v>
      </c>
      <c r="D61" s="25"/>
      <c r="G61" s="4"/>
      <c r="H61" s="4"/>
      <c r="I61" s="4"/>
      <c r="J61" s="4"/>
      <c r="K61" s="45"/>
      <c r="L61" s="100"/>
    </row>
    <row r="62" spans="1:18" ht="409.6">
      <c r="A62" s="24">
        <f t="shared" si="14"/>
        <v>2028</v>
      </c>
      <c r="B62" s="26">
        <f t="shared" si="12"/>
        <v>384522.1138122495</v>
      </c>
      <c r="C62" s="27">
        <f t="shared" si="13"/>
        <v>4614265.3657469936</v>
      </c>
      <c r="D62" s="25"/>
      <c r="G62" s="4"/>
      <c r="H62" s="4"/>
      <c r="I62" s="4"/>
      <c r="J62" s="4"/>
      <c r="K62" s="45"/>
    </row>
    <row r="63" spans="1:18" ht="409.6">
      <c r="A63" s="24">
        <f t="shared" si="14"/>
        <v>2029</v>
      </c>
      <c r="B63" s="26">
        <f>M36</f>
        <v>388367.33495037199</v>
      </c>
      <c r="C63" s="27">
        <f t="shared" si="13"/>
        <v>4660408.0194044635</v>
      </c>
      <c r="D63" s="25"/>
      <c r="G63" s="4"/>
      <c r="H63" s="4"/>
      <c r="I63" s="4"/>
      <c r="J63" s="4"/>
      <c r="K63" s="45"/>
    </row>
    <row r="64" spans="1:18" ht="409.6">
      <c r="A64" s="60"/>
      <c r="B64" s="95" t="s">
        <v>59</v>
      </c>
      <c r="C64" s="96">
        <f>-NPV($C$4,C49:C63)</f>
        <v>-93396617.577496171</v>
      </c>
      <c r="D64" s="20"/>
      <c r="E64" s="20"/>
      <c r="G64" s="66"/>
      <c r="H64" s="66"/>
      <c r="R64" s="2"/>
    </row>
    <row r="65" spans="1:18" ht="409.6">
      <c r="A65" s="60"/>
      <c r="B65" s="20"/>
      <c r="C65" s="40"/>
      <c r="D65" s="20"/>
      <c r="E65" s="20"/>
      <c r="G65" s="66"/>
      <c r="H65" s="66"/>
      <c r="R65" s="2"/>
    </row>
    <row r="66" spans="1:18" ht="409.6">
      <c r="A66" s="71" t="s">
        <v>55</v>
      </c>
      <c r="B66" s="72"/>
      <c r="C66" s="72"/>
      <c r="D66" s="72"/>
      <c r="E66" s="20"/>
      <c r="H66" s="66"/>
      <c r="R66" s="2"/>
    </row>
    <row r="67" spans="1:18" ht="12" thickBot="1">
      <c r="A67" s="60"/>
      <c r="B67" s="20"/>
      <c r="C67" s="20"/>
      <c r="D67" s="20"/>
      <c r="E67" s="20"/>
      <c r="H67" s="66"/>
      <c r="J67" s="75"/>
      <c r="K67" s="75"/>
      <c r="R67" s="2"/>
    </row>
    <row r="68" spans="1:18" ht="409.6">
      <c r="A68" s="32"/>
      <c r="B68" s="133" t="s">
        <v>41</v>
      </c>
      <c r="C68" s="134"/>
      <c r="D68" s="133" t="s">
        <v>56</v>
      </c>
      <c r="E68" s="134"/>
      <c r="F68" s="133" t="s">
        <v>63</v>
      </c>
      <c r="G68" s="134"/>
      <c r="H68" s="66"/>
      <c r="J68" s="74"/>
      <c r="K68" s="74"/>
      <c r="R68" s="2"/>
    </row>
    <row r="69" spans="1:18" ht="409.6">
      <c r="A69" s="76" t="s">
        <v>8</v>
      </c>
      <c r="B69" s="78" t="s">
        <v>57</v>
      </c>
      <c r="C69" s="79" t="s">
        <v>58</v>
      </c>
      <c r="D69" s="78" t="s">
        <v>57</v>
      </c>
      <c r="E69" s="79" t="s">
        <v>58</v>
      </c>
      <c r="F69" s="78" t="s">
        <v>57</v>
      </c>
      <c r="G69" s="79" t="s">
        <v>58</v>
      </c>
      <c r="H69" s="66"/>
      <c r="R69" s="2"/>
    </row>
    <row r="70" spans="1:18" ht="409.6">
      <c r="A70" s="77">
        <v>2015</v>
      </c>
      <c r="B70" s="80">
        <f>G22</f>
        <v>100000</v>
      </c>
      <c r="C70" s="80">
        <f>H22</f>
        <v>101518.98734177215</v>
      </c>
      <c r="D70" s="81">
        <f t="shared" ref="D70:D84" si="15">B70*$C$10</f>
        <v>102000000</v>
      </c>
      <c r="E70" s="82">
        <f t="shared" ref="E70:E84" si="16">C70*$C$10</f>
        <v>103549367.08860759</v>
      </c>
      <c r="F70" s="81">
        <f t="shared" ref="F70:F84" si="17">D70*$C$9</f>
        <v>25500000</v>
      </c>
      <c r="G70" s="82">
        <f t="shared" ref="G70:G84" si="18">E70*$C$9</f>
        <v>25887341.772151899</v>
      </c>
      <c r="H70" s="66"/>
      <c r="I70" s="60"/>
      <c r="J70" s="4"/>
      <c r="K70" s="4"/>
      <c r="R70" s="2"/>
    </row>
    <row r="71" spans="1:18" ht="409.6">
      <c r="A71" s="77">
        <v>2016</v>
      </c>
      <c r="B71" s="80">
        <f t="shared" ref="B71:C71" si="19">G23</f>
        <v>340000</v>
      </c>
      <c r="C71" s="80">
        <f t="shared" si="19"/>
        <v>345164.55696202529</v>
      </c>
      <c r="D71" s="81">
        <f t="shared" si="15"/>
        <v>346800000</v>
      </c>
      <c r="E71" s="82">
        <f t="shared" si="16"/>
        <v>352067848.10126579</v>
      </c>
      <c r="F71" s="81">
        <f t="shared" si="17"/>
        <v>86700000</v>
      </c>
      <c r="G71" s="82">
        <f t="shared" si="18"/>
        <v>88016962.025316447</v>
      </c>
      <c r="H71" s="66"/>
      <c r="I71" s="128"/>
      <c r="J71" s="4"/>
      <c r="K71" s="4"/>
      <c r="R71" s="2"/>
    </row>
    <row r="72" spans="1:18" ht="409.6">
      <c r="A72" s="77">
        <v>2017</v>
      </c>
      <c r="B72" s="80">
        <f t="shared" ref="B72:C72" si="20">G24</f>
        <v>405000</v>
      </c>
      <c r="C72" s="80">
        <f t="shared" si="20"/>
        <v>411151.89873417729</v>
      </c>
      <c r="D72" s="81">
        <f t="shared" si="15"/>
        <v>413100000</v>
      </c>
      <c r="E72" s="82">
        <f t="shared" si="16"/>
        <v>419374936.70886081</v>
      </c>
      <c r="F72" s="81">
        <f t="shared" si="17"/>
        <v>103275000</v>
      </c>
      <c r="G72" s="82">
        <f t="shared" si="18"/>
        <v>104843734.1772152</v>
      </c>
      <c r="H72" s="66"/>
      <c r="I72" s="60"/>
      <c r="J72" s="4"/>
      <c r="K72" s="4"/>
      <c r="R72" s="2"/>
    </row>
    <row r="73" spans="1:18" ht="409.6">
      <c r="A73" s="77">
        <v>2018</v>
      </c>
      <c r="B73" s="80">
        <f t="shared" ref="B73:C73" si="21">G25</f>
        <v>493333.33333333326</v>
      </c>
      <c r="C73" s="80">
        <f t="shared" si="21"/>
        <v>500827.00421940925</v>
      </c>
      <c r="D73" s="81">
        <f t="shared" si="15"/>
        <v>503199999.99999994</v>
      </c>
      <c r="E73" s="82">
        <f t="shared" si="16"/>
        <v>510843544.30379742</v>
      </c>
      <c r="F73" s="81">
        <f t="shared" si="17"/>
        <v>125799999.99999999</v>
      </c>
      <c r="G73" s="82">
        <f t="shared" si="18"/>
        <v>127710886.07594936</v>
      </c>
      <c r="H73" s="66"/>
      <c r="I73" s="60"/>
      <c r="J73" s="4"/>
      <c r="K73" s="4"/>
      <c r="R73" s="2"/>
    </row>
    <row r="74" spans="1:18" ht="409.6">
      <c r="A74" s="77">
        <v>2019</v>
      </c>
      <c r="B74" s="80">
        <f t="shared" ref="B74:C74" si="22">G26</f>
        <v>587500</v>
      </c>
      <c r="C74" s="80">
        <f t="shared" si="22"/>
        <v>596424.0506329115</v>
      </c>
      <c r="D74" s="81">
        <f t="shared" si="15"/>
        <v>599250000</v>
      </c>
      <c r="E74" s="82">
        <f t="shared" si="16"/>
        <v>608352531.64556968</v>
      </c>
      <c r="F74" s="81">
        <f t="shared" si="17"/>
        <v>149812500</v>
      </c>
      <c r="G74" s="82">
        <f t="shared" si="18"/>
        <v>152088132.91139242</v>
      </c>
      <c r="H74" s="66"/>
      <c r="R74" s="2"/>
    </row>
    <row r="75" spans="1:18" ht="409.6">
      <c r="A75" s="77">
        <v>2020</v>
      </c>
      <c r="B75" s="80">
        <f t="shared" ref="B75:C75" si="23">G27</f>
        <v>683999.99999999988</v>
      </c>
      <c r="C75" s="80">
        <f t="shared" si="23"/>
        <v>694389.8734177216</v>
      </c>
      <c r="D75" s="81">
        <f t="shared" si="15"/>
        <v>697679999.99999988</v>
      </c>
      <c r="E75" s="82">
        <f t="shared" si="16"/>
        <v>708277670.88607597</v>
      </c>
      <c r="F75" s="81">
        <f t="shared" si="17"/>
        <v>174419999.99999997</v>
      </c>
      <c r="G75" s="82">
        <f t="shared" si="18"/>
        <v>177069417.72151899</v>
      </c>
      <c r="H75" s="66"/>
      <c r="R75" s="2"/>
    </row>
    <row r="76" spans="1:18" ht="409.6">
      <c r="A76" s="77">
        <v>2021</v>
      </c>
      <c r="B76" s="80">
        <f t="shared" ref="B76:C76" si="24">G28</f>
        <v>781666.66666666674</v>
      </c>
      <c r="C76" s="80">
        <f t="shared" si="24"/>
        <v>793540.08438818576</v>
      </c>
      <c r="D76" s="81">
        <f t="shared" si="15"/>
        <v>797300000.00000012</v>
      </c>
      <c r="E76" s="82">
        <f t="shared" si="16"/>
        <v>809410886.07594943</v>
      </c>
      <c r="F76" s="81">
        <f t="shared" si="17"/>
        <v>199325000.00000003</v>
      </c>
      <c r="G76" s="82">
        <f t="shared" si="18"/>
        <v>202352721.51898736</v>
      </c>
      <c r="H76" s="66"/>
      <c r="R76" s="2"/>
    </row>
    <row r="77" spans="1:18" ht="11.25" customHeight="1">
      <c r="A77" s="77">
        <v>2022</v>
      </c>
      <c r="B77" s="80">
        <f t="shared" ref="B77:C77" si="25">G29</f>
        <v>879999.99999999988</v>
      </c>
      <c r="C77" s="80">
        <f t="shared" si="25"/>
        <v>893367.08860759484</v>
      </c>
      <c r="D77" s="81">
        <f t="shared" si="15"/>
        <v>897599999.99999988</v>
      </c>
      <c r="E77" s="82">
        <f t="shared" si="16"/>
        <v>911234430.37974668</v>
      </c>
      <c r="F77" s="81">
        <f t="shared" si="17"/>
        <v>224399999.99999997</v>
      </c>
      <c r="G77" s="82">
        <f t="shared" si="18"/>
        <v>227808607.59493667</v>
      </c>
      <c r="H77" s="66"/>
      <c r="I77" s="32" t="s">
        <v>82</v>
      </c>
      <c r="J77" s="121"/>
      <c r="K77" s="130" t="s">
        <v>83</v>
      </c>
      <c r="L77" s="130"/>
      <c r="M77" s="130"/>
      <c r="R77" s="2"/>
    </row>
    <row r="78" spans="1:18" ht="409.6">
      <c r="A78" s="77">
        <v>2023</v>
      </c>
      <c r="B78" s="80">
        <f t="shared" ref="B78:C78" si="26">G30</f>
        <v>978749.99999999988</v>
      </c>
      <c r="C78" s="80">
        <f t="shared" si="26"/>
        <v>993617.08860759495</v>
      </c>
      <c r="D78" s="81">
        <f t="shared" si="15"/>
        <v>998324999.99999988</v>
      </c>
      <c r="E78" s="82">
        <f t="shared" si="16"/>
        <v>1013489430.3797468</v>
      </c>
      <c r="F78" s="81">
        <f t="shared" si="17"/>
        <v>249581249.99999997</v>
      </c>
      <c r="G78" s="82">
        <f t="shared" si="18"/>
        <v>253372357.5949367</v>
      </c>
      <c r="H78" s="66"/>
      <c r="I78" s="122"/>
      <c r="J78" s="123"/>
      <c r="K78" s="118">
        <v>0.02</v>
      </c>
      <c r="L78" s="118">
        <v>0.25</v>
      </c>
      <c r="M78" s="118">
        <v>0.5</v>
      </c>
      <c r="R78" s="2"/>
    </row>
    <row r="79" spans="1:18" ht="409.6">
      <c r="A79" s="77">
        <v>2024</v>
      </c>
      <c r="B79" s="80">
        <f t="shared" ref="B79:C79" si="27">G31</f>
        <v>1077777.7777777778</v>
      </c>
      <c r="C79" s="80">
        <f t="shared" si="27"/>
        <v>1094149.0857946554</v>
      </c>
      <c r="D79" s="81">
        <f t="shared" si="15"/>
        <v>1099333333.3333333</v>
      </c>
      <c r="E79" s="82">
        <f t="shared" si="16"/>
        <v>1116032067.5105486</v>
      </c>
      <c r="F79" s="81">
        <f t="shared" si="17"/>
        <v>274833333.33333331</v>
      </c>
      <c r="G79" s="82">
        <f t="shared" si="18"/>
        <v>279008016.87763715</v>
      </c>
      <c r="H79" s="66"/>
      <c r="I79" s="130" t="s">
        <v>84</v>
      </c>
      <c r="J79" s="119">
        <v>0.6</v>
      </c>
      <c r="K79" s="120">
        <v>776629</v>
      </c>
      <c r="L79" s="120">
        <v>9707857</v>
      </c>
      <c r="M79" s="120">
        <v>19415714</v>
      </c>
      <c r="R79" s="2"/>
    </row>
    <row r="80" spans="1:18" ht="409.6">
      <c r="A80" s="77">
        <f>1+A79</f>
        <v>2025</v>
      </c>
      <c r="B80" s="80">
        <f t="shared" ref="B80:C80" si="28">G32</f>
        <v>1176999.9999999998</v>
      </c>
      <c r="C80" s="80">
        <f t="shared" si="28"/>
        <v>1194878.481012658</v>
      </c>
      <c r="D80" s="81">
        <f t="shared" si="15"/>
        <v>1200539999.9999998</v>
      </c>
      <c r="E80" s="82">
        <f t="shared" si="16"/>
        <v>1218776050.6329112</v>
      </c>
      <c r="F80" s="81">
        <f t="shared" si="17"/>
        <v>300134999.99999994</v>
      </c>
      <c r="G80" s="82">
        <f t="shared" si="18"/>
        <v>304694012.6582278</v>
      </c>
      <c r="H80" s="66"/>
      <c r="I80" s="130"/>
      <c r="J80" s="126">
        <v>1.2</v>
      </c>
      <c r="K80" s="127">
        <v>1553257</v>
      </c>
      <c r="L80" s="127">
        <v>19415714</v>
      </c>
      <c r="M80" s="127">
        <v>38831428</v>
      </c>
      <c r="R80" s="2"/>
    </row>
    <row r="81" spans="1:18" ht="409.6">
      <c r="A81" s="77">
        <f>1+A80</f>
        <v>2026</v>
      </c>
      <c r="B81" s="80">
        <f t="shared" ref="B81:C81" si="29">G33</f>
        <v>1276363.6363636365</v>
      </c>
      <c r="C81" s="80">
        <f t="shared" si="29"/>
        <v>1295751.4384349829</v>
      </c>
      <c r="D81" s="81">
        <f t="shared" si="15"/>
        <v>1301890909.0909092</v>
      </c>
      <c r="E81" s="82">
        <f t="shared" si="16"/>
        <v>1321666467.2036827</v>
      </c>
      <c r="F81" s="81">
        <f t="shared" si="17"/>
        <v>325472727.27272731</v>
      </c>
      <c r="G81" s="82">
        <f t="shared" si="18"/>
        <v>330416616.80092067</v>
      </c>
      <c r="H81" s="66"/>
      <c r="I81" s="130"/>
      <c r="J81" s="119">
        <v>3</v>
      </c>
      <c r="K81" s="120">
        <v>3883143</v>
      </c>
      <c r="L81" s="120">
        <v>48539285</v>
      </c>
      <c r="M81" s="120">
        <v>97078570</v>
      </c>
      <c r="R81" s="2"/>
    </row>
    <row r="82" spans="1:18" ht="409.6">
      <c r="A82" s="77">
        <f>1+A81</f>
        <v>2027</v>
      </c>
      <c r="B82" s="80">
        <f t="shared" ref="B82:C82" si="30">G34</f>
        <v>1375833.3333333333</v>
      </c>
      <c r="C82" s="80">
        <f t="shared" si="30"/>
        <v>1396732.0675105485</v>
      </c>
      <c r="D82" s="81">
        <f t="shared" si="15"/>
        <v>1403350000</v>
      </c>
      <c r="E82" s="82">
        <f t="shared" si="16"/>
        <v>1424666708.8607595</v>
      </c>
      <c r="F82" s="81">
        <f t="shared" si="17"/>
        <v>350837500</v>
      </c>
      <c r="G82" s="82">
        <f t="shared" si="18"/>
        <v>356166677.21518987</v>
      </c>
      <c r="H82" s="66"/>
      <c r="I82" s="60"/>
      <c r="J82" s="4"/>
      <c r="K82" s="4"/>
      <c r="R82" s="2"/>
    </row>
    <row r="83" spans="1:18" ht="409.6">
      <c r="A83" s="77">
        <f>1+A82</f>
        <v>2028</v>
      </c>
      <c r="B83" s="80">
        <f t="shared" ref="B83:C83" si="31">G35</f>
        <v>1475384.6153846155</v>
      </c>
      <c r="C83" s="80">
        <f t="shared" si="31"/>
        <v>1497795.5209347617</v>
      </c>
      <c r="D83" s="81">
        <f t="shared" si="15"/>
        <v>1504892307.6923077</v>
      </c>
      <c r="E83" s="82">
        <f t="shared" si="16"/>
        <v>1527751431.353457</v>
      </c>
      <c r="F83" s="81">
        <f t="shared" si="17"/>
        <v>376223076.92307693</v>
      </c>
      <c r="G83" s="82">
        <f t="shared" si="18"/>
        <v>381937857.83836424</v>
      </c>
      <c r="H83" s="66"/>
      <c r="R83" s="2"/>
    </row>
    <row r="84" spans="1:18" ht="12" thickBot="1">
      <c r="A84" s="77">
        <f>1+A83</f>
        <v>2029</v>
      </c>
      <c r="B84" s="80">
        <f t="shared" ref="B84:C84" si="32">G36</f>
        <v>1553469.339801488</v>
      </c>
      <c r="C84" s="80">
        <f t="shared" si="32"/>
        <v>1553469.339801488</v>
      </c>
      <c r="D84" s="83">
        <f t="shared" si="15"/>
        <v>1584538726.5975177</v>
      </c>
      <c r="E84" s="84">
        <f t="shared" si="16"/>
        <v>1584538726.5975177</v>
      </c>
      <c r="F84" s="83">
        <f t="shared" si="17"/>
        <v>396134681.64937943</v>
      </c>
      <c r="G84" s="84">
        <f t="shared" si="18"/>
        <v>396134681.64937943</v>
      </c>
      <c r="H84" s="66"/>
      <c r="R84" s="2"/>
    </row>
    <row r="85" spans="1:18" ht="409.6">
      <c r="E85" s="85" t="s">
        <v>40</v>
      </c>
      <c r="F85" s="70">
        <f>NPV($C$4,F70:F84)</f>
        <v>1373032659.8030002</v>
      </c>
      <c r="G85" s="70">
        <f>NPV($C$4,G70:G84)</f>
        <v>1392448373.7250776</v>
      </c>
      <c r="H85" s="66"/>
      <c r="I85" s="4"/>
      <c r="J85" s="4"/>
      <c r="K85" s="4"/>
      <c r="R85" s="2"/>
    </row>
    <row r="86" spans="1:18" ht="409.6">
      <c r="E86" s="98" t="s">
        <v>39</v>
      </c>
      <c r="F86" s="96"/>
      <c r="G86" s="96">
        <f>G85-F85</f>
        <v>19415713.922077417</v>
      </c>
      <c r="H86" s="66"/>
      <c r="I86" s="74"/>
      <c r="J86" s="4"/>
      <c r="K86" s="4"/>
      <c r="R86" s="2"/>
    </row>
    <row r="87" spans="1:18" ht="409.6">
      <c r="A87" s="60"/>
      <c r="B87" s="20"/>
      <c r="C87" s="20"/>
      <c r="D87" s="20"/>
      <c r="E87" s="20"/>
      <c r="G87" s="66"/>
      <c r="H87" s="66"/>
      <c r="J87" s="4"/>
      <c r="K87" s="4"/>
      <c r="R87" s="2"/>
    </row>
    <row r="88" spans="1:18" ht="409.6">
      <c r="I88" s="4"/>
      <c r="R88" s="2"/>
    </row>
    <row r="89" spans="1:18" ht="409.6">
      <c r="R89" s="2"/>
    </row>
    <row r="90" spans="1:18" ht="409.6">
      <c r="R90" s="2"/>
    </row>
    <row r="91" spans="1:18" ht="409.6">
      <c r="R91" s="2"/>
    </row>
    <row r="92" spans="1:18" ht="409.6">
      <c r="R92" s="2"/>
    </row>
    <row r="93" spans="1:18" ht="409.6">
      <c r="R93" s="2"/>
    </row>
    <row r="94" spans="1:18" ht="409.6">
      <c r="R94" s="2"/>
    </row>
    <row r="95" spans="1:18" ht="409.6">
      <c r="R95" s="2"/>
    </row>
    <row r="96" spans="1:18" ht="409.6">
      <c r="A96" s="60"/>
      <c r="B96" s="20"/>
      <c r="C96" s="20"/>
      <c r="D96" s="20"/>
      <c r="E96" s="20"/>
      <c r="G96" s="3"/>
      <c r="H96" s="66"/>
      <c r="R96" s="2"/>
    </row>
    <row r="97" spans="1:18" ht="409.6">
      <c r="A97" s="41"/>
      <c r="R97" s="2"/>
    </row>
    <row r="98" spans="1:18" ht="409.6">
      <c r="A98" s="41"/>
      <c r="R98" s="2"/>
    </row>
    <row r="99" spans="1:18" ht="409.6">
      <c r="A99" s="41"/>
      <c r="R99" s="2"/>
    </row>
    <row r="100" spans="1:18" ht="409.6">
      <c r="A100" s="41"/>
      <c r="R100" s="2"/>
    </row>
    <row r="101" spans="1:18" ht="409.6">
      <c r="A101" s="41"/>
      <c r="B101" s="41"/>
      <c r="C101" s="41"/>
      <c r="D101" s="41"/>
      <c r="E101" s="41"/>
      <c r="F101" s="41"/>
      <c r="G101" s="41"/>
      <c r="H101" s="41"/>
      <c r="I101" s="41"/>
      <c r="J101" s="41"/>
      <c r="R101" s="2"/>
    </row>
    <row r="102" spans="1:18" ht="409.6">
      <c r="A102" s="41"/>
      <c r="B102" s="41"/>
      <c r="C102" s="41"/>
      <c r="D102" s="41"/>
      <c r="E102" s="41"/>
      <c r="F102" s="41"/>
      <c r="G102" s="41"/>
      <c r="H102" s="41"/>
      <c r="I102" s="41"/>
      <c r="J102" s="41"/>
      <c r="R102" s="2"/>
    </row>
    <row r="103" spans="1:18" ht="409.6">
      <c r="A103" s="41"/>
      <c r="B103" s="41"/>
      <c r="C103" s="41"/>
      <c r="D103" s="41"/>
      <c r="E103" s="41"/>
      <c r="F103" s="41"/>
      <c r="G103" s="41"/>
      <c r="H103" s="41"/>
      <c r="I103" s="41"/>
      <c r="J103" s="41"/>
      <c r="R103" s="2"/>
    </row>
    <row r="104" spans="1:18" ht="409.6">
      <c r="A104" s="41"/>
      <c r="B104" s="41"/>
      <c r="C104" s="41"/>
      <c r="D104" s="41"/>
      <c r="E104" s="41"/>
      <c r="F104" s="41"/>
      <c r="G104" s="41"/>
      <c r="H104" s="41"/>
      <c r="I104" s="41"/>
      <c r="J104" s="41"/>
      <c r="R104" s="2"/>
    </row>
    <row r="105" spans="1:18" ht="409.6">
      <c r="A105" s="41"/>
      <c r="B105" s="41"/>
      <c r="C105" s="41"/>
      <c r="D105" s="41"/>
      <c r="E105" s="41"/>
      <c r="F105" s="41"/>
      <c r="G105" s="41"/>
      <c r="H105" s="41"/>
      <c r="I105" s="41"/>
      <c r="J105" s="41"/>
      <c r="R105" s="2"/>
    </row>
    <row r="106" spans="1:18" ht="409.6">
      <c r="A106" s="41"/>
      <c r="B106" s="41"/>
      <c r="C106" s="41"/>
      <c r="D106" s="41"/>
      <c r="E106" s="41"/>
      <c r="F106" s="41"/>
      <c r="G106" s="41"/>
      <c r="H106" s="41"/>
      <c r="I106" s="41"/>
      <c r="J106" s="41"/>
      <c r="R106" s="2"/>
    </row>
    <row r="107" spans="1:18" ht="409.6">
      <c r="A107" s="41"/>
      <c r="B107" s="41"/>
      <c r="C107" s="41"/>
      <c r="D107" s="41"/>
      <c r="E107" s="41"/>
      <c r="F107" s="41"/>
      <c r="G107" s="41"/>
      <c r="H107" s="41"/>
      <c r="I107" s="41"/>
      <c r="J107" s="41"/>
      <c r="R107" s="2"/>
    </row>
    <row r="108" spans="1:18" ht="409.6">
      <c r="A108" s="41"/>
      <c r="B108" s="41"/>
      <c r="C108" s="41"/>
      <c r="D108" s="41"/>
      <c r="E108" s="41"/>
      <c r="F108" s="41"/>
      <c r="G108" s="41"/>
      <c r="H108" s="41"/>
      <c r="I108" s="41"/>
      <c r="J108" s="41"/>
      <c r="R108" s="2"/>
    </row>
    <row r="109" spans="1:18" ht="409.6">
      <c r="A109" s="41"/>
      <c r="B109" s="41"/>
      <c r="C109" s="41"/>
      <c r="D109" s="41"/>
      <c r="E109" s="41"/>
      <c r="F109" s="41"/>
      <c r="G109" s="41"/>
      <c r="H109" s="41"/>
      <c r="I109" s="41"/>
      <c r="J109" s="41"/>
      <c r="R109" s="2"/>
    </row>
    <row r="110" spans="1:18" ht="409.6">
      <c r="A110" s="41"/>
      <c r="B110" s="41"/>
      <c r="C110" s="41"/>
      <c r="D110" s="41"/>
      <c r="E110" s="41"/>
      <c r="F110" s="41"/>
      <c r="G110" s="41"/>
      <c r="H110" s="41"/>
      <c r="I110" s="41"/>
      <c r="J110" s="41"/>
      <c r="R110" s="2"/>
    </row>
    <row r="111" spans="1:18" ht="409.6">
      <c r="A111" s="41"/>
      <c r="B111" s="41"/>
      <c r="C111" s="41"/>
      <c r="D111" s="41"/>
      <c r="E111" s="41"/>
      <c r="F111" s="41"/>
      <c r="G111" s="41"/>
      <c r="H111" s="41"/>
      <c r="I111" s="41"/>
      <c r="J111" s="41"/>
      <c r="R111" s="2"/>
    </row>
    <row r="112" spans="1:18" ht="409.6">
      <c r="A112" s="41"/>
      <c r="B112" s="41"/>
      <c r="C112" s="41"/>
      <c r="D112" s="41"/>
      <c r="E112" s="41"/>
      <c r="F112" s="41"/>
      <c r="G112" s="41"/>
      <c r="H112" s="41"/>
      <c r="I112" s="41"/>
      <c r="J112" s="41"/>
      <c r="R112" s="2"/>
    </row>
    <row r="113" spans="1:23" ht="409.6">
      <c r="A113" s="41"/>
      <c r="B113" s="41"/>
      <c r="C113" s="41"/>
      <c r="D113" s="41"/>
      <c r="E113" s="41"/>
      <c r="F113" s="41"/>
      <c r="G113" s="41"/>
      <c r="H113" s="41"/>
      <c r="I113" s="41"/>
      <c r="J113" s="41"/>
      <c r="R113" s="2"/>
    </row>
    <row r="114" spans="1:23" ht="409.6">
      <c r="A114" s="41"/>
      <c r="B114" s="41"/>
      <c r="C114" s="41"/>
      <c r="D114" s="41"/>
      <c r="E114" s="41"/>
      <c r="F114" s="41"/>
      <c r="G114" s="41"/>
      <c r="H114" s="41"/>
      <c r="I114" s="41"/>
      <c r="J114" s="41"/>
      <c r="R114" s="2"/>
    </row>
    <row r="115" spans="1:23" ht="409.6">
      <c r="A115" s="41"/>
      <c r="B115" s="41"/>
      <c r="C115" s="41"/>
      <c r="D115" s="41"/>
      <c r="E115" s="41"/>
      <c r="F115" s="41"/>
      <c r="G115" s="41"/>
      <c r="H115" s="41"/>
      <c r="I115" s="41"/>
      <c r="J115" s="41"/>
      <c r="R115" s="2"/>
    </row>
    <row r="116" spans="1:23" ht="409.6">
      <c r="A116" s="41"/>
      <c r="B116" s="41"/>
      <c r="C116" s="41"/>
      <c r="D116" s="41"/>
      <c r="E116" s="41"/>
      <c r="F116" s="41"/>
      <c r="G116" s="41"/>
      <c r="H116" s="41"/>
      <c r="I116" s="41"/>
      <c r="J116" s="41"/>
      <c r="R116" s="2"/>
    </row>
    <row r="117" spans="1:23" ht="409.6">
      <c r="A117" s="41"/>
      <c r="B117" s="41"/>
      <c r="C117" s="41"/>
      <c r="D117" s="41"/>
      <c r="E117" s="41"/>
      <c r="F117" s="41"/>
      <c r="G117" s="41"/>
      <c r="H117" s="41"/>
      <c r="I117" s="41"/>
      <c r="J117" s="41"/>
      <c r="R117" s="2"/>
    </row>
    <row r="118" spans="1:23" ht="409.6">
      <c r="A118" s="41"/>
      <c r="B118" s="41"/>
      <c r="C118" s="41"/>
      <c r="D118" s="41"/>
      <c r="E118" s="41"/>
      <c r="F118" s="41"/>
      <c r="G118" s="41"/>
      <c r="H118" s="41"/>
      <c r="I118" s="41"/>
      <c r="J118" s="41"/>
      <c r="K118" s="62"/>
      <c r="L118" s="62"/>
      <c r="M118" s="62"/>
      <c r="N118" s="62"/>
      <c r="O118" s="62"/>
      <c r="P118" s="62"/>
      <c r="Q118" s="62"/>
      <c r="R118" s="62"/>
      <c r="S118" s="62"/>
      <c r="T118" s="62"/>
      <c r="U118" s="62"/>
      <c r="V118" s="62"/>
      <c r="W118" s="62"/>
    </row>
    <row r="119" spans="1:23" ht="409.6">
      <c r="A119" s="41"/>
      <c r="B119" s="41"/>
      <c r="C119" s="41"/>
      <c r="D119" s="41"/>
      <c r="E119" s="41"/>
      <c r="F119" s="41"/>
      <c r="G119" s="41"/>
      <c r="H119" s="41"/>
      <c r="I119" s="41"/>
      <c r="J119" s="41"/>
      <c r="K119" s="62"/>
      <c r="L119" s="62"/>
      <c r="M119" s="62"/>
      <c r="N119" s="62"/>
      <c r="O119" s="62"/>
      <c r="P119" s="62"/>
      <c r="Q119" s="62"/>
      <c r="R119" s="62"/>
      <c r="S119" s="62"/>
      <c r="T119" s="62"/>
      <c r="U119" s="62"/>
      <c r="V119" s="62"/>
      <c r="W119" s="62"/>
    </row>
    <row r="120" spans="1:23" ht="409.6">
      <c r="A120" s="41"/>
      <c r="B120" s="41"/>
      <c r="C120" s="41"/>
      <c r="D120" s="41"/>
      <c r="E120" s="41"/>
      <c r="F120" s="41"/>
      <c r="G120" s="41"/>
      <c r="H120" s="41"/>
      <c r="I120" s="41"/>
      <c r="J120" s="41"/>
    </row>
    <row r="121" spans="1:23" ht="409.6">
      <c r="A121" s="41"/>
      <c r="B121" s="41"/>
      <c r="C121" s="41"/>
      <c r="D121" s="41"/>
      <c r="E121" s="41"/>
      <c r="F121" s="41"/>
      <c r="G121" s="41"/>
      <c r="H121" s="41"/>
      <c r="I121" s="41"/>
      <c r="J121" s="41"/>
    </row>
    <row r="122" spans="1:23" ht="409.6">
      <c r="A122" s="41"/>
      <c r="B122" s="41"/>
      <c r="C122" s="41"/>
      <c r="D122" s="41"/>
      <c r="E122" s="41"/>
      <c r="F122" s="41"/>
      <c r="G122" s="41"/>
      <c r="H122" s="41"/>
      <c r="I122" s="41"/>
      <c r="J122" s="41"/>
    </row>
    <row r="123" spans="1:23" ht="409.6">
      <c r="A123" s="41"/>
      <c r="B123" s="41"/>
      <c r="C123" s="41"/>
      <c r="D123" s="41"/>
      <c r="E123" s="41"/>
      <c r="F123" s="41"/>
      <c r="G123" s="41"/>
      <c r="H123" s="41"/>
      <c r="I123" s="41"/>
      <c r="J123" s="41"/>
    </row>
  </sheetData>
  <mergeCells count="10">
    <mergeCell ref="K77:M77"/>
    <mergeCell ref="I79:I81"/>
    <mergeCell ref="H19:H20"/>
    <mergeCell ref="B68:C68"/>
    <mergeCell ref="D68:E68"/>
    <mergeCell ref="F68:G68"/>
    <mergeCell ref="C19:D19"/>
    <mergeCell ref="F19:F20"/>
    <mergeCell ref="G19:G20"/>
    <mergeCell ref="F55:F57"/>
  </mergeCells>
  <hyperlinks>
    <hyperlink ref="K18" r:id="rId1"/>
  </hyperlinks>
  <pageMargins left="0.7" right="0.7" top="0.75" bottom="0.75" header="0.3" footer="0.3"/>
  <pageSetup paperSize="8" scale="4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workbookViewId="0">
      <selection activeCell="D37" sqref="D37"/>
    </sheetView>
  </sheetViews>
  <sheetFormatPr defaultRowHeight="11.25"/>
  <cols>
    <col min="1" max="1" width="20.7109375" style="29" customWidth="1"/>
    <col min="2" max="5" width="15.7109375" style="29" customWidth="1"/>
    <col min="6" max="6" width="14.85546875" style="29" customWidth="1"/>
    <col min="7" max="8" width="9.140625" style="29"/>
    <col min="9" max="9" width="17" style="29" bestFit="1" customWidth="1"/>
    <col min="10" max="12" width="16.85546875" style="29" bestFit="1" customWidth="1"/>
    <col min="13" max="16384" width="9.140625" style="29"/>
  </cols>
  <sheetData>
    <row r="2" spans="1:6">
      <c r="A2" s="32" t="s">
        <v>20</v>
      </c>
    </row>
    <row r="3" spans="1:6" ht="15">
      <c r="A3" s="38" t="s">
        <v>16</v>
      </c>
    </row>
    <row r="5" spans="1:6">
      <c r="A5" s="32"/>
      <c r="B5" s="33" t="s">
        <v>21</v>
      </c>
      <c r="C5" s="33" t="s">
        <v>22</v>
      </c>
      <c r="D5" s="33" t="s">
        <v>23</v>
      </c>
      <c r="E5" s="33" t="s">
        <v>24</v>
      </c>
    </row>
    <row r="6" spans="1:6">
      <c r="A6" s="29" t="s">
        <v>33</v>
      </c>
      <c r="B6" s="29">
        <v>5.63</v>
      </c>
      <c r="C6" s="29">
        <v>5.63</v>
      </c>
      <c r="D6" s="29">
        <v>6.31</v>
      </c>
      <c r="E6" s="29">
        <v>6.31</v>
      </c>
    </row>
    <row r="8" spans="1:6">
      <c r="A8" s="29" t="s">
        <v>18</v>
      </c>
    </row>
    <row r="9" spans="1:6">
      <c r="D9" s="29">
        <v>0.5</v>
      </c>
      <c r="E9" s="29" t="s">
        <v>17</v>
      </c>
      <c r="F9" s="29" t="s">
        <v>19</v>
      </c>
    </row>
    <row r="11" spans="1:6">
      <c r="A11" s="32" t="s">
        <v>30</v>
      </c>
    </row>
    <row r="12" spans="1:6" ht="15">
      <c r="A12" s="38" t="s">
        <v>29</v>
      </c>
    </row>
    <row r="14" spans="1:6">
      <c r="A14" s="29" t="s">
        <v>31</v>
      </c>
    </row>
    <row r="15" spans="1:6">
      <c r="A15" s="32"/>
      <c r="B15" s="33" t="s">
        <v>21</v>
      </c>
      <c r="C15" s="33" t="s">
        <v>22</v>
      </c>
      <c r="D15" s="33" t="s">
        <v>23</v>
      </c>
      <c r="E15" s="33" t="s">
        <v>24</v>
      </c>
    </row>
    <row r="16" spans="1:6">
      <c r="A16" s="29" t="s">
        <v>25</v>
      </c>
      <c r="B16" s="1">
        <v>2169000000</v>
      </c>
      <c r="C16" s="1">
        <v>2755000000</v>
      </c>
      <c r="D16" s="1">
        <v>2021000000</v>
      </c>
      <c r="E16" s="1">
        <v>2614000000</v>
      </c>
    </row>
    <row r="17" spans="1:6">
      <c r="A17" s="29" t="s">
        <v>26</v>
      </c>
      <c r="B17" s="1">
        <v>2288000000</v>
      </c>
      <c r="C17" s="1">
        <v>2914000000</v>
      </c>
      <c r="D17" s="1">
        <v>2210000000</v>
      </c>
      <c r="E17" s="1">
        <v>2609000000</v>
      </c>
    </row>
    <row r="18" spans="1:6">
      <c r="A18" s="29" t="s">
        <v>27</v>
      </c>
      <c r="B18" s="1">
        <v>2358000000</v>
      </c>
      <c r="C18" s="1">
        <v>2991000000</v>
      </c>
      <c r="D18" s="1">
        <v>2273000000</v>
      </c>
      <c r="E18" s="1">
        <v>2616000000</v>
      </c>
    </row>
    <row r="19" spans="1:6">
      <c r="A19" s="29" t="s">
        <v>28</v>
      </c>
      <c r="B19" s="1">
        <v>2329000000</v>
      </c>
      <c r="C19" s="1">
        <v>3105000000</v>
      </c>
      <c r="D19" s="1">
        <v>2289000000</v>
      </c>
      <c r="E19" s="1">
        <v>2440000000</v>
      </c>
    </row>
    <row r="20" spans="1:6">
      <c r="A20" s="34">
        <v>2005</v>
      </c>
      <c r="B20" s="35">
        <f>SUM(B16:B19)</f>
        <v>9144000000</v>
      </c>
      <c r="C20" s="35">
        <f>SUM(C16:C19)</f>
        <v>11765000000</v>
      </c>
      <c r="D20" s="35">
        <f>SUM(D16:D19)</f>
        <v>8793000000</v>
      </c>
      <c r="E20" s="35">
        <f>SUM(E16:E19)</f>
        <v>10279000000</v>
      </c>
    </row>
    <row r="22" spans="1:6">
      <c r="A22" s="29" t="s">
        <v>34</v>
      </c>
    </row>
    <row r="23" spans="1:6">
      <c r="B23" s="33" t="s">
        <v>21</v>
      </c>
      <c r="C23" s="33" t="s">
        <v>22</v>
      </c>
      <c r="D23" s="33" t="s">
        <v>23</v>
      </c>
      <c r="E23" s="33" t="s">
        <v>24</v>
      </c>
      <c r="F23" s="33" t="s">
        <v>32</v>
      </c>
    </row>
    <row r="24" spans="1:6">
      <c r="A24" s="36">
        <v>2005</v>
      </c>
      <c r="B24" s="2">
        <f>B20*B6/100</f>
        <v>514807200</v>
      </c>
      <c r="C24" s="2">
        <f>C20*C6/100</f>
        <v>662369500</v>
      </c>
      <c r="D24" s="2">
        <f>D20*D6/100</f>
        <v>554838300</v>
      </c>
      <c r="E24" s="2">
        <f>E20*E6/100</f>
        <v>648604899.99999988</v>
      </c>
    </row>
    <row r="25" spans="1:6">
      <c r="A25" s="29" t="s">
        <v>36</v>
      </c>
      <c r="B25" s="2">
        <f>$D$9*B20/100</f>
        <v>45720000</v>
      </c>
      <c r="C25" s="2">
        <f>$D$9*C20/100</f>
        <v>58825000</v>
      </c>
      <c r="D25" s="2">
        <f>$D$9*D20/100</f>
        <v>43965000</v>
      </c>
      <c r="E25" s="2">
        <f>$D$9*E20/100</f>
        <v>51395000</v>
      </c>
      <c r="F25" s="2">
        <f>SUM(B25:E25)</f>
        <v>199905000</v>
      </c>
    </row>
    <row r="26" spans="1:6">
      <c r="B26" s="2"/>
      <c r="C26" s="2"/>
    </row>
    <row r="28" spans="1:6">
      <c r="A28" s="29" t="s">
        <v>35</v>
      </c>
    </row>
    <row r="29" spans="1:6">
      <c r="B29" s="33" t="s">
        <v>21</v>
      </c>
      <c r="C29" s="33" t="s">
        <v>22</v>
      </c>
      <c r="D29" s="33" t="s">
        <v>23</v>
      </c>
      <c r="E29" s="33" t="s">
        <v>24</v>
      </c>
      <c r="F29" s="33" t="s">
        <v>32</v>
      </c>
    </row>
    <row r="30" spans="1:6">
      <c r="A30" s="29" t="s">
        <v>25</v>
      </c>
      <c r="B30" s="1">
        <v>756000000</v>
      </c>
      <c r="C30" s="1">
        <v>572000000</v>
      </c>
      <c r="D30" s="1">
        <v>452000000</v>
      </c>
      <c r="E30" s="1">
        <v>599000000</v>
      </c>
    </row>
    <row r="31" spans="1:6">
      <c r="A31" s="29" t="s">
        <v>26</v>
      </c>
      <c r="B31" s="1">
        <v>787000000</v>
      </c>
      <c r="C31" s="1">
        <v>579000000</v>
      </c>
      <c r="D31" s="1">
        <v>456000000</v>
      </c>
      <c r="E31" s="1">
        <v>631000000</v>
      </c>
    </row>
    <row r="32" spans="1:6">
      <c r="A32" s="29" t="s">
        <v>27</v>
      </c>
      <c r="B32" s="1">
        <v>816000000</v>
      </c>
      <c r="C32" s="1">
        <v>618000000</v>
      </c>
      <c r="D32" s="1">
        <v>469000000</v>
      </c>
      <c r="E32" s="1">
        <v>645000000</v>
      </c>
    </row>
    <row r="33" spans="1:6" ht="409.6">
      <c r="A33" s="29" t="s">
        <v>28</v>
      </c>
      <c r="B33" s="1">
        <v>782000000</v>
      </c>
      <c r="C33" s="1">
        <v>619000000</v>
      </c>
      <c r="D33" s="1">
        <v>475000000</v>
      </c>
      <c r="E33" s="1">
        <v>624000000</v>
      </c>
    </row>
    <row r="34" spans="1:6" ht="409.6">
      <c r="A34" s="34">
        <v>2005</v>
      </c>
      <c r="B34" s="35">
        <f>SUM(B30:B33)</f>
        <v>3141000000</v>
      </c>
      <c r="C34" s="35">
        <f>SUM(C30:C33)</f>
        <v>2388000000</v>
      </c>
      <c r="D34" s="35">
        <f>SUM(D30:D33)</f>
        <v>1852000000</v>
      </c>
      <c r="E34" s="35">
        <f>SUM(E30:E33)</f>
        <v>2499000000</v>
      </c>
      <c r="F34" s="2">
        <f>SUM(B34:E34)</f>
        <v>9880000000</v>
      </c>
    </row>
    <row r="36" spans="1:6" ht="409.6">
      <c r="A36" s="29" t="s">
        <v>37</v>
      </c>
      <c r="F36" s="37">
        <f>F25/F34</f>
        <v>2.02332995951417E-2</v>
      </c>
    </row>
  </sheetData>
  <hyperlinks>
    <hyperlink ref="A3" r:id="rId1"/>
    <hyperlink ref="A12" r:id="rId2"/>
  </hyperlink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Model Description</vt:lpstr>
      <vt:lpstr>Net Benefit calcs (15yrs)</vt:lpstr>
      <vt:lpstr>Ofcom_Mobile network externalit</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kevinco</dc:creator>
  <cp:lastModifiedBy>beno</cp:lastModifiedBy>
  <cp:lastPrinted>2015-03-09T22:45:54Z</cp:lastPrinted>
  <dcterms:created xsi:type="dcterms:W3CDTF">2012-07-04T01:49:43Z</dcterms:created>
  <dcterms:modified xsi:type="dcterms:W3CDTF">2015-04-01T02:54:33Z</dcterms:modified>
</cp:coreProperties>
</file>