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hidePivotFieldList="1" defaultThemeVersion="166925"/>
  <xr:revisionPtr revIDLastSave="0" documentId="13_ncr:1_{39F25CB8-EA65-4369-82DF-1955151622BC}" xr6:coauthVersionLast="47" xr6:coauthVersionMax="47" xr10:uidLastSave="{00000000-0000-0000-0000-000000000000}"/>
  <bookViews>
    <workbookView xWindow="45833" yWindow="-98" windowWidth="24464" windowHeight="15945" tabRatio="680" xr2:uid="{38EE4D1A-9424-4832-B5A3-4BB1F05DEBEE}"/>
  </bookViews>
  <sheets>
    <sheet name="Cover Sheet" sheetId="2" r:id="rId1"/>
    <sheet name="Table_List" sheetId="35" state="hidden" r:id="rId2"/>
    <sheet name="TOC" sheetId="3" r:id="rId3"/>
    <sheet name="Instructions" sheetId="4" r:id="rId4"/>
    <sheet name="styles" sheetId="34" state="hidden" r:id="rId5"/>
    <sheet name="S1a.ID FFLAS IRR" sheetId="1" r:id="rId6"/>
    <sheet name="S1b.PQ FFLAS IRR " sheetId="5" r:id="rId7"/>
    <sheet name="S1c.ID-only FFLAS IRR" sheetId="11" r:id="rId8"/>
    <sheet name="S2.Regulatory Profit" sheetId="15" r:id="rId9"/>
    <sheet name="S3.Regulatory Tax Allowance" sheetId="14" r:id="rId10"/>
    <sheet name="S4a.Asset Allocations" sheetId="18" r:id="rId11"/>
    <sheet name="S4b.ID RAB Value Rolled Forward" sheetId="23" r:id="rId12"/>
    <sheet name="S4c.PQ RAB Value Rolled F." sheetId="22" r:id="rId13"/>
    <sheet name="S4d.ID-only RAB Value Rolled F" sheetId="24" r:id="rId14"/>
    <sheet name="S5.Actual Expenditure Opex" sheetId="17" r:id="rId15"/>
    <sheet name="S5a.Cost Allocations" sheetId="16" r:id="rId16"/>
    <sheet name="S6.Actual Expenditure Capex" sheetId="13" r:id="rId17"/>
    <sheet name="S7.Actual vs Forecast" sheetId="19" r:id="rId18"/>
    <sheet name="S8a.TCSD Allowance" sheetId="26" r:id="rId19"/>
    <sheet name="S8b.Crown financing &amp; NDI" sheetId="27" r:id="rId20"/>
    <sheet name="S9.Related Party Transactions" sheetId="28" r:id="rId21"/>
    <sheet name="S10a.PQ Asset Register" sheetId="29" r:id="rId22"/>
    <sheet name="S10b.ID-only Asset Register" sheetId="30" r:id="rId23"/>
    <sheet name="S11.Capex Forecast" sheetId="6" r:id="rId24"/>
    <sheet name="S11a. Opex Forecast" sheetId="10" r:id="rId25"/>
    <sheet name="S12.Capacity Forecast" sheetId="20" r:id="rId26"/>
    <sheet name="S12a.Demand Forecast " sheetId="25" r:id="rId27"/>
    <sheet name="S13.Asset Management_1" sheetId="32" r:id="rId28"/>
    <sheet name="S13.Asset Management_2" sheetId="33" r:id="rId29"/>
  </sheets>
  <definedNames>
    <definedName name="asset_stranding_allowance">tb_2_2iv_2.04_1[($000)]</definedName>
    <definedName name="company_name">'Cover Sheet'!$C$9</definedName>
    <definedName name="corporate_tax_rate">tb_3_3i_3.01_2[%]</definedName>
    <definedName name="disc_date">'Cover Sheet'!$C$11</definedName>
    <definedName name="disc_year_end">'Cover Sheet'!$C$13</definedName>
    <definedName name="Leverage">'S1a.ID FFLAS IRR'!$F$34</definedName>
    <definedName name="_xlnm.Print_Area" localSheetId="3">Instructions!$B$1:$B$33</definedName>
    <definedName name="_xlnm.Print_Area" localSheetId="21">'S10a.PQ Asset Register'!$A$1:$AQ$34</definedName>
    <definedName name="_xlnm.Print_Area" localSheetId="22">'S10b.ID-only Asset Register'!$A$1:$AQ$24</definedName>
    <definedName name="_xlnm.Print_Area" localSheetId="23">'S11.Capex Forecast'!$A$1:$K$101</definedName>
    <definedName name="_xlnm.Print_Area" localSheetId="24">'S11a. Opex Forecast'!$A$1:$K$49</definedName>
    <definedName name="_xlnm.Print_Area" localSheetId="25">'S12.Capacity Forecast'!$A$1:$Q$31</definedName>
    <definedName name="_xlnm.Print_Area" localSheetId="26">'S12a.Demand Forecast '!$A$1:$L$123</definedName>
    <definedName name="_xlnm.Print_Area" localSheetId="27">'S13.Asset Management_1'!$A$1:$K$34</definedName>
    <definedName name="_xlnm.Print_Area" localSheetId="5">'S1a.ID FFLAS IRR'!$A$1:$I$39</definedName>
    <definedName name="_xlnm.Print_Area" localSheetId="6">'S1b.PQ FFLAS IRR '!$A$1:$K$39</definedName>
    <definedName name="_xlnm.Print_Area" localSheetId="7">'S1c.ID-only FFLAS IRR'!$A$1:$J$37</definedName>
    <definedName name="_xlnm.Print_Area" localSheetId="8">'S2.Regulatory Profit'!$A$1:$J$49</definedName>
    <definedName name="_xlnm.Print_Area" localSheetId="9">'S3.Regulatory Tax Allowance'!$A$1:$L$55</definedName>
    <definedName name="_xlnm.Print_Area" localSheetId="10">'S4a.Asset Allocations'!$A$1:$O$76</definedName>
    <definedName name="_xlnm.Print_Area" localSheetId="11">'S4b.ID RAB Value Rolled Forward'!$A$1:$O$113</definedName>
    <definedName name="_xlnm.Print_Area" localSheetId="12">'S4c.PQ RAB Value Rolled F.'!$A$1:$P$114</definedName>
    <definedName name="_xlnm.Print_Area" localSheetId="13">'S4d.ID-only RAB Value Rolled F'!$A$1:$O$113</definedName>
    <definedName name="_xlnm.Print_Area" localSheetId="14">'S5.Actual Expenditure Opex'!$A$1:$I$22</definedName>
    <definedName name="_xlnm.Print_Area" localSheetId="15">'S5a.Cost Allocations'!$A$1:$O$55</definedName>
    <definedName name="_xlnm.Print_Area" localSheetId="16">'S6.Actual Expenditure Capex'!$A$1:$J$44</definedName>
    <definedName name="_xlnm.Print_Area" localSheetId="18">'S8a.TCSD Allowance'!$A$1:$P$25</definedName>
    <definedName name="_xlnm.Print_Area" localSheetId="19">'S8b.Crown financing &amp; NDI'!$A$1:$I$38</definedName>
    <definedName name="_xlnm.Print_Area" localSheetId="20">'S9.Related Party Transactions'!$A$1:$G$67</definedName>
    <definedName name="_xlnm.Print_Titles" localSheetId="23">'S11.Capex Forecast'!$1:$1</definedName>
    <definedName name="_xlnm.Print_Titles" localSheetId="24">'S11a. Opex Forecast'!$1:$1</definedName>
    <definedName name="_xlnm.Print_Titles" localSheetId="26">'S12a.Demand Forecast '!$1:$1</definedName>
    <definedName name="_xlnm.Print_Titles" localSheetId="27">'S13.Asset Management_1'!$1:$1</definedName>
    <definedName name="_xlnm.Print_Titles" localSheetId="28">'S13.Asset Management_2'!$1:$1</definedName>
    <definedName name="_xlnm.Print_Titles" localSheetId="10">'S4a.Asset Allocations'!$1:$1</definedName>
    <definedName name="_xlnm.Print_Titles" localSheetId="11">'S4b.ID RAB Value Rolled Forward'!$1:$1</definedName>
    <definedName name="_xlnm.Print_Titles" localSheetId="12">'S4c.PQ RAB Value Rolled F.'!$1:$1</definedName>
    <definedName name="_xlnm.Print_Titles" localSheetId="13">'S4d.ID-only RAB Value Rolled F'!$1:$1</definedName>
    <definedName name="_xlnm.Print_Titles" localSheetId="16">'S6.Actual Expenditure Capex'!$1:$1</definedName>
    <definedName name="_xlnm.Print_Titles" localSheetId="17">'S7.Actual vs Forecast'!$1:$1</definedName>
    <definedName name="_xlnm.Print_Titles" localSheetId="20">'S9.Related Party Transactions'!$1:$1</definedName>
    <definedName name="Z_21F2E024_704F_4E93_AC63_213755ECFFE0_.wvu.PrintArea" localSheetId="0" hidden="1">#N/A</definedName>
    <definedName name="Z_21F2E024_704F_4E93_AC63_213755ECFFE0_.wvu.PrintArea" localSheetId="3" hidden="1">#N/A</definedName>
    <definedName name="Z_21F2E024_704F_4E93_AC63_213755ECFFE0_.wvu.PrintArea" localSheetId="2" hidden="1">#N/A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5" l="1"/>
  <c r="H3" i="35"/>
  <c r="H4" i="35"/>
  <c r="H5" i="35"/>
  <c r="H6" i="35"/>
  <c r="H7" i="35"/>
  <c r="H8" i="35"/>
  <c r="H9" i="35"/>
  <c r="H10" i="35"/>
  <c r="H11" i="35"/>
  <c r="H12" i="35"/>
  <c r="H13" i="35"/>
  <c r="H14" i="35"/>
  <c r="H15" i="35"/>
  <c r="H16" i="35"/>
  <c r="H17" i="35"/>
  <c r="H18" i="35"/>
  <c r="H19" i="35"/>
  <c r="H20" i="35"/>
  <c r="H21" i="35"/>
  <c r="H22" i="35"/>
  <c r="H23" i="35"/>
  <c r="H24" i="35"/>
  <c r="H25" i="35"/>
  <c r="H26" i="35"/>
  <c r="H27" i="35"/>
  <c r="H28" i="35"/>
  <c r="H29" i="35"/>
  <c r="H30" i="35"/>
  <c r="H31" i="35"/>
  <c r="H32" i="35"/>
  <c r="H33" i="35"/>
  <c r="H34" i="35"/>
  <c r="H35" i="35"/>
  <c r="H36" i="35"/>
  <c r="H37" i="35"/>
  <c r="H38" i="35"/>
  <c r="H39" i="35"/>
  <c r="H40" i="35"/>
  <c r="H41" i="35"/>
  <c r="H42" i="35"/>
  <c r="H43" i="35"/>
  <c r="H44" i="35"/>
  <c r="H45" i="35"/>
  <c r="H46" i="35"/>
  <c r="H47" i="35"/>
  <c r="H48" i="35"/>
  <c r="H49" i="35"/>
  <c r="H50" i="35"/>
  <c r="H51" i="35"/>
  <c r="H52" i="35"/>
  <c r="H53" i="35"/>
  <c r="H54" i="35"/>
  <c r="H55" i="35"/>
  <c r="H56" i="35"/>
  <c r="H57" i="35"/>
  <c r="H58" i="35"/>
  <c r="H59" i="35"/>
  <c r="H60" i="35"/>
  <c r="H61" i="35"/>
  <c r="H62" i="35"/>
  <c r="H63" i="35"/>
  <c r="H64" i="35"/>
  <c r="H65" i="35"/>
  <c r="H66" i="35"/>
  <c r="H67" i="35"/>
  <c r="H68" i="35"/>
  <c r="H69" i="35"/>
  <c r="H70" i="35"/>
  <c r="H71" i="35"/>
  <c r="H72" i="35"/>
  <c r="H73" i="35"/>
  <c r="H74" i="35"/>
  <c r="H75" i="35"/>
  <c r="H76" i="35"/>
  <c r="H77" i="35"/>
  <c r="H78" i="35"/>
  <c r="H79" i="35"/>
  <c r="H80" i="35"/>
  <c r="H81" i="35"/>
  <c r="H82" i="35"/>
  <c r="H83" i="35"/>
  <c r="H84" i="35"/>
  <c r="H85" i="35"/>
  <c r="H86" i="35"/>
  <c r="H87" i="35"/>
  <c r="H88" i="35"/>
  <c r="H89" i="35"/>
  <c r="H90" i="35"/>
  <c r="H91" i="35"/>
  <c r="G71" i="23"/>
  <c r="F69" i="23"/>
  <c r="F71" i="23" s="1"/>
  <c r="F70" i="23"/>
  <c r="K6" i="34"/>
  <c r="H8" i="1"/>
  <c r="F5" i="23"/>
  <c r="F6" i="23"/>
  <c r="F7" i="23"/>
  <c r="F8" i="23"/>
  <c r="F4" i="23"/>
  <c r="F9" i="23"/>
  <c r="J4" i="23"/>
  <c r="J5" i="23"/>
  <c r="J6" i="23"/>
  <c r="J7" i="23"/>
  <c r="J8" i="23"/>
  <c r="J9" i="23"/>
  <c r="J10" i="23"/>
  <c r="J11" i="23"/>
  <c r="G11" i="23"/>
  <c r="H11" i="23"/>
  <c r="I11" i="23"/>
  <c r="F11" i="23"/>
  <c r="G10" i="23"/>
  <c r="H10" i="23"/>
  <c r="I10" i="23"/>
  <c r="F10" i="23"/>
  <c r="G9" i="23"/>
  <c r="H9" i="23"/>
  <c r="I9" i="23"/>
  <c r="G5" i="23"/>
  <c r="H5" i="23"/>
  <c r="I5" i="23"/>
  <c r="G6" i="23"/>
  <c r="H6" i="23"/>
  <c r="I6" i="23"/>
  <c r="G7" i="23"/>
  <c r="H7" i="23"/>
  <c r="I7" i="23"/>
  <c r="G8" i="23"/>
  <c r="H8" i="23"/>
  <c r="I8" i="23"/>
  <c r="G4" i="23"/>
  <c r="H4" i="23"/>
  <c r="I4" i="23"/>
  <c r="H8" i="5"/>
  <c r="J4" i="19"/>
  <c r="J5" i="19"/>
  <c r="J6" i="19"/>
  <c r="J7" i="19"/>
  <c r="J8" i="19"/>
  <c r="J9" i="19"/>
  <c r="G5" i="19"/>
  <c r="G6" i="19"/>
  <c r="G7" i="19"/>
  <c r="G8" i="19"/>
  <c r="G9" i="19"/>
  <c r="G4" i="19"/>
  <c r="F100" i="6"/>
  <c r="G100" i="6"/>
  <c r="H100" i="6"/>
  <c r="I100" i="6"/>
  <c r="J100" i="6"/>
  <c r="E95" i="6"/>
  <c r="E96" i="6" s="1"/>
  <c r="G60" i="25"/>
  <c r="H60" i="25"/>
  <c r="I60" i="25"/>
  <c r="J60" i="25"/>
  <c r="K60" i="25"/>
  <c r="F60" i="25"/>
  <c r="G26" i="25"/>
  <c r="H26" i="25"/>
  <c r="I26" i="25"/>
  <c r="J26" i="25"/>
  <c r="K26" i="25"/>
  <c r="K25" i="25"/>
  <c r="H25" i="25"/>
  <c r="I25" i="25"/>
  <c r="J25" i="25"/>
  <c r="G25" i="25"/>
  <c r="F26" i="25"/>
  <c r="F25" i="25"/>
  <c r="E97" i="6" l="1"/>
  <c r="E98" i="6" l="1"/>
  <c r="E99" i="6" l="1"/>
  <c r="E100" i="6" s="1"/>
  <c r="I112" i="23" l="1"/>
  <c r="F112" i="23"/>
  <c r="G112" i="23"/>
  <c r="E112" i="23"/>
  <c r="K109" i="23"/>
  <c r="J109" i="23"/>
  <c r="I109" i="23"/>
  <c r="H109" i="23"/>
  <c r="G109" i="23"/>
  <c r="F109" i="23"/>
  <c r="E109" i="23"/>
  <c r="K108" i="23"/>
  <c r="J108" i="23"/>
  <c r="I108" i="23"/>
  <c r="H108" i="23"/>
  <c r="G108" i="23"/>
  <c r="F108" i="23"/>
  <c r="E108" i="23"/>
  <c r="K107" i="23"/>
  <c r="J107" i="23"/>
  <c r="I107" i="23"/>
  <c r="H107" i="23"/>
  <c r="G107" i="23"/>
  <c r="F107" i="23"/>
  <c r="E107" i="23"/>
  <c r="K105" i="23"/>
  <c r="J105" i="23"/>
  <c r="I105" i="23"/>
  <c r="H105" i="23"/>
  <c r="G105" i="23"/>
  <c r="F105" i="23"/>
  <c r="E105" i="23"/>
  <c r="K104" i="23"/>
  <c r="J104" i="23"/>
  <c r="I104" i="23"/>
  <c r="H104" i="23"/>
  <c r="G104" i="23"/>
  <c r="F104" i="23"/>
  <c r="E104" i="23"/>
  <c r="E100" i="23"/>
  <c r="F100" i="23"/>
  <c r="G100" i="23"/>
  <c r="H100" i="23"/>
  <c r="I100" i="23"/>
  <c r="J100" i="23"/>
  <c r="K100" i="23"/>
  <c r="E101" i="23"/>
  <c r="F101" i="23"/>
  <c r="G101" i="23"/>
  <c r="H101" i="23"/>
  <c r="I101" i="23"/>
  <c r="J101" i="23"/>
  <c r="K101" i="23"/>
  <c r="E102" i="23"/>
  <c r="F102" i="23"/>
  <c r="G102" i="23"/>
  <c r="H102" i="23"/>
  <c r="I102" i="23"/>
  <c r="J102" i="23"/>
  <c r="K102" i="23"/>
  <c r="K99" i="23"/>
  <c r="J99" i="23"/>
  <c r="I99" i="23"/>
  <c r="H99" i="23"/>
  <c r="G99" i="23"/>
  <c r="F99" i="23"/>
  <c r="E99" i="23"/>
  <c r="E91" i="23"/>
  <c r="F91" i="23"/>
  <c r="G91" i="23"/>
  <c r="H91" i="23"/>
  <c r="I91" i="23"/>
  <c r="J91" i="23"/>
  <c r="K91" i="23"/>
  <c r="E92" i="23"/>
  <c r="F92" i="23"/>
  <c r="G92" i="23"/>
  <c r="H92" i="23"/>
  <c r="I92" i="23"/>
  <c r="J92" i="23"/>
  <c r="K92" i="23"/>
  <c r="E93" i="23"/>
  <c r="F93" i="23"/>
  <c r="G93" i="23"/>
  <c r="H93" i="23"/>
  <c r="I93" i="23"/>
  <c r="J93" i="23"/>
  <c r="K93" i="23"/>
  <c r="E94" i="23"/>
  <c r="F94" i="23"/>
  <c r="G94" i="23"/>
  <c r="H94" i="23"/>
  <c r="I94" i="23"/>
  <c r="J94" i="23"/>
  <c r="K94" i="23"/>
  <c r="E95" i="23"/>
  <c r="F95" i="23"/>
  <c r="G95" i="23"/>
  <c r="H95" i="23"/>
  <c r="I95" i="23"/>
  <c r="J95" i="23"/>
  <c r="K95" i="23"/>
  <c r="E96" i="23"/>
  <c r="F96" i="23"/>
  <c r="G96" i="23"/>
  <c r="H96" i="23"/>
  <c r="I96" i="23"/>
  <c r="J96" i="23"/>
  <c r="K96" i="23"/>
  <c r="E97" i="23"/>
  <c r="F97" i="23"/>
  <c r="G97" i="23"/>
  <c r="H97" i="23"/>
  <c r="I97" i="23"/>
  <c r="J97" i="23"/>
  <c r="K97" i="23"/>
  <c r="F90" i="23"/>
  <c r="G90" i="23"/>
  <c r="H90" i="23"/>
  <c r="I90" i="23"/>
  <c r="J90" i="23"/>
  <c r="K90" i="23"/>
  <c r="E90" i="23"/>
  <c r="G70" i="23"/>
  <c r="G69" i="23"/>
  <c r="F64" i="23" a="1"/>
  <c r="F64" i="23" s="1"/>
  <c r="L105" i="23" l="1"/>
  <c r="L107" i="23"/>
  <c r="L104" i="23"/>
  <c r="H47" i="15" l="1" a="1"/>
  <c r="H47" i="15" s="1"/>
  <c r="I8" i="1" a="1"/>
  <c r="I8" i="1" s="1"/>
  <c r="I7" i="1" a="1"/>
  <c r="I7" i="1" s="1"/>
  <c r="I5" i="1" a="1"/>
  <c r="I5" i="1" s="1"/>
  <c r="M73" i="18" l="1"/>
  <c r="N73" i="18" s="1"/>
  <c r="B73" i="18"/>
  <c r="M72" i="18"/>
  <c r="N72" i="18" s="1"/>
  <c r="B72" i="18"/>
  <c r="M71" i="18"/>
  <c r="N71" i="18" s="1"/>
  <c r="B71" i="18"/>
  <c r="M70" i="18"/>
  <c r="N70" i="18" s="1"/>
  <c r="B70" i="18"/>
  <c r="M69" i="18"/>
  <c r="N69" i="18" s="1"/>
  <c r="B69" i="18"/>
  <c r="M68" i="18"/>
  <c r="N68" i="18" s="1"/>
  <c r="B68" i="18"/>
  <c r="M67" i="18"/>
  <c r="N67" i="18" s="1"/>
  <c r="B67" i="18"/>
  <c r="M66" i="18"/>
  <c r="N66" i="18" s="1"/>
  <c r="B66" i="18"/>
  <c r="M65" i="18"/>
  <c r="N65" i="18" s="1"/>
  <c r="B65" i="18"/>
  <c r="M64" i="18"/>
  <c r="N64" i="18" s="1"/>
  <c r="B64" i="18"/>
  <c r="B63" i="18"/>
  <c r="N52" i="16"/>
  <c r="N44" i="16"/>
  <c r="M43" i="16"/>
  <c r="N43" i="16" s="1"/>
  <c r="M44" i="16"/>
  <c r="M45" i="16"/>
  <c r="N45" i="16" s="1"/>
  <c r="M46" i="16"/>
  <c r="N46" i="16" s="1"/>
  <c r="M47" i="16"/>
  <c r="N47" i="16" s="1"/>
  <c r="M48" i="16"/>
  <c r="N48" i="16" s="1"/>
  <c r="M49" i="16"/>
  <c r="N49" i="16" s="1"/>
  <c r="M50" i="16"/>
  <c r="N50" i="16" s="1"/>
  <c r="M51" i="16"/>
  <c r="N51" i="16" s="1"/>
  <c r="M52" i="16"/>
  <c r="B43" i="16"/>
  <c r="B44" i="16"/>
  <c r="B45" i="16"/>
  <c r="B46" i="16"/>
  <c r="B47" i="16"/>
  <c r="B48" i="16"/>
  <c r="B49" i="16"/>
  <c r="B50" i="16"/>
  <c r="B51" i="16"/>
  <c r="B52" i="16"/>
  <c r="B42" i="16" l="1"/>
  <c r="B4" i="18" l="1"/>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H7" i="19" l="1"/>
  <c r="G12" i="28" l="1"/>
  <c r="G13" i="28"/>
  <c r="G14" i="28"/>
  <c r="G15" i="28"/>
  <c r="G16" i="28"/>
  <c r="G17" i="28"/>
  <c r="G18" i="28"/>
  <c r="G19" i="28"/>
  <c r="G20" i="28"/>
  <c r="G23" i="28"/>
  <c r="G24" i="28"/>
  <c r="G25" i="28"/>
  <c r="G26" i="28"/>
  <c r="G28" i="28"/>
  <c r="G11" i="28"/>
  <c r="G96" i="25" l="1"/>
  <c r="H96" i="25"/>
  <c r="I96" i="25"/>
  <c r="J96" i="25"/>
  <c r="K96" i="25"/>
  <c r="G97" i="25"/>
  <c r="H97" i="25"/>
  <c r="I97" i="25"/>
  <c r="J97" i="25"/>
  <c r="K97" i="25"/>
  <c r="G98" i="25"/>
  <c r="H98" i="25"/>
  <c r="I98" i="25"/>
  <c r="J98" i="25"/>
  <c r="K98" i="25"/>
  <c r="G99" i="25"/>
  <c r="H99" i="25"/>
  <c r="I99" i="25"/>
  <c r="J99" i="25"/>
  <c r="K99" i="25"/>
  <c r="G100" i="25"/>
  <c r="H100" i="25"/>
  <c r="I100" i="25"/>
  <c r="J100" i="25"/>
  <c r="K100" i="25"/>
  <c r="G101" i="25"/>
  <c r="H101" i="25"/>
  <c r="I101" i="25"/>
  <c r="J101" i="25"/>
  <c r="K101" i="25"/>
  <c r="G102" i="25"/>
  <c r="H102" i="25"/>
  <c r="I102" i="25"/>
  <c r="J102" i="25"/>
  <c r="K102" i="25"/>
  <c r="G103" i="25"/>
  <c r="H103" i="25"/>
  <c r="I103" i="25"/>
  <c r="J103" i="25"/>
  <c r="K103" i="25"/>
  <c r="G104" i="25"/>
  <c r="H104" i="25"/>
  <c r="I104" i="25"/>
  <c r="J104" i="25"/>
  <c r="K104" i="25"/>
  <c r="G105" i="25"/>
  <c r="H105" i="25"/>
  <c r="I105" i="25"/>
  <c r="J105" i="25"/>
  <c r="K105" i="25"/>
  <c r="G106" i="25"/>
  <c r="H106" i="25"/>
  <c r="I106" i="25"/>
  <c r="J106" i="25"/>
  <c r="K106" i="25"/>
  <c r="G107" i="25"/>
  <c r="H107" i="25"/>
  <c r="I107" i="25"/>
  <c r="J107" i="25"/>
  <c r="K107" i="25"/>
  <c r="G108" i="25"/>
  <c r="H108" i="25"/>
  <c r="I108" i="25"/>
  <c r="J108" i="25"/>
  <c r="K108" i="25"/>
  <c r="G109" i="25"/>
  <c r="H109" i="25"/>
  <c r="I109" i="25"/>
  <c r="J109" i="25"/>
  <c r="K109" i="25"/>
  <c r="G110" i="25"/>
  <c r="H110" i="25"/>
  <c r="I110" i="25"/>
  <c r="J110" i="25"/>
  <c r="K110" i="25"/>
  <c r="G111" i="25"/>
  <c r="H111" i="25"/>
  <c r="I111" i="25"/>
  <c r="J111" i="25"/>
  <c r="K111" i="25"/>
  <c r="G112" i="25"/>
  <c r="H112" i="25"/>
  <c r="I112" i="25"/>
  <c r="J112" i="25"/>
  <c r="K112" i="25"/>
  <c r="G113" i="25"/>
  <c r="H113" i="25"/>
  <c r="I113" i="25"/>
  <c r="J113" i="25"/>
  <c r="K113" i="25"/>
  <c r="G114" i="25"/>
  <c r="H114" i="25"/>
  <c r="I114" i="25"/>
  <c r="J114" i="25"/>
  <c r="K114" i="25"/>
  <c r="G115" i="25"/>
  <c r="H115" i="25"/>
  <c r="I115" i="25"/>
  <c r="J115" i="25"/>
  <c r="K115" i="25"/>
  <c r="G116" i="25"/>
  <c r="H116" i="25"/>
  <c r="I116" i="25"/>
  <c r="J116" i="25"/>
  <c r="K116" i="25"/>
  <c r="G117" i="25"/>
  <c r="H117" i="25"/>
  <c r="I117" i="25"/>
  <c r="J117" i="25"/>
  <c r="K117" i="25"/>
  <c r="G118" i="25"/>
  <c r="H118" i="25"/>
  <c r="I118" i="25"/>
  <c r="J118" i="25"/>
  <c r="K118" i="25"/>
  <c r="G119" i="25"/>
  <c r="H119" i="25"/>
  <c r="I119" i="25"/>
  <c r="J119" i="25"/>
  <c r="K119" i="25"/>
  <c r="G120" i="25"/>
  <c r="H120" i="25"/>
  <c r="I120" i="25"/>
  <c r="J120" i="25"/>
  <c r="K120" i="25"/>
  <c r="G121" i="25"/>
  <c r="H121" i="25"/>
  <c r="I121" i="25"/>
  <c r="J121" i="25"/>
  <c r="K121"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96" i="25"/>
  <c r="H6" i="15" l="1"/>
  <c r="H5" i="15"/>
  <c r="F48" i="15" l="1"/>
  <c r="F42" i="24" l="1"/>
  <c r="F42" i="23" l="1"/>
  <c r="M112" i="22" l="1"/>
  <c r="F42" i="22" l="1"/>
  <c r="I15" i="26" a="1"/>
  <c r="I15" i="26" s="1"/>
  <c r="B10" i="20" l="1"/>
  <c r="I57" i="19" l="1"/>
  <c r="J57" i="19" s="1"/>
  <c r="F57" i="19"/>
  <c r="G57" i="19" s="1"/>
  <c r="I56" i="19"/>
  <c r="J56" i="19" s="1"/>
  <c r="F56" i="19"/>
  <c r="G56" i="19" s="1"/>
  <c r="I49" i="19"/>
  <c r="J49" i="19" s="1"/>
  <c r="F49" i="19"/>
  <c r="G49" i="19" s="1"/>
  <c r="I48" i="19"/>
  <c r="J48" i="19" s="1"/>
  <c r="F48" i="19"/>
  <c r="G48" i="19" s="1"/>
  <c r="I47" i="19"/>
  <c r="J47" i="19" s="1"/>
  <c r="F47" i="19"/>
  <c r="G47" i="19" s="1"/>
  <c r="I45" i="19"/>
  <c r="J45" i="19" s="1"/>
  <c r="F45" i="19"/>
  <c r="G45" i="19" s="1"/>
  <c r="I44" i="19"/>
  <c r="J44" i="19" s="1"/>
  <c r="F44" i="19"/>
  <c r="G44" i="19" s="1"/>
  <c r="I43" i="19"/>
  <c r="J43" i="19" s="1"/>
  <c r="F43" i="19"/>
  <c r="G43" i="19" s="1"/>
  <c r="I41" i="19"/>
  <c r="J41" i="19" s="1"/>
  <c r="F41" i="19"/>
  <c r="G41" i="19" s="1"/>
  <c r="I40" i="19"/>
  <c r="J40" i="19" s="1"/>
  <c r="F40" i="19"/>
  <c r="G40" i="19" s="1"/>
  <c r="I33" i="19"/>
  <c r="J33" i="19" s="1"/>
  <c r="F33" i="19"/>
  <c r="G33" i="19" s="1"/>
  <c r="I32" i="19"/>
  <c r="J32" i="19" s="1"/>
  <c r="F32" i="19"/>
  <c r="G32" i="19" s="1"/>
  <c r="I30" i="19"/>
  <c r="J30" i="19" s="1"/>
  <c r="F30" i="19"/>
  <c r="G30" i="19" s="1"/>
  <c r="I28" i="19"/>
  <c r="J28" i="19" s="1"/>
  <c r="F28" i="19"/>
  <c r="G28" i="19" s="1"/>
  <c r="I27" i="19"/>
  <c r="J27" i="19" s="1"/>
  <c r="F27" i="19"/>
  <c r="G27" i="19" s="1"/>
  <c r="I26" i="19"/>
  <c r="J26" i="19" s="1"/>
  <c r="F26" i="19"/>
  <c r="G26" i="19" s="1"/>
  <c r="I25" i="19"/>
  <c r="J25" i="19" s="1"/>
  <c r="F25" i="19"/>
  <c r="G25" i="19" s="1"/>
  <c r="I23" i="19"/>
  <c r="J23" i="19" s="1"/>
  <c r="F23" i="19"/>
  <c r="G23" i="19" s="1"/>
  <c r="I22" i="19"/>
  <c r="J22" i="19" s="1"/>
  <c r="F22" i="19"/>
  <c r="G22" i="19" s="1"/>
  <c r="I21" i="19"/>
  <c r="J21" i="19" s="1"/>
  <c r="F21" i="19"/>
  <c r="G21" i="19" s="1"/>
  <c r="I19" i="19"/>
  <c r="J19" i="19" s="1"/>
  <c r="F19" i="19"/>
  <c r="G19" i="19" s="1"/>
  <c r="I18" i="19"/>
  <c r="J18" i="19" s="1"/>
  <c r="I16" i="19"/>
  <c r="J16" i="19" s="1"/>
  <c r="I15" i="19"/>
  <c r="J15" i="19" s="1"/>
  <c r="I14" i="19"/>
  <c r="J14" i="19" s="1"/>
  <c r="F18" i="19"/>
  <c r="G18" i="19" s="1"/>
  <c r="F15" i="19"/>
  <c r="G15" i="19" s="1"/>
  <c r="F16" i="19"/>
  <c r="G16" i="19" s="1"/>
  <c r="F14" i="19"/>
  <c r="G14" i="19" s="1"/>
  <c r="G59" i="23"/>
  <c r="G56" i="23"/>
  <c r="G48" i="23"/>
  <c r="G25" i="23"/>
  <c r="G24" i="23"/>
  <c r="G23" i="23"/>
  <c r="G21" i="23"/>
  <c r="G20" i="23"/>
  <c r="G19" i="23"/>
  <c r="F47" i="23"/>
  <c r="H26" i="16"/>
  <c r="H23" i="16"/>
  <c r="H20" i="16"/>
  <c r="H17" i="16"/>
  <c r="H14" i="16"/>
  <c r="H11" i="16"/>
  <c r="H8" i="16"/>
  <c r="H5" i="16"/>
  <c r="G21" i="17"/>
  <c r="G20" i="17"/>
  <c r="G12" i="17"/>
  <c r="G13" i="17"/>
  <c r="G11" i="17"/>
  <c r="G9" i="17"/>
  <c r="G8" i="17"/>
  <c r="G7" i="17"/>
  <c r="G5" i="17"/>
  <c r="G4" i="17"/>
  <c r="L109" i="24"/>
  <c r="L108" i="24"/>
  <c r="L107" i="24"/>
  <c r="L105" i="24"/>
  <c r="L104" i="24"/>
  <c r="L102" i="24"/>
  <c r="L101" i="24"/>
  <c r="L100" i="24"/>
  <c r="L99" i="24"/>
  <c r="L103" i="24" s="1"/>
  <c r="L91" i="24"/>
  <c r="L92" i="24"/>
  <c r="L93" i="24"/>
  <c r="L94" i="24"/>
  <c r="L95" i="24"/>
  <c r="L96" i="24"/>
  <c r="L97" i="24"/>
  <c r="L90" i="24"/>
  <c r="L98" i="24" s="1"/>
  <c r="M90" i="22"/>
  <c r="M91" i="22"/>
  <c r="M92" i="22"/>
  <c r="M93" i="22"/>
  <c r="M94" i="22"/>
  <c r="M95" i="22"/>
  <c r="M96" i="22"/>
  <c r="M97" i="22"/>
  <c r="M99" i="22"/>
  <c r="M100" i="22"/>
  <c r="M101" i="22"/>
  <c r="M102" i="22"/>
  <c r="M104" i="22"/>
  <c r="M105" i="22"/>
  <c r="M107" i="22"/>
  <c r="M108" i="22"/>
  <c r="M109" i="22"/>
  <c r="L106" i="24" l="1"/>
  <c r="F22" i="23"/>
  <c r="L110" i="24"/>
  <c r="M103" i="22"/>
  <c r="G26" i="23"/>
  <c r="M110" i="22"/>
  <c r="M98" i="22"/>
  <c r="L111" i="24" l="1"/>
  <c r="L112" i="24" s="1"/>
  <c r="E98" i="23"/>
  <c r="M106" i="22"/>
  <c r="M111" i="22" s="1"/>
  <c r="M113" i="22" s="1"/>
  <c r="L100" i="23"/>
  <c r="L91" i="23"/>
  <c r="L95" i="23"/>
  <c r="L92" i="23"/>
  <c r="L97" i="23"/>
  <c r="L102" i="23"/>
  <c r="L90" i="23"/>
  <c r="L96" i="23"/>
  <c r="L101" i="23"/>
  <c r="L109" i="23"/>
  <c r="L94" i="23"/>
  <c r="L108" i="23"/>
  <c r="L93" i="23"/>
  <c r="B4" i="30"/>
  <c r="B5" i="30"/>
  <c r="B6" i="30"/>
  <c r="B7" i="30"/>
  <c r="B8" i="30"/>
  <c r="B9" i="30"/>
  <c r="B10" i="30"/>
  <c r="B11" i="30"/>
  <c r="B12" i="30"/>
  <c r="B13" i="30"/>
  <c r="B14" i="30"/>
  <c r="B15" i="30"/>
  <c r="B16" i="30"/>
  <c r="B17" i="30"/>
  <c r="B18" i="30"/>
  <c r="B19" i="30"/>
  <c r="B20" i="30"/>
  <c r="B21" i="30"/>
  <c r="B22" i="30"/>
  <c r="B23" i="29"/>
  <c r="B5" i="29"/>
  <c r="B6" i="29"/>
  <c r="B7" i="29"/>
  <c r="B8" i="29"/>
  <c r="B9" i="29"/>
  <c r="B10" i="29"/>
  <c r="B11" i="29"/>
  <c r="B12" i="29"/>
  <c r="B13" i="29"/>
  <c r="B14" i="29"/>
  <c r="B15" i="29"/>
  <c r="B16" i="29"/>
  <c r="B17" i="29"/>
  <c r="B18" i="29"/>
  <c r="B19" i="29"/>
  <c r="B20" i="29"/>
  <c r="B21" i="29"/>
  <c r="B22" i="29"/>
  <c r="B24" i="29"/>
  <c r="B25" i="29"/>
  <c r="B26" i="29"/>
  <c r="B27" i="29"/>
  <c r="B28" i="29"/>
  <c r="B29" i="29"/>
  <c r="B30" i="29"/>
  <c r="B31" i="29"/>
  <c r="B32" i="29"/>
  <c r="B33" i="29"/>
  <c r="B4" i="29"/>
  <c r="H18" i="14" l="1"/>
  <c r="G18" i="14"/>
  <c r="F18" i="14"/>
  <c r="G12" i="14"/>
  <c r="H12" i="14"/>
  <c r="F12" i="14"/>
  <c r="G6" i="14"/>
  <c r="F6" i="14"/>
  <c r="H32" i="11" a="1"/>
  <c r="H32" i="11" s="1"/>
  <c r="F22" i="11"/>
  <c r="F22" i="5"/>
  <c r="F20" i="5"/>
  <c r="F26" i="1"/>
  <c r="F25" i="1"/>
  <c r="F20" i="1"/>
  <c r="F19" i="1"/>
  <c r="F22" i="1"/>
  <c r="B34" i="28"/>
  <c r="B33" i="28"/>
  <c r="B32" i="28"/>
  <c r="B31" i="28"/>
  <c r="B30" i="28"/>
  <c r="B29" i="28"/>
  <c r="E28" i="28"/>
  <c r="B28" i="28"/>
  <c r="B27" i="28"/>
  <c r="E26" i="28"/>
  <c r="B26" i="28"/>
  <c r="E25" i="28"/>
  <c r="B25" i="28"/>
  <c r="E24" i="28"/>
  <c r="B24" i="28"/>
  <c r="E23" i="28"/>
  <c r="B23" i="28"/>
  <c r="B22" i="28"/>
  <c r="B21" i="28"/>
  <c r="E20" i="28"/>
  <c r="B20" i="28"/>
  <c r="E19" i="28"/>
  <c r="B19" i="28"/>
  <c r="E18" i="28"/>
  <c r="B18" i="28"/>
  <c r="B17" i="28"/>
  <c r="E16" i="28"/>
  <c r="B16" i="28"/>
  <c r="E15" i="28"/>
  <c r="B15" i="28"/>
  <c r="E14" i="28"/>
  <c r="B14" i="28"/>
  <c r="B13" i="28"/>
  <c r="E12" i="28"/>
  <c r="B12" i="28"/>
  <c r="E11" i="28"/>
  <c r="B11" i="28"/>
  <c r="B41" i="28"/>
  <c r="B42" i="28"/>
  <c r="B43" i="28"/>
  <c r="B44" i="28"/>
  <c r="E65" i="28"/>
  <c r="B65" i="28"/>
  <c r="B64" i="28"/>
  <c r="B63" i="28"/>
  <c r="B62" i="28"/>
  <c r="B61" i="28"/>
  <c r="B60" i="28"/>
  <c r="B59" i="28"/>
  <c r="B58" i="28"/>
  <c r="B57" i="28"/>
  <c r="B56" i="28"/>
  <c r="B55" i="28"/>
  <c r="B54" i="28"/>
  <c r="B53" i="28"/>
  <c r="B52" i="28"/>
  <c r="B51" i="28"/>
  <c r="B50" i="28"/>
  <c r="E45" i="28"/>
  <c r="E4" i="28" s="1"/>
  <c r="B45" i="28"/>
  <c r="B6" i="28"/>
  <c r="B5" i="28"/>
  <c r="B4" i="28"/>
  <c r="H6" i="14" l="1"/>
  <c r="F27" i="1"/>
  <c r="E13" i="28"/>
  <c r="E27" i="28"/>
  <c r="E29" i="28" s="1"/>
  <c r="E32" i="28" s="1"/>
  <c r="E21" i="28"/>
  <c r="E17" i="28"/>
  <c r="E22" i="28" l="1"/>
  <c r="E33" i="28" s="1"/>
  <c r="F35" i="27" l="1"/>
  <c r="E35" i="27"/>
  <c r="F33" i="11"/>
  <c r="F34" i="5"/>
  <c r="F32" i="27"/>
  <c r="F34" i="27" s="1"/>
  <c r="E32" i="27"/>
  <c r="F36" i="1" l="1" a="1"/>
  <c r="F36" i="1" s="1"/>
  <c r="F36" i="5" a="1"/>
  <c r="F36" i="5" s="1"/>
  <c r="H5" i="5" s="1"/>
  <c r="F35" i="11" a="1"/>
  <c r="F35" i="11" s="1"/>
  <c r="F35" i="1"/>
  <c r="G15" i="27" s="1"/>
  <c r="E23" i="27" s="1"/>
  <c r="E36" i="27" l="1"/>
  <c r="F36" i="27" s="1"/>
  <c r="F37" i="27" s="1"/>
  <c r="G19" i="14" s="1"/>
  <c r="N23" i="11" l="1"/>
  <c r="N24" i="11"/>
  <c r="N21" i="11"/>
  <c r="N22" i="11"/>
  <c r="N20" i="11"/>
  <c r="N20" i="1"/>
  <c r="H50" i="19"/>
  <c r="H51" i="19" s="1"/>
  <c r="E50" i="19"/>
  <c r="E51" i="19" s="1"/>
  <c r="H46" i="19"/>
  <c r="E46" i="19"/>
  <c r="E17" i="19"/>
  <c r="H17" i="19"/>
  <c r="E20" i="19"/>
  <c r="H20" i="19"/>
  <c r="E24" i="19"/>
  <c r="H24" i="19"/>
  <c r="H34" i="19"/>
  <c r="E34" i="19"/>
  <c r="K98" i="23"/>
  <c r="J98" i="23"/>
  <c r="I98" i="23"/>
  <c r="H98" i="23"/>
  <c r="F98" i="23"/>
  <c r="F34" i="19" l="1"/>
  <c r="G34" i="19" s="1"/>
  <c r="G98" i="23"/>
  <c r="L98" i="23" s="1"/>
  <c r="F58" i="23"/>
  <c r="F60" i="23" s="1"/>
  <c r="F24" i="19"/>
  <c r="G24" i="19" s="1"/>
  <c r="F49" i="23"/>
  <c r="F50" i="23" s="1"/>
  <c r="F17" i="19"/>
  <c r="G17" i="19" s="1"/>
  <c r="F26" i="23"/>
  <c r="I20" i="19"/>
  <c r="J20" i="19" s="1"/>
  <c r="I29" i="19"/>
  <c r="J29" i="19" s="1"/>
  <c r="F20" i="19"/>
  <c r="G20" i="19" s="1"/>
  <c r="F29" i="19"/>
  <c r="G29" i="19" s="1"/>
  <c r="I24" i="19"/>
  <c r="J24" i="19" s="1"/>
  <c r="I17" i="19"/>
  <c r="J17" i="19" s="1"/>
  <c r="G22" i="23"/>
  <c r="I34" i="19"/>
  <c r="J34" i="19" s="1"/>
  <c r="E29" i="19"/>
  <c r="E31" i="19" s="1"/>
  <c r="E35" i="19" s="1"/>
  <c r="H29" i="19"/>
  <c r="F31" i="19" l="1"/>
  <c r="I31" i="19"/>
  <c r="H31" i="19"/>
  <c r="I35" i="19" l="1"/>
  <c r="J35" i="19" s="1"/>
  <c r="J31" i="19"/>
  <c r="F35" i="19"/>
  <c r="G35" i="19" s="1"/>
  <c r="G31" i="19"/>
  <c r="H35" i="19"/>
  <c r="H4" i="18" l="1"/>
  <c r="H5" i="18"/>
  <c r="H7" i="18"/>
  <c r="H8" i="18"/>
  <c r="H10" i="18"/>
  <c r="H11" i="18"/>
  <c r="H13" i="18"/>
  <c r="H14" i="18"/>
  <c r="H16" i="18"/>
  <c r="H17" i="18"/>
  <c r="H19" i="18"/>
  <c r="H20" i="18"/>
  <c r="H22" i="18"/>
  <c r="H23" i="18"/>
  <c r="H25" i="18"/>
  <c r="H26" i="18"/>
  <c r="H28" i="18"/>
  <c r="H29" i="18"/>
  <c r="H31" i="18"/>
  <c r="H32" i="18"/>
  <c r="H34" i="18"/>
  <c r="H35" i="18"/>
  <c r="H37" i="18"/>
  <c r="H38" i="18"/>
  <c r="H40" i="18"/>
  <c r="H41" i="18"/>
  <c r="H43" i="18"/>
  <c r="H44" i="18"/>
  <c r="H46" i="18"/>
  <c r="H47" i="18"/>
  <c r="H49" i="18"/>
  <c r="H50" i="18"/>
  <c r="H52" i="18"/>
  <c r="H53" i="18"/>
  <c r="H57" i="18"/>
  <c r="J26" i="15" l="1" a="1"/>
  <c r="J26" i="15" s="1"/>
  <c r="B4" i="27"/>
  <c r="B5" i="27"/>
  <c r="B6" i="27"/>
  <c r="E6" i="27"/>
  <c r="F6" i="27"/>
  <c r="E33" i="27"/>
  <c r="E34" i="27" s="1"/>
  <c r="H26" i="27"/>
  <c r="H27" i="27"/>
  <c r="G27" i="27"/>
  <c r="G26" i="27"/>
  <c r="F24" i="27"/>
  <c r="H19" i="27"/>
  <c r="H21" i="27" s="1"/>
  <c r="G19" i="27"/>
  <c r="G21" i="27" s="1"/>
  <c r="F18" i="27"/>
  <c r="E18" i="27"/>
  <c r="F14" i="27"/>
  <c r="E14" i="27"/>
  <c r="B15" i="27"/>
  <c r="B13" i="27"/>
  <c r="B14" i="27"/>
  <c r="B12" i="27"/>
  <c r="J26" i="27" l="1"/>
  <c r="E22" i="27"/>
  <c r="E24" i="27" s="1"/>
  <c r="E25" i="27" s="1"/>
  <c r="F37" i="5"/>
  <c r="F37" i="1"/>
  <c r="E37" i="27"/>
  <c r="F19" i="14" s="1"/>
  <c r="H19" i="14" s="1"/>
  <c r="R18" i="1"/>
  <c r="R18" i="5"/>
  <c r="K26" i="27"/>
  <c r="B11" i="27" l="1"/>
  <c r="F10" i="27"/>
  <c r="E10" i="27"/>
  <c r="B10" i="27"/>
  <c r="B9" i="27"/>
  <c r="B8" i="27"/>
  <c r="B7" i="27"/>
  <c r="B32" i="27" l="1"/>
  <c r="B33" i="27"/>
  <c r="B34" i="27"/>
  <c r="B35" i="27"/>
  <c r="B36" i="27"/>
  <c r="B37" i="27"/>
  <c r="B27" i="27"/>
  <c r="B26" i="27"/>
  <c r="B25" i="27"/>
  <c r="B24" i="27"/>
  <c r="B23" i="27"/>
  <c r="B22" i="27"/>
  <c r="B21" i="27"/>
  <c r="B20" i="27"/>
  <c r="B19" i="27"/>
  <c r="B18" i="27"/>
  <c r="B17" i="27"/>
  <c r="B16" i="27"/>
  <c r="B24" i="26"/>
  <c r="B19" i="26"/>
  <c r="B18" i="26"/>
  <c r="B17" i="26"/>
  <c r="B16" i="26"/>
  <c r="B15" i="26"/>
  <c r="M10" i="26"/>
  <c r="L10" i="26"/>
  <c r="F15" i="26" s="1"/>
  <c r="K10" i="26"/>
  <c r="B10" i="26"/>
  <c r="B9" i="26"/>
  <c r="B8" i="26"/>
  <c r="B7" i="26"/>
  <c r="B6" i="26"/>
  <c r="B5" i="26"/>
  <c r="B4" i="26"/>
  <c r="B122" i="25"/>
  <c r="B121" i="25"/>
  <c r="B120" i="25"/>
  <c r="B119" i="25"/>
  <c r="B118" i="25"/>
  <c r="B117" i="25"/>
  <c r="B116" i="25"/>
  <c r="B115" i="25"/>
  <c r="B114" i="25"/>
  <c r="B113" i="25"/>
  <c r="B112" i="25"/>
  <c r="B111" i="25"/>
  <c r="B110" i="25"/>
  <c r="B109" i="25"/>
  <c r="B108" i="25"/>
  <c r="B107" i="25"/>
  <c r="B106" i="25"/>
  <c r="B105" i="25"/>
  <c r="B104" i="25"/>
  <c r="B103" i="25"/>
  <c r="B102" i="25"/>
  <c r="B101" i="25"/>
  <c r="B100" i="25"/>
  <c r="B99" i="25"/>
  <c r="B98" i="25"/>
  <c r="B97" i="25"/>
  <c r="B96" i="25"/>
  <c r="K91" i="25"/>
  <c r="K122" i="25" s="1"/>
  <c r="J91" i="25"/>
  <c r="J122" i="25" s="1"/>
  <c r="I91" i="25"/>
  <c r="I122" i="25" s="1"/>
  <c r="H91" i="25"/>
  <c r="G91" i="25"/>
  <c r="F91" i="25"/>
  <c r="B91" i="25"/>
  <c r="B90" i="25"/>
  <c r="B89" i="25"/>
  <c r="B88" i="25"/>
  <c r="B87" i="25"/>
  <c r="B86" i="25"/>
  <c r="B85" i="25"/>
  <c r="B84" i="25"/>
  <c r="B83" i="25"/>
  <c r="B82" i="25"/>
  <c r="B81" i="25"/>
  <c r="B80" i="25"/>
  <c r="B79" i="25"/>
  <c r="B78" i="25"/>
  <c r="B77" i="25"/>
  <c r="B76" i="25"/>
  <c r="B75" i="25"/>
  <c r="B74" i="25"/>
  <c r="B73" i="25"/>
  <c r="B72" i="25"/>
  <c r="B71" i="25"/>
  <c r="B70" i="25"/>
  <c r="B69" i="25"/>
  <c r="B68" i="25"/>
  <c r="B67" i="25"/>
  <c r="B66" i="25"/>
  <c r="B65" i="25"/>
  <c r="B60" i="25"/>
  <c r="B59" i="25"/>
  <c r="B58" i="25"/>
  <c r="K57" i="25"/>
  <c r="J57" i="25"/>
  <c r="I57" i="25"/>
  <c r="H57" i="25"/>
  <c r="G57" i="25"/>
  <c r="F57"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26" i="25"/>
  <c r="B25" i="25"/>
  <c r="B24" i="25"/>
  <c r="B23" i="25"/>
  <c r="B22" i="25"/>
  <c r="B21" i="25"/>
  <c r="K20" i="25"/>
  <c r="J20" i="25"/>
  <c r="I20" i="25"/>
  <c r="H20" i="25"/>
  <c r="H23" i="25" s="1"/>
  <c r="G20" i="25"/>
  <c r="G23" i="25" s="1"/>
  <c r="F20" i="25"/>
  <c r="B20" i="25"/>
  <c r="B19" i="25"/>
  <c r="B18" i="25"/>
  <c r="B17" i="25"/>
  <c r="B16" i="25"/>
  <c r="B15" i="25"/>
  <c r="B14" i="25"/>
  <c r="B13" i="25"/>
  <c r="B12" i="25"/>
  <c r="B11" i="25"/>
  <c r="B10" i="25"/>
  <c r="B9" i="25"/>
  <c r="B8" i="25"/>
  <c r="B7" i="25"/>
  <c r="B6" i="25"/>
  <c r="B5" i="25"/>
  <c r="B4" i="25"/>
  <c r="P30" i="20"/>
  <c r="O30" i="20"/>
  <c r="N30" i="20"/>
  <c r="M30" i="20"/>
  <c r="L30" i="20"/>
  <c r="K30" i="20"/>
  <c r="J30" i="20"/>
  <c r="I30" i="20"/>
  <c r="H30" i="20"/>
  <c r="G30" i="20"/>
  <c r="F30" i="20"/>
  <c r="E30" i="20"/>
  <c r="B30" i="20"/>
  <c r="B29" i="20"/>
  <c r="B28" i="20"/>
  <c r="B27" i="20"/>
  <c r="B26" i="20"/>
  <c r="B25" i="20"/>
  <c r="B24" i="20"/>
  <c r="B23" i="20"/>
  <c r="B22" i="20"/>
  <c r="B21" i="20"/>
  <c r="B20" i="20"/>
  <c r="B19" i="20"/>
  <c r="B18" i="20"/>
  <c r="B17" i="20"/>
  <c r="B16" i="20"/>
  <c r="B15" i="20"/>
  <c r="B14" i="20"/>
  <c r="B13" i="20"/>
  <c r="B12" i="20"/>
  <c r="B11" i="20"/>
  <c r="B9" i="20"/>
  <c r="B8" i="20"/>
  <c r="B7" i="20"/>
  <c r="B6" i="20"/>
  <c r="B5" i="20"/>
  <c r="B4" i="20"/>
  <c r="B49" i="10"/>
  <c r="B48" i="10"/>
  <c r="J47" i="10"/>
  <c r="I47" i="10"/>
  <c r="H47" i="10"/>
  <c r="G47" i="10"/>
  <c r="F47" i="10"/>
  <c r="E47" i="10"/>
  <c r="B47" i="10"/>
  <c r="J46" i="10"/>
  <c r="I46" i="10"/>
  <c r="H46" i="10"/>
  <c r="G46" i="10"/>
  <c r="F46" i="10"/>
  <c r="E46" i="10"/>
  <c r="B46" i="10"/>
  <c r="J45" i="10"/>
  <c r="I45" i="10"/>
  <c r="H45" i="10"/>
  <c r="G45" i="10"/>
  <c r="F45" i="10"/>
  <c r="E45" i="10"/>
  <c r="B45" i="10"/>
  <c r="B44" i="10"/>
  <c r="J43" i="10"/>
  <c r="I43" i="10"/>
  <c r="H43" i="10"/>
  <c r="G43" i="10"/>
  <c r="F43" i="10"/>
  <c r="E43" i="10"/>
  <c r="B43" i="10"/>
  <c r="J42" i="10"/>
  <c r="I42" i="10"/>
  <c r="H42" i="10"/>
  <c r="G42" i="10"/>
  <c r="F42" i="10"/>
  <c r="E42" i="10"/>
  <c r="B42" i="10"/>
  <c r="J41" i="10"/>
  <c r="I41" i="10"/>
  <c r="H41" i="10"/>
  <c r="G41" i="10"/>
  <c r="F41" i="10"/>
  <c r="E41" i="10"/>
  <c r="B41" i="10"/>
  <c r="B40" i="10"/>
  <c r="J39" i="10"/>
  <c r="I39" i="10"/>
  <c r="H39" i="10"/>
  <c r="G39" i="10"/>
  <c r="F39" i="10"/>
  <c r="E39" i="10"/>
  <c r="B39" i="10"/>
  <c r="J38" i="10"/>
  <c r="I38" i="10"/>
  <c r="H38" i="10"/>
  <c r="G38" i="10"/>
  <c r="F38" i="10"/>
  <c r="E38" i="10"/>
  <c r="B38" i="10"/>
  <c r="B33" i="10"/>
  <c r="J32" i="10"/>
  <c r="I32" i="10"/>
  <c r="H32" i="10"/>
  <c r="G32" i="10"/>
  <c r="F32" i="10"/>
  <c r="E32" i="10"/>
  <c r="B32" i="10"/>
  <c r="B31" i="10"/>
  <c r="B30" i="10"/>
  <c r="B29" i="10"/>
  <c r="J28" i="10"/>
  <c r="I28" i="10"/>
  <c r="H28" i="10"/>
  <c r="G28" i="10"/>
  <c r="F28" i="10"/>
  <c r="E28" i="10"/>
  <c r="B28" i="10"/>
  <c r="B27" i="10"/>
  <c r="B26" i="10"/>
  <c r="B25" i="10"/>
  <c r="J24" i="10"/>
  <c r="I24" i="10"/>
  <c r="H24" i="10"/>
  <c r="G24" i="10"/>
  <c r="F24" i="10"/>
  <c r="E24" i="10"/>
  <c r="B24" i="10"/>
  <c r="B23" i="10"/>
  <c r="B22" i="10"/>
  <c r="B17" i="10"/>
  <c r="B16" i="10"/>
  <c r="B15" i="10"/>
  <c r="J14" i="10"/>
  <c r="I14" i="10"/>
  <c r="H14" i="10"/>
  <c r="G14" i="10"/>
  <c r="F14" i="10"/>
  <c r="F48" i="10" s="1"/>
  <c r="E14" i="10"/>
  <c r="E48" i="10" s="1"/>
  <c r="B14" i="10"/>
  <c r="B13" i="10"/>
  <c r="B12" i="10"/>
  <c r="B11" i="10"/>
  <c r="J10" i="10"/>
  <c r="I10" i="10"/>
  <c r="H10" i="10"/>
  <c r="H44" i="10" s="1"/>
  <c r="G10" i="10"/>
  <c r="G44" i="10" s="1"/>
  <c r="F10" i="10"/>
  <c r="F44" i="10" s="1"/>
  <c r="E10" i="10"/>
  <c r="E44" i="10" s="1"/>
  <c r="B10" i="10"/>
  <c r="B9" i="10"/>
  <c r="B8" i="10"/>
  <c r="B7" i="10"/>
  <c r="J6" i="10"/>
  <c r="J40" i="10" s="1"/>
  <c r="I6" i="10"/>
  <c r="I40" i="10" s="1"/>
  <c r="H6" i="10"/>
  <c r="H40" i="10" s="1"/>
  <c r="G6" i="10"/>
  <c r="G40" i="10" s="1"/>
  <c r="F6" i="10"/>
  <c r="E6" i="10"/>
  <c r="B6" i="10"/>
  <c r="B5" i="10"/>
  <c r="B4" i="10"/>
  <c r="B100" i="6"/>
  <c r="B99" i="6"/>
  <c r="B98" i="6"/>
  <c r="B97" i="6"/>
  <c r="B96" i="6"/>
  <c r="B95" i="6"/>
  <c r="J90" i="6"/>
  <c r="I90" i="6"/>
  <c r="H90" i="6"/>
  <c r="G90" i="6"/>
  <c r="F90" i="6"/>
  <c r="E90" i="6"/>
  <c r="B90" i="6"/>
  <c r="B89" i="6"/>
  <c r="B88" i="6"/>
  <c r="J87" i="6"/>
  <c r="I87" i="6"/>
  <c r="H87" i="6"/>
  <c r="G87" i="6"/>
  <c r="F87" i="6"/>
  <c r="E87" i="6"/>
  <c r="B87" i="6"/>
  <c r="B86" i="6"/>
  <c r="B85" i="6"/>
  <c r="J84" i="6"/>
  <c r="I84" i="6"/>
  <c r="H84" i="6"/>
  <c r="G84" i="6"/>
  <c r="F84" i="6"/>
  <c r="E84" i="6"/>
  <c r="B84" i="6"/>
  <c r="J83" i="6"/>
  <c r="J85" i="6" s="1"/>
  <c r="I83" i="6"/>
  <c r="H83" i="6"/>
  <c r="G83" i="6"/>
  <c r="F83" i="6"/>
  <c r="E83" i="6"/>
  <c r="B83" i="6"/>
  <c r="B82" i="6"/>
  <c r="J81" i="6"/>
  <c r="I81" i="6"/>
  <c r="H81" i="6"/>
  <c r="G81" i="6"/>
  <c r="F81" i="6"/>
  <c r="E81" i="6"/>
  <c r="B81" i="6"/>
  <c r="B80" i="6"/>
  <c r="J79" i="6"/>
  <c r="I79" i="6"/>
  <c r="H79" i="6"/>
  <c r="G79" i="6"/>
  <c r="F79" i="6"/>
  <c r="E79" i="6"/>
  <c r="B79" i="6"/>
  <c r="J78" i="6"/>
  <c r="I78" i="6"/>
  <c r="H78" i="6"/>
  <c r="G78" i="6"/>
  <c r="F78" i="6"/>
  <c r="E78" i="6"/>
  <c r="B78" i="6"/>
  <c r="J77" i="6"/>
  <c r="I77" i="6"/>
  <c r="H77" i="6"/>
  <c r="G77" i="6"/>
  <c r="F77" i="6"/>
  <c r="E77" i="6"/>
  <c r="B77" i="6"/>
  <c r="J76" i="6"/>
  <c r="I76" i="6"/>
  <c r="H76" i="6"/>
  <c r="G76" i="6"/>
  <c r="F76" i="6"/>
  <c r="E76" i="6"/>
  <c r="B76" i="6"/>
  <c r="B75" i="6"/>
  <c r="J74" i="6"/>
  <c r="I74" i="6"/>
  <c r="H74" i="6"/>
  <c r="G74" i="6"/>
  <c r="F74" i="6"/>
  <c r="E74" i="6"/>
  <c r="B74" i="6"/>
  <c r="J73" i="6"/>
  <c r="I73" i="6"/>
  <c r="H73" i="6"/>
  <c r="G73" i="6"/>
  <c r="F73" i="6"/>
  <c r="E73" i="6"/>
  <c r="B73" i="6"/>
  <c r="J72" i="6"/>
  <c r="I72" i="6"/>
  <c r="H72" i="6"/>
  <c r="G72" i="6"/>
  <c r="F72" i="6"/>
  <c r="E72" i="6"/>
  <c r="B72" i="6"/>
  <c r="B71" i="6"/>
  <c r="J70" i="6"/>
  <c r="I70" i="6"/>
  <c r="H70" i="6"/>
  <c r="G70" i="6"/>
  <c r="F70" i="6"/>
  <c r="E70" i="6"/>
  <c r="B70" i="6"/>
  <c r="J69" i="6"/>
  <c r="I69" i="6"/>
  <c r="H69" i="6"/>
  <c r="G69" i="6"/>
  <c r="F69" i="6"/>
  <c r="E69" i="6"/>
  <c r="B69" i="6"/>
  <c r="B68" i="6"/>
  <c r="J67" i="6"/>
  <c r="I67" i="6"/>
  <c r="H67" i="6"/>
  <c r="G67" i="6"/>
  <c r="F67" i="6"/>
  <c r="E67" i="6"/>
  <c r="B67" i="6"/>
  <c r="J66" i="6"/>
  <c r="I66" i="6"/>
  <c r="H66" i="6"/>
  <c r="G66" i="6"/>
  <c r="F66" i="6"/>
  <c r="E66" i="6"/>
  <c r="B66" i="6"/>
  <c r="J65" i="6"/>
  <c r="J68" i="6" s="1"/>
  <c r="I65" i="6"/>
  <c r="H65" i="6"/>
  <c r="G65" i="6"/>
  <c r="F65" i="6"/>
  <c r="E65" i="6"/>
  <c r="B65" i="6"/>
  <c r="B60" i="6"/>
  <c r="B59" i="6"/>
  <c r="J58" i="6"/>
  <c r="J88" i="6" s="1"/>
  <c r="I58" i="6"/>
  <c r="I88" i="6" s="1"/>
  <c r="H58" i="6"/>
  <c r="H88" i="6" s="1"/>
  <c r="G58" i="6"/>
  <c r="G88" i="6" s="1"/>
  <c r="F58" i="6"/>
  <c r="F88" i="6" s="1"/>
  <c r="E58" i="6"/>
  <c r="E88" i="6" s="1"/>
  <c r="B58" i="6"/>
  <c r="B57" i="6"/>
  <c r="B56" i="6"/>
  <c r="J55" i="6"/>
  <c r="I55" i="6"/>
  <c r="H55" i="6"/>
  <c r="G55" i="6"/>
  <c r="F55" i="6"/>
  <c r="E55" i="6"/>
  <c r="B55" i="6"/>
  <c r="B54" i="6"/>
  <c r="B53" i="6"/>
  <c r="B52" i="6"/>
  <c r="B51" i="6"/>
  <c r="J50" i="6"/>
  <c r="I50" i="6"/>
  <c r="H50" i="6"/>
  <c r="G50" i="6"/>
  <c r="F50" i="6"/>
  <c r="E50" i="6"/>
  <c r="B50" i="6"/>
  <c r="B49" i="6"/>
  <c r="B48" i="6"/>
  <c r="B47" i="6"/>
  <c r="B46" i="6"/>
  <c r="J45" i="6"/>
  <c r="I45" i="6"/>
  <c r="H45" i="6"/>
  <c r="G45" i="6"/>
  <c r="F45" i="6"/>
  <c r="E45" i="6"/>
  <c r="B45" i="6"/>
  <c r="B44" i="6"/>
  <c r="B43" i="6"/>
  <c r="B42" i="6"/>
  <c r="J41" i="6"/>
  <c r="I41" i="6"/>
  <c r="H41" i="6"/>
  <c r="G41" i="6"/>
  <c r="F41" i="6"/>
  <c r="E41" i="6"/>
  <c r="B41" i="6"/>
  <c r="B40" i="6"/>
  <c r="B39" i="6"/>
  <c r="J38" i="6"/>
  <c r="I38" i="6"/>
  <c r="H38" i="6"/>
  <c r="G38" i="6"/>
  <c r="F38" i="6"/>
  <c r="E38" i="6"/>
  <c r="B38" i="6"/>
  <c r="B37" i="6"/>
  <c r="B36" i="6"/>
  <c r="B35" i="6"/>
  <c r="B30" i="6"/>
  <c r="B29" i="6"/>
  <c r="B28" i="6"/>
  <c r="B27" i="6"/>
  <c r="B26" i="6"/>
  <c r="B25" i="6"/>
  <c r="J24" i="6"/>
  <c r="I24" i="6"/>
  <c r="H24" i="6"/>
  <c r="G24" i="6"/>
  <c r="F24" i="6"/>
  <c r="E24" i="6"/>
  <c r="B24" i="6"/>
  <c r="B23" i="6"/>
  <c r="B22" i="6"/>
  <c r="B21" i="6"/>
  <c r="B20" i="6"/>
  <c r="J19" i="6"/>
  <c r="I19" i="6"/>
  <c r="H19" i="6"/>
  <c r="G19" i="6"/>
  <c r="F19" i="6"/>
  <c r="E19" i="6"/>
  <c r="B19" i="6"/>
  <c r="B18" i="6"/>
  <c r="B17" i="6"/>
  <c r="B16" i="6"/>
  <c r="B15" i="6"/>
  <c r="J14" i="6"/>
  <c r="I14" i="6"/>
  <c r="H14" i="6"/>
  <c r="G14" i="6"/>
  <c r="F14" i="6"/>
  <c r="E14" i="6"/>
  <c r="B14" i="6"/>
  <c r="B13" i="6"/>
  <c r="B12" i="6"/>
  <c r="B11" i="6"/>
  <c r="J10" i="6"/>
  <c r="I10" i="6"/>
  <c r="H10" i="6"/>
  <c r="G10" i="6"/>
  <c r="F10" i="6"/>
  <c r="E10" i="6"/>
  <c r="B10" i="6"/>
  <c r="B9" i="6"/>
  <c r="B8" i="6"/>
  <c r="J7" i="6"/>
  <c r="I7" i="6"/>
  <c r="H7" i="6"/>
  <c r="G7" i="6"/>
  <c r="F7" i="6"/>
  <c r="E7" i="6"/>
  <c r="B7" i="6"/>
  <c r="B6" i="6"/>
  <c r="B5" i="6"/>
  <c r="B4" i="6"/>
  <c r="B57" i="19"/>
  <c r="B56" i="19"/>
  <c r="B51" i="19"/>
  <c r="B50" i="19"/>
  <c r="B49" i="19"/>
  <c r="B48" i="19"/>
  <c r="B47" i="19"/>
  <c r="B46" i="19"/>
  <c r="B45" i="19"/>
  <c r="B44" i="19"/>
  <c r="B43" i="19"/>
  <c r="B42" i="19"/>
  <c r="B41" i="19"/>
  <c r="B40" i="19"/>
  <c r="B35" i="19"/>
  <c r="B34" i="19"/>
  <c r="B33" i="19"/>
  <c r="B32" i="19"/>
  <c r="B31" i="19"/>
  <c r="B30" i="19"/>
  <c r="B29" i="19"/>
  <c r="B28" i="19"/>
  <c r="B27" i="19"/>
  <c r="B26" i="19"/>
  <c r="B25" i="19"/>
  <c r="B24" i="19"/>
  <c r="B23" i="19"/>
  <c r="B22" i="19"/>
  <c r="B21" i="19"/>
  <c r="B20" i="19"/>
  <c r="B19" i="19"/>
  <c r="B18" i="19"/>
  <c r="B17" i="19"/>
  <c r="B16" i="19"/>
  <c r="B15" i="19"/>
  <c r="B14" i="19"/>
  <c r="B9" i="19"/>
  <c r="B8" i="19"/>
  <c r="I7" i="19"/>
  <c r="G4" i="15" s="1"/>
  <c r="F7" i="19"/>
  <c r="F4" i="15" s="1"/>
  <c r="E7" i="19"/>
  <c r="B7" i="19"/>
  <c r="B6" i="19"/>
  <c r="B5" i="19"/>
  <c r="B4" i="19"/>
  <c r="H43" i="13"/>
  <c r="B43" i="13"/>
  <c r="G38" i="13"/>
  <c r="G27" i="13" s="1"/>
  <c r="F38" i="13"/>
  <c r="F27" i="13" s="1"/>
  <c r="B38" i="13"/>
  <c r="H37" i="13"/>
  <c r="B37" i="13"/>
  <c r="H36" i="13"/>
  <c r="B36" i="13"/>
  <c r="H35" i="13"/>
  <c r="B35" i="13"/>
  <c r="H34" i="13"/>
  <c r="B34" i="13"/>
  <c r="H33" i="13"/>
  <c r="B33" i="13"/>
  <c r="B28" i="13"/>
  <c r="B27" i="13"/>
  <c r="H26" i="13"/>
  <c r="B26" i="13"/>
  <c r="B25" i="13"/>
  <c r="G24" i="13"/>
  <c r="F24" i="13"/>
  <c r="B24" i="13"/>
  <c r="H23" i="13"/>
  <c r="B23" i="13"/>
  <c r="H22" i="13"/>
  <c r="B22" i="13"/>
  <c r="B21" i="13"/>
  <c r="H20" i="13"/>
  <c r="B20" i="13"/>
  <c r="G19" i="13"/>
  <c r="F19" i="13"/>
  <c r="B19" i="13"/>
  <c r="H18" i="13"/>
  <c r="B18" i="13"/>
  <c r="H17" i="13"/>
  <c r="B17" i="13"/>
  <c r="H16" i="13"/>
  <c r="B16" i="13"/>
  <c r="H15" i="13"/>
  <c r="B15" i="13"/>
  <c r="G14" i="13"/>
  <c r="F14" i="13"/>
  <c r="B14" i="13"/>
  <c r="H13" i="13"/>
  <c r="B13" i="13"/>
  <c r="H12" i="13"/>
  <c r="B12" i="13"/>
  <c r="H11" i="13"/>
  <c r="B11" i="13"/>
  <c r="G10" i="13"/>
  <c r="F10" i="13"/>
  <c r="B10" i="13"/>
  <c r="H9" i="13"/>
  <c r="B9" i="13"/>
  <c r="H8" i="13"/>
  <c r="B8" i="13"/>
  <c r="G7" i="13"/>
  <c r="F7" i="13"/>
  <c r="B7" i="13"/>
  <c r="H6" i="13"/>
  <c r="B6" i="13"/>
  <c r="H5" i="13"/>
  <c r="B5" i="13"/>
  <c r="H4" i="13"/>
  <c r="B4" i="13"/>
  <c r="B21" i="17"/>
  <c r="B20" i="17"/>
  <c r="B15" i="17"/>
  <c r="F14" i="17"/>
  <c r="I50" i="19" s="1"/>
  <c r="J50" i="19" s="1"/>
  <c r="E14" i="17"/>
  <c r="B14" i="17"/>
  <c r="B13" i="17"/>
  <c r="B12" i="17"/>
  <c r="B11" i="17"/>
  <c r="F10" i="17"/>
  <c r="I46" i="19" s="1"/>
  <c r="J46" i="19" s="1"/>
  <c r="E10" i="17"/>
  <c r="B10" i="17"/>
  <c r="B9" i="17"/>
  <c r="B8" i="17"/>
  <c r="B7" i="17"/>
  <c r="F6" i="17"/>
  <c r="E6" i="17"/>
  <c r="B6" i="17"/>
  <c r="B5" i="17"/>
  <c r="B4" i="17"/>
  <c r="E37" i="16"/>
  <c r="B37" i="16"/>
  <c r="B36" i="16"/>
  <c r="B35" i="16"/>
  <c r="B30" i="16"/>
  <c r="H29" i="16"/>
  <c r="G29" i="16"/>
  <c r="F29" i="16"/>
  <c r="E29" i="16"/>
  <c r="B29" i="16"/>
  <c r="F28" i="16"/>
  <c r="E28" i="16"/>
  <c r="B28" i="16"/>
  <c r="F27" i="16"/>
  <c r="B27" i="16"/>
  <c r="B26" i="16"/>
  <c r="B25" i="16"/>
  <c r="F24" i="16"/>
  <c r="E24" i="16"/>
  <c r="B24" i="16"/>
  <c r="B23" i="16"/>
  <c r="B22" i="16"/>
  <c r="F21" i="16"/>
  <c r="E21" i="16"/>
  <c r="B21" i="16"/>
  <c r="B20" i="16"/>
  <c r="B19" i="16"/>
  <c r="F18" i="16"/>
  <c r="E18" i="16"/>
  <c r="B18" i="16"/>
  <c r="B17" i="16"/>
  <c r="B16" i="16"/>
  <c r="F15" i="16"/>
  <c r="E15" i="16"/>
  <c r="B15" i="16"/>
  <c r="B14" i="16"/>
  <c r="B13" i="16"/>
  <c r="F12" i="16"/>
  <c r="E12" i="16"/>
  <c r="B12" i="16"/>
  <c r="B11" i="16"/>
  <c r="B10" i="16"/>
  <c r="F9" i="16"/>
  <c r="E9" i="16"/>
  <c r="B9" i="16"/>
  <c r="B8" i="16"/>
  <c r="B7" i="16"/>
  <c r="F6" i="16"/>
  <c r="E6" i="16"/>
  <c r="B6" i="16"/>
  <c r="B5" i="16"/>
  <c r="B4" i="16"/>
  <c r="B112" i="24"/>
  <c r="B111" i="24"/>
  <c r="K110" i="24"/>
  <c r="J110" i="24"/>
  <c r="I110" i="24"/>
  <c r="H110" i="24"/>
  <c r="G110" i="24"/>
  <c r="F110" i="24"/>
  <c r="E110" i="24"/>
  <c r="B110" i="24"/>
  <c r="B109" i="24"/>
  <c r="B108" i="24"/>
  <c r="B107" i="24"/>
  <c r="B106" i="24"/>
  <c r="B105" i="24"/>
  <c r="B104" i="24"/>
  <c r="K103" i="24"/>
  <c r="J103" i="24"/>
  <c r="I103" i="24"/>
  <c r="H103" i="24"/>
  <c r="G103" i="24"/>
  <c r="F103" i="24"/>
  <c r="E103" i="24"/>
  <c r="B103" i="24"/>
  <c r="B102" i="24"/>
  <c r="B101" i="24"/>
  <c r="B100" i="24"/>
  <c r="B99" i="24"/>
  <c r="K98" i="24"/>
  <c r="K106" i="24" s="1"/>
  <c r="K111" i="24" s="1"/>
  <c r="K112" i="24" s="1"/>
  <c r="J98" i="24"/>
  <c r="I98" i="24"/>
  <c r="H98" i="24"/>
  <c r="G98" i="24"/>
  <c r="F98" i="24"/>
  <c r="E98" i="24"/>
  <c r="B98" i="24"/>
  <c r="B97" i="24"/>
  <c r="B96" i="24"/>
  <c r="B95" i="24"/>
  <c r="B94" i="24"/>
  <c r="B93" i="24"/>
  <c r="B92" i="24"/>
  <c r="B91" i="24"/>
  <c r="B90" i="24"/>
  <c r="B84" i="24"/>
  <c r="B83" i="24"/>
  <c r="B82" i="24"/>
  <c r="B81" i="24"/>
  <c r="B80" i="24"/>
  <c r="B79" i="24"/>
  <c r="B78" i="24"/>
  <c r="B77" i="24"/>
  <c r="G72" i="24"/>
  <c r="G5" i="14" s="1"/>
  <c r="G7" i="14" s="1"/>
  <c r="F72" i="24"/>
  <c r="F17" i="24" s="1"/>
  <c r="B72" i="24"/>
  <c r="B71" i="24"/>
  <c r="B70" i="24"/>
  <c r="B65" i="24"/>
  <c r="B60" i="24"/>
  <c r="B59" i="24"/>
  <c r="I58" i="24" a="1"/>
  <c r="I58" i="24" s="1"/>
  <c r="B58" i="24"/>
  <c r="B57" i="24"/>
  <c r="B56" i="24"/>
  <c r="I50" i="24" a="1"/>
  <c r="I50" i="24" s="1"/>
  <c r="B50" i="24"/>
  <c r="B49" i="24"/>
  <c r="B48" i="24"/>
  <c r="I47" i="24" a="1"/>
  <c r="I47" i="24" s="1"/>
  <c r="F47" i="24"/>
  <c r="F49" i="24" s="1"/>
  <c r="F50" i="24" s="1"/>
  <c r="F18" i="24" s="1"/>
  <c r="B47" i="24"/>
  <c r="B42" i="24"/>
  <c r="B37" i="24"/>
  <c r="B36" i="24"/>
  <c r="B28" i="24"/>
  <c r="I27" i="24" a="1"/>
  <c r="I27" i="24" s="1"/>
  <c r="B27" i="24"/>
  <c r="I26" i="24" a="1"/>
  <c r="I26" i="24" s="1"/>
  <c r="G26" i="24"/>
  <c r="F26" i="24"/>
  <c r="B26" i="24"/>
  <c r="B25" i="24"/>
  <c r="B24" i="24"/>
  <c r="B23" i="24"/>
  <c r="I22" i="24" a="1"/>
  <c r="I22" i="24" s="1"/>
  <c r="G22" i="24"/>
  <c r="F22" i="24"/>
  <c r="F58" i="24" s="1"/>
  <c r="F60" i="24" s="1"/>
  <c r="B22" i="24"/>
  <c r="B21" i="24"/>
  <c r="B20" i="24"/>
  <c r="B19" i="24"/>
  <c r="I18" i="24" a="1"/>
  <c r="I18" i="24" s="1"/>
  <c r="B18" i="24"/>
  <c r="I17" i="24" a="1"/>
  <c r="I17" i="24" s="1"/>
  <c r="B17" i="24"/>
  <c r="I16" i="24" a="1"/>
  <c r="I16" i="24" s="1"/>
  <c r="G16" i="24"/>
  <c r="G47" i="24" s="1"/>
  <c r="G49" i="24" s="1"/>
  <c r="G50" i="24" s="1"/>
  <c r="G18" i="24" s="1"/>
  <c r="R92" i="24" s="1"/>
  <c r="B16" i="24"/>
  <c r="I10" i="24"/>
  <c r="H10" i="24"/>
  <c r="G10" i="24"/>
  <c r="F10" i="24"/>
  <c r="B10" i="24"/>
  <c r="L9" i="24" a="1"/>
  <c r="L9" i="24" s="1"/>
  <c r="B9" i="24"/>
  <c r="L8" i="24" a="1"/>
  <c r="L8" i="24" s="1"/>
  <c r="B8" i="24"/>
  <c r="L7" i="24" a="1"/>
  <c r="L7" i="24" s="1"/>
  <c r="B7" i="24"/>
  <c r="L6" i="24" a="1"/>
  <c r="L6" i="24" s="1"/>
  <c r="B6" i="24"/>
  <c r="L5" i="24" a="1"/>
  <c r="L5" i="24" s="1"/>
  <c r="B5" i="24"/>
  <c r="B4" i="24"/>
  <c r="B113" i="22"/>
  <c r="B112" i="22"/>
  <c r="B111" i="22"/>
  <c r="L110" i="22"/>
  <c r="K110" i="22"/>
  <c r="J110" i="22"/>
  <c r="I110" i="22"/>
  <c r="H110" i="22"/>
  <c r="G110" i="22"/>
  <c r="F110" i="22"/>
  <c r="B110" i="22"/>
  <c r="B109" i="22"/>
  <c r="B108" i="22"/>
  <c r="B107" i="22"/>
  <c r="B106" i="22"/>
  <c r="B105" i="22"/>
  <c r="B104" i="22"/>
  <c r="L103" i="22"/>
  <c r="K103" i="22"/>
  <c r="J103" i="22"/>
  <c r="I103" i="22"/>
  <c r="H103" i="22"/>
  <c r="G103" i="22"/>
  <c r="F103" i="22"/>
  <c r="B103" i="22"/>
  <c r="B102" i="22"/>
  <c r="B101" i="22"/>
  <c r="B100" i="22"/>
  <c r="B99" i="22"/>
  <c r="L98" i="22"/>
  <c r="K103" i="23" s="1"/>
  <c r="K98" i="22"/>
  <c r="J98" i="22"/>
  <c r="I98" i="22"/>
  <c r="H103" i="23" s="1"/>
  <c r="H106" i="23" s="1"/>
  <c r="H98" i="22"/>
  <c r="G103" i="23" s="1"/>
  <c r="G106" i="23" s="1"/>
  <c r="G98" i="22"/>
  <c r="F103" i="23" s="1"/>
  <c r="F98" i="22"/>
  <c r="B98" i="22"/>
  <c r="B97" i="22"/>
  <c r="B96" i="22"/>
  <c r="B95" i="22"/>
  <c r="B94" i="22"/>
  <c r="B93" i="22"/>
  <c r="B92" i="22"/>
  <c r="B91" i="22"/>
  <c r="B90" i="22"/>
  <c r="B83" i="22"/>
  <c r="B82" i="22"/>
  <c r="B81" i="22"/>
  <c r="B80" i="22"/>
  <c r="B79" i="22"/>
  <c r="B78" i="22"/>
  <c r="B77" i="22"/>
  <c r="B76" i="22"/>
  <c r="G72" i="22"/>
  <c r="F72" i="22"/>
  <c r="F17" i="22" s="1"/>
  <c r="B72" i="22"/>
  <c r="B71" i="22"/>
  <c r="B70" i="22"/>
  <c r="B65" i="22"/>
  <c r="B60" i="22"/>
  <c r="B59" i="22"/>
  <c r="I58" i="22" a="1"/>
  <c r="I58" i="22" s="1"/>
  <c r="B58" i="22"/>
  <c r="B57" i="22"/>
  <c r="B56" i="22"/>
  <c r="I50" i="22" a="1"/>
  <c r="I50" i="22" s="1"/>
  <c r="B50" i="22"/>
  <c r="B49" i="22"/>
  <c r="B48" i="22"/>
  <c r="I47" i="22" a="1"/>
  <c r="I47" i="22" s="1"/>
  <c r="F47" i="22"/>
  <c r="F49" i="22" s="1"/>
  <c r="F50" i="22" s="1"/>
  <c r="F18" i="22" s="1"/>
  <c r="B47" i="22"/>
  <c r="B42" i="22"/>
  <c r="B37" i="22"/>
  <c r="B36" i="22"/>
  <c r="B29" i="22"/>
  <c r="I28" i="22" a="1"/>
  <c r="I28" i="22" s="1"/>
  <c r="B28" i="22"/>
  <c r="I27" i="22" a="1"/>
  <c r="I27" i="22" s="1"/>
  <c r="G27" i="22"/>
  <c r="J9" i="22" s="1"/>
  <c r="B27" i="22"/>
  <c r="I26" i="22" a="1"/>
  <c r="I26" i="22" s="1"/>
  <c r="G26" i="22"/>
  <c r="S94" i="22" s="1"/>
  <c r="F26" i="22"/>
  <c r="B26" i="22"/>
  <c r="B25" i="22"/>
  <c r="B24" i="22"/>
  <c r="B23" i="22"/>
  <c r="I22" i="22" a="1"/>
  <c r="I22" i="22" s="1"/>
  <c r="G22" i="22"/>
  <c r="S93" i="22" s="1"/>
  <c r="F22" i="22"/>
  <c r="F58" i="22" s="1"/>
  <c r="F60" i="22" s="1"/>
  <c r="B22" i="22"/>
  <c r="B21" i="22"/>
  <c r="B20" i="22"/>
  <c r="B19" i="22"/>
  <c r="I18" i="22" a="1"/>
  <c r="I18" i="22" s="1"/>
  <c r="B18" i="22"/>
  <c r="I17" i="22" a="1"/>
  <c r="I17" i="22" s="1"/>
  <c r="B17" i="22"/>
  <c r="I16" i="22" a="1"/>
  <c r="I16" i="22" s="1"/>
  <c r="G16" i="22"/>
  <c r="B16" i="22"/>
  <c r="I11" i="22"/>
  <c r="H11" i="22"/>
  <c r="G11" i="22"/>
  <c r="F11" i="22"/>
  <c r="B11" i="22"/>
  <c r="L10" i="22" a="1"/>
  <c r="L10" i="22" s="1"/>
  <c r="B10" i="22"/>
  <c r="L9" i="22" a="1"/>
  <c r="L9" i="22" s="1"/>
  <c r="B9" i="22"/>
  <c r="L8" i="22" a="1"/>
  <c r="L8" i="22" s="1"/>
  <c r="B8" i="22"/>
  <c r="L7" i="22" a="1"/>
  <c r="L7" i="22" s="1"/>
  <c r="B7" i="22"/>
  <c r="L6" i="22" a="1"/>
  <c r="L6" i="22" s="1"/>
  <c r="B6" i="22"/>
  <c r="L5" i="22" a="1"/>
  <c r="L5" i="22" s="1"/>
  <c r="B5" i="22"/>
  <c r="B4" i="22"/>
  <c r="B113" i="23"/>
  <c r="B112" i="23"/>
  <c r="B111" i="23"/>
  <c r="B110" i="23"/>
  <c r="B109" i="23"/>
  <c r="B108" i="23"/>
  <c r="B107" i="23"/>
  <c r="B106" i="23"/>
  <c r="B105" i="23"/>
  <c r="B104" i="23"/>
  <c r="B103" i="23"/>
  <c r="B102" i="23"/>
  <c r="B101" i="23"/>
  <c r="B100" i="23"/>
  <c r="B99" i="23"/>
  <c r="B98" i="23"/>
  <c r="B97" i="23"/>
  <c r="B96" i="23"/>
  <c r="B95" i="23"/>
  <c r="B94" i="23"/>
  <c r="B93" i="23"/>
  <c r="B92" i="23"/>
  <c r="B91" i="23"/>
  <c r="B90" i="23"/>
  <c r="B83" i="23"/>
  <c r="B82" i="23"/>
  <c r="B81" i="23"/>
  <c r="B80" i="23"/>
  <c r="B79" i="23"/>
  <c r="B78" i="23"/>
  <c r="B77" i="23"/>
  <c r="B76" i="23"/>
  <c r="B71" i="23"/>
  <c r="B70" i="23"/>
  <c r="B69" i="23"/>
  <c r="B64" i="23"/>
  <c r="B60" i="23"/>
  <c r="B59" i="23"/>
  <c r="B58" i="23"/>
  <c r="B57" i="23"/>
  <c r="B56" i="23"/>
  <c r="I50" i="23" a="1"/>
  <c r="I50" i="23" s="1"/>
  <c r="B50" i="23"/>
  <c r="B49" i="23"/>
  <c r="B48" i="23"/>
  <c r="I47" i="23" a="1"/>
  <c r="I47" i="23" s="1"/>
  <c r="B47" i="23"/>
  <c r="B42" i="23"/>
  <c r="B37" i="23"/>
  <c r="B36" i="23"/>
  <c r="B29" i="23"/>
  <c r="B28" i="23"/>
  <c r="I27" i="23" a="1"/>
  <c r="I27" i="23" s="1"/>
  <c r="B27" i="23"/>
  <c r="R94" i="23"/>
  <c r="B26" i="23"/>
  <c r="B25" i="23"/>
  <c r="B24" i="23"/>
  <c r="B23" i="23"/>
  <c r="I22" i="23" a="1"/>
  <c r="I22" i="23" s="1"/>
  <c r="B22" i="23"/>
  <c r="B21" i="23"/>
  <c r="B20" i="23"/>
  <c r="B19" i="23"/>
  <c r="I18" i="23" a="1"/>
  <c r="I18" i="23" s="1"/>
  <c r="B18" i="23"/>
  <c r="I17" i="23" a="1"/>
  <c r="I17" i="23" s="1"/>
  <c r="B17" i="23"/>
  <c r="I16" i="23" a="1"/>
  <c r="I16" i="23" s="1"/>
  <c r="B16" i="23"/>
  <c r="B11" i="23"/>
  <c r="M10" i="23" a="1"/>
  <c r="M10" i="23" s="1"/>
  <c r="B10" i="23"/>
  <c r="M9" i="23" a="1"/>
  <c r="M9" i="23" s="1"/>
  <c r="B9" i="23"/>
  <c r="M8" i="23" a="1"/>
  <c r="M8" i="23" s="1"/>
  <c r="B8" i="23"/>
  <c r="M7" i="23" a="1"/>
  <c r="M7" i="23" s="1"/>
  <c r="B7" i="23"/>
  <c r="M6" i="23" a="1"/>
  <c r="M6" i="23" s="1"/>
  <c r="B6" i="23"/>
  <c r="M5" i="23" a="1"/>
  <c r="M5" i="23" s="1"/>
  <c r="B5" i="23"/>
  <c r="B4" i="23"/>
  <c r="G56" i="18"/>
  <c r="F56" i="18"/>
  <c r="G55" i="18"/>
  <c r="F55" i="18"/>
  <c r="G54" i="18"/>
  <c r="F54" i="18"/>
  <c r="G51" i="18"/>
  <c r="F51" i="18"/>
  <c r="G48" i="18"/>
  <c r="F48" i="18"/>
  <c r="G45" i="18"/>
  <c r="F45" i="18"/>
  <c r="G42" i="18"/>
  <c r="F42" i="18"/>
  <c r="G39" i="18"/>
  <c r="F39" i="18"/>
  <c r="G36" i="18"/>
  <c r="F36" i="18"/>
  <c r="G33" i="18"/>
  <c r="F33" i="18"/>
  <c r="G30" i="18"/>
  <c r="F30" i="18"/>
  <c r="G27" i="18"/>
  <c r="F27" i="18"/>
  <c r="G24" i="18"/>
  <c r="F24" i="18"/>
  <c r="G21" i="18"/>
  <c r="F21" i="18"/>
  <c r="G18" i="18"/>
  <c r="F18" i="18"/>
  <c r="G15" i="18"/>
  <c r="F15" i="18"/>
  <c r="G12" i="18"/>
  <c r="F12" i="18"/>
  <c r="G9" i="18"/>
  <c r="F9" i="18"/>
  <c r="G6" i="18"/>
  <c r="F6" i="18"/>
  <c r="H54" i="14"/>
  <c r="G54" i="14"/>
  <c r="F54" i="14"/>
  <c r="B54" i="14"/>
  <c r="B53" i="14"/>
  <c r="B52" i="14"/>
  <c r="B51" i="14"/>
  <c r="B50" i="14"/>
  <c r="B49" i="14"/>
  <c r="B48" i="14"/>
  <c r="H43" i="14"/>
  <c r="G43" i="14"/>
  <c r="F43" i="14"/>
  <c r="B43" i="14"/>
  <c r="B42" i="14"/>
  <c r="B41" i="14"/>
  <c r="B40" i="14"/>
  <c r="B30" i="14"/>
  <c r="B23" i="14"/>
  <c r="B22" i="14"/>
  <c r="B21" i="14"/>
  <c r="B20" i="14"/>
  <c r="B19" i="14"/>
  <c r="B18" i="14"/>
  <c r="B17" i="14"/>
  <c r="B16" i="14"/>
  <c r="B15" i="14"/>
  <c r="B14" i="14"/>
  <c r="B13" i="14"/>
  <c r="B12" i="14"/>
  <c r="B11" i="14"/>
  <c r="B10" i="14"/>
  <c r="B9" i="14"/>
  <c r="B8" i="14"/>
  <c r="B7" i="14"/>
  <c r="B6" i="14"/>
  <c r="B5" i="14"/>
  <c r="B4" i="14"/>
  <c r="B48" i="15"/>
  <c r="B47" i="15"/>
  <c r="B46" i="15"/>
  <c r="F45" i="15"/>
  <c r="F7" i="15" s="1"/>
  <c r="H7" i="15" s="1"/>
  <c r="B45" i="15"/>
  <c r="B44" i="15"/>
  <c r="B43" i="15"/>
  <c r="B38" i="15"/>
  <c r="B31" i="15"/>
  <c r="G26" i="15"/>
  <c r="F26" i="15"/>
  <c r="F10" i="15" s="1"/>
  <c r="B26" i="15"/>
  <c r="B25" i="15"/>
  <c r="B24" i="15"/>
  <c r="B23" i="15"/>
  <c r="B22" i="15"/>
  <c r="B17" i="15"/>
  <c r="B16" i="15"/>
  <c r="B15" i="15"/>
  <c r="B14" i="15"/>
  <c r="B13" i="15"/>
  <c r="B12" i="15"/>
  <c r="J11" i="15" a="1"/>
  <c r="J11" i="15" s="1"/>
  <c r="B11" i="15"/>
  <c r="B10" i="15"/>
  <c r="B9" i="15"/>
  <c r="B8" i="15"/>
  <c r="B7" i="15"/>
  <c r="B6" i="15"/>
  <c r="B5" i="15"/>
  <c r="B4" i="15"/>
  <c r="H36" i="11" a="1"/>
  <c r="H36" i="11" s="1"/>
  <c r="B36" i="11"/>
  <c r="B35" i="11"/>
  <c r="B34" i="11"/>
  <c r="B33" i="11"/>
  <c r="B32" i="11"/>
  <c r="B27" i="11"/>
  <c r="B26" i="11"/>
  <c r="B25" i="11"/>
  <c r="B24" i="11"/>
  <c r="B23" i="11"/>
  <c r="B22" i="11"/>
  <c r="B21" i="11"/>
  <c r="B20" i="11"/>
  <c r="B19" i="11"/>
  <c r="B18" i="11"/>
  <c r="B17" i="11"/>
  <c r="B16" i="11"/>
  <c r="B8" i="11"/>
  <c r="M7" i="11" a="1"/>
  <c r="M7" i="11" s="1"/>
  <c r="B7" i="11"/>
  <c r="M6" i="11" a="1"/>
  <c r="M6" i="11" s="1"/>
  <c r="I6" i="11" a="1"/>
  <c r="I6" i="11" s="1"/>
  <c r="B6" i="11"/>
  <c r="M5" i="11" a="1"/>
  <c r="M5" i="11" s="1"/>
  <c r="B5" i="11"/>
  <c r="M4" i="11" a="1"/>
  <c r="M4" i="11" s="1"/>
  <c r="I4" i="11" a="1"/>
  <c r="I4" i="11" s="1"/>
  <c r="B4" i="11"/>
  <c r="I38" i="5" a="1"/>
  <c r="I38" i="5" s="1"/>
  <c r="B38" i="5"/>
  <c r="B37" i="5"/>
  <c r="B36" i="5"/>
  <c r="B35" i="5"/>
  <c r="B34" i="5"/>
  <c r="H33" i="5" a="1"/>
  <c r="H33" i="5" s="1"/>
  <c r="B33" i="5"/>
  <c r="B32" i="5"/>
  <c r="B27" i="5"/>
  <c r="B26" i="5"/>
  <c r="B25" i="5"/>
  <c r="N24" i="5"/>
  <c r="B24" i="5"/>
  <c r="N23" i="5"/>
  <c r="B23" i="5"/>
  <c r="N22" i="5"/>
  <c r="B22" i="5"/>
  <c r="N21" i="5"/>
  <c r="B21" i="5"/>
  <c r="N20" i="5"/>
  <c r="B20" i="5"/>
  <c r="B19" i="5"/>
  <c r="B18" i="5"/>
  <c r="B17" i="5"/>
  <c r="B16" i="5"/>
  <c r="B11" i="5"/>
  <c r="M10" i="5" a="1"/>
  <c r="M10" i="5" s="1"/>
  <c r="B10" i="5"/>
  <c r="B9" i="5"/>
  <c r="M8" i="5" a="1"/>
  <c r="M8" i="5" s="1"/>
  <c r="I8" i="5" a="1"/>
  <c r="I8" i="5" s="1"/>
  <c r="B8" i="5"/>
  <c r="M7" i="5" a="1"/>
  <c r="M7" i="5" s="1"/>
  <c r="I7" i="5" a="1"/>
  <c r="I7" i="5" s="1"/>
  <c r="B7" i="5"/>
  <c r="M6" i="5" a="1"/>
  <c r="M6" i="5" s="1"/>
  <c r="B6" i="5"/>
  <c r="M5" i="5" a="1"/>
  <c r="M5" i="5" s="1"/>
  <c r="I5" i="5" a="1"/>
  <c r="I5" i="5" s="1"/>
  <c r="B5" i="5"/>
  <c r="M4" i="5" a="1"/>
  <c r="M4" i="5" s="1"/>
  <c r="I4" i="5" a="1"/>
  <c r="I4" i="5" s="1"/>
  <c r="B4" i="5"/>
  <c r="I38" i="1" a="1"/>
  <c r="I38" i="1" s="1"/>
  <c r="B38" i="1"/>
  <c r="B37" i="1"/>
  <c r="B36" i="1"/>
  <c r="B35" i="1"/>
  <c r="B34" i="1"/>
  <c r="I33" i="1" a="1"/>
  <c r="I33" i="1" s="1"/>
  <c r="B33" i="1"/>
  <c r="B32" i="1"/>
  <c r="B27" i="1"/>
  <c r="B26" i="1"/>
  <c r="B25" i="1"/>
  <c r="O24" i="1"/>
  <c r="Q24" i="1" s="1"/>
  <c r="N24" i="1"/>
  <c r="B24" i="1"/>
  <c r="N23" i="1"/>
  <c r="B23" i="1"/>
  <c r="N22" i="1"/>
  <c r="B22" i="1"/>
  <c r="N21" i="1"/>
  <c r="B21" i="1"/>
  <c r="B20" i="1"/>
  <c r="B19" i="1"/>
  <c r="B18" i="1"/>
  <c r="B17" i="1"/>
  <c r="B16" i="1"/>
  <c r="B10" i="1"/>
  <c r="M9" i="1" a="1"/>
  <c r="M9" i="1" s="1"/>
  <c r="B9" i="1"/>
  <c r="M8" i="1" a="1"/>
  <c r="M8" i="1" s="1"/>
  <c r="B8" i="1"/>
  <c r="M7" i="1" a="1"/>
  <c r="M7" i="1" s="1"/>
  <c r="B7" i="1"/>
  <c r="M6" i="1" a="1"/>
  <c r="M6" i="1" s="1"/>
  <c r="B6" i="1"/>
  <c r="M5" i="1" a="1"/>
  <c r="M5" i="1" s="1"/>
  <c r="B5" i="1"/>
  <c r="M4" i="1" a="1"/>
  <c r="M4" i="1" s="1"/>
  <c r="I4" i="1" a="1"/>
  <c r="I4" i="1" s="1"/>
  <c r="B4" i="1"/>
  <c r="G106" i="24" l="1"/>
  <c r="G111" i="24" s="1"/>
  <c r="G112" i="24" s="1"/>
  <c r="S92" i="24" s="1"/>
  <c r="G17" i="24"/>
  <c r="E85" i="6"/>
  <c r="F85" i="6"/>
  <c r="G85" i="6"/>
  <c r="E80" i="6"/>
  <c r="F75" i="6"/>
  <c r="I75" i="6"/>
  <c r="H52" i="6"/>
  <c r="H56" i="6" s="1"/>
  <c r="H59" i="6" s="1"/>
  <c r="J52" i="6"/>
  <c r="J56" i="6" s="1"/>
  <c r="J59" i="6" s="1"/>
  <c r="J75" i="6"/>
  <c r="H68" i="6"/>
  <c r="J80" i="6"/>
  <c r="G71" i="6"/>
  <c r="F21" i="6"/>
  <c r="F33" i="10"/>
  <c r="K106" i="23"/>
  <c r="F106" i="23"/>
  <c r="J106" i="22"/>
  <c r="I103" i="23"/>
  <c r="I106" i="23" s="1"/>
  <c r="K106" i="22"/>
  <c r="J103" i="23"/>
  <c r="J106" i="23" s="1"/>
  <c r="E103" i="23"/>
  <c r="J7" i="22"/>
  <c r="I106" i="24"/>
  <c r="I111" i="24" s="1"/>
  <c r="I112" i="24" s="1"/>
  <c r="E106" i="24"/>
  <c r="E111" i="24" s="1"/>
  <c r="J106" i="24"/>
  <c r="J111" i="24" s="1"/>
  <c r="J112" i="24" s="1"/>
  <c r="H7" i="13"/>
  <c r="E15" i="17"/>
  <c r="G6" i="17"/>
  <c r="F42" i="19"/>
  <c r="G42" i="19" s="1"/>
  <c r="I68" i="6"/>
  <c r="F15" i="17"/>
  <c r="I42" i="19"/>
  <c r="J42" i="19" s="1"/>
  <c r="H24" i="13"/>
  <c r="G21" i="6"/>
  <c r="F52" i="6"/>
  <c r="F56" i="6" s="1"/>
  <c r="F59" i="6" s="1"/>
  <c r="E71" i="6"/>
  <c r="L106" i="22"/>
  <c r="R90" i="24"/>
  <c r="F16" i="11"/>
  <c r="O20" i="11" s="1"/>
  <c r="G52" i="6"/>
  <c r="G56" i="6" s="1"/>
  <c r="G59" i="6" s="1"/>
  <c r="Q110" i="22"/>
  <c r="E75" i="6"/>
  <c r="J15" i="10"/>
  <c r="F106" i="22"/>
  <c r="G14" i="17"/>
  <c r="F50" i="19"/>
  <c r="G50" i="19" s="1"/>
  <c r="I52" i="6"/>
  <c r="I56" i="6" s="1"/>
  <c r="I59" i="6" s="1"/>
  <c r="F68" i="6"/>
  <c r="F71" i="6"/>
  <c r="H85" i="6"/>
  <c r="I44" i="10"/>
  <c r="F122" i="25"/>
  <c r="H75" i="6"/>
  <c r="J44" i="10"/>
  <c r="G122" i="25"/>
  <c r="R91" i="24"/>
  <c r="J5" i="24"/>
  <c r="G12" i="15"/>
  <c r="H106" i="24"/>
  <c r="P103" i="24"/>
  <c r="G10" i="17"/>
  <c r="F46" i="19"/>
  <c r="G46" i="19" s="1"/>
  <c r="G68" i="6"/>
  <c r="E33" i="10"/>
  <c r="H122" i="25"/>
  <c r="F17" i="5"/>
  <c r="O22" i="5" s="1" a="1"/>
  <c r="O22" i="5" s="1"/>
  <c r="Q22" i="5" s="1"/>
  <c r="S22" i="5" s="1"/>
  <c r="H4" i="15"/>
  <c r="F17" i="1" s="1"/>
  <c r="O22" i="1" s="1" a="1"/>
  <c r="O22" i="1" s="1"/>
  <c r="Q22" i="1" s="1"/>
  <c r="S22" i="1" s="1"/>
  <c r="F29" i="23"/>
  <c r="G17" i="22"/>
  <c r="S91" i="22" s="1"/>
  <c r="F5" i="14"/>
  <c r="Q103" i="22"/>
  <c r="S90" i="22"/>
  <c r="G16" i="23"/>
  <c r="F16" i="5"/>
  <c r="O20" i="5" s="1"/>
  <c r="Q20" i="5" s="1"/>
  <c r="G47" i="22"/>
  <c r="G49" i="22" s="1"/>
  <c r="G50" i="22" s="1"/>
  <c r="G18" i="22" s="1"/>
  <c r="F19" i="5"/>
  <c r="G58" i="22"/>
  <c r="G106" i="22"/>
  <c r="F21" i="13"/>
  <c r="F25" i="13" s="1"/>
  <c r="F28" i="13" s="1"/>
  <c r="G57" i="22" s="1"/>
  <c r="G21" i="13"/>
  <c r="G25" i="13" s="1"/>
  <c r="G28" i="13" s="1"/>
  <c r="G57" i="24" s="1"/>
  <c r="H10" i="13"/>
  <c r="H19" i="13"/>
  <c r="H14" i="13"/>
  <c r="H38" i="13"/>
  <c r="H27" i="13" s="1"/>
  <c r="H15" i="18"/>
  <c r="H27" i="18"/>
  <c r="H39" i="18"/>
  <c r="H51" i="18"/>
  <c r="H6" i="18"/>
  <c r="H18" i="18"/>
  <c r="H30" i="18"/>
  <c r="H42" i="18"/>
  <c r="H54" i="18"/>
  <c r="H12" i="18"/>
  <c r="H24" i="18"/>
  <c r="H36" i="18"/>
  <c r="H48" i="18"/>
  <c r="H56" i="18"/>
  <c r="H9" i="18"/>
  <c r="H21" i="18"/>
  <c r="H33" i="18"/>
  <c r="H45" i="18"/>
  <c r="H55" i="18"/>
  <c r="E30" i="16"/>
  <c r="G8" i="15"/>
  <c r="F17" i="11"/>
  <c r="O22" i="11" s="1" a="1"/>
  <c r="O22" i="11" s="1"/>
  <c r="G13" i="14"/>
  <c r="J6" i="24"/>
  <c r="G13" i="15"/>
  <c r="F19" i="11"/>
  <c r="J7" i="24"/>
  <c r="R94" i="24"/>
  <c r="F20" i="11"/>
  <c r="J8" i="24"/>
  <c r="F30" i="16"/>
  <c r="H15" i="10"/>
  <c r="H49" i="10" s="1"/>
  <c r="G48" i="10"/>
  <c r="I15" i="10"/>
  <c r="G33" i="10"/>
  <c r="F15" i="10"/>
  <c r="F49" i="10" s="1"/>
  <c r="H48" i="10"/>
  <c r="H33" i="10"/>
  <c r="G15" i="10"/>
  <c r="G49" i="10" s="1"/>
  <c r="E15" i="10"/>
  <c r="E49" i="10" s="1"/>
  <c r="I48" i="10"/>
  <c r="F40" i="10"/>
  <c r="J48" i="10"/>
  <c r="H26" i="15"/>
  <c r="G10" i="15"/>
  <c r="F8" i="15"/>
  <c r="I23" i="25"/>
  <c r="J23" i="25"/>
  <c r="K23" i="25"/>
  <c r="F29" i="22"/>
  <c r="I106" i="22"/>
  <c r="Q98" i="22"/>
  <c r="E68" i="6"/>
  <c r="E21" i="6"/>
  <c r="P98" i="23"/>
  <c r="H111" i="24"/>
  <c r="H112" i="24" s="1"/>
  <c r="H21" i="6"/>
  <c r="H71" i="6"/>
  <c r="F80" i="6"/>
  <c r="R93" i="23"/>
  <c r="J71" i="6"/>
  <c r="G75" i="6"/>
  <c r="G80" i="6"/>
  <c r="I33" i="10"/>
  <c r="E112" i="24"/>
  <c r="I71" i="6"/>
  <c r="F58" i="18"/>
  <c r="P110" i="24"/>
  <c r="H80" i="6"/>
  <c r="J33" i="10"/>
  <c r="G58" i="24"/>
  <c r="R93" i="24"/>
  <c r="F28" i="24"/>
  <c r="F106" i="24"/>
  <c r="P98" i="24"/>
  <c r="I21" i="6"/>
  <c r="J21" i="6"/>
  <c r="I85" i="6"/>
  <c r="F23" i="25"/>
  <c r="G58" i="18"/>
  <c r="G28" i="24" s="1"/>
  <c r="R97" i="24" s="1"/>
  <c r="S97" i="24" s="1"/>
  <c r="H106" i="22"/>
  <c r="E52" i="6"/>
  <c r="E56" i="6" s="1"/>
  <c r="E59" i="6" s="1"/>
  <c r="I80" i="6"/>
  <c r="J8" i="22"/>
  <c r="E40" i="10"/>
  <c r="S94" i="24" l="1"/>
  <c r="S90" i="24"/>
  <c r="F82" i="6"/>
  <c r="G82" i="6"/>
  <c r="F25" i="6"/>
  <c r="G25" i="6"/>
  <c r="G86" i="6" s="1"/>
  <c r="J49" i="10"/>
  <c r="I49" i="10"/>
  <c r="L103" i="23"/>
  <c r="P103" i="23" s="1"/>
  <c r="E106" i="23"/>
  <c r="L99" i="23"/>
  <c r="G111" i="22"/>
  <c r="F110" i="23"/>
  <c r="F111" i="23" s="1"/>
  <c r="L111" i="22"/>
  <c r="L113" i="22" s="1"/>
  <c r="K110" i="23"/>
  <c r="K111" i="23" s="1"/>
  <c r="F111" i="22"/>
  <c r="K111" i="22"/>
  <c r="K113" i="22" s="1"/>
  <c r="J110" i="23"/>
  <c r="J111" i="23" s="1"/>
  <c r="J113" i="23" s="1"/>
  <c r="I111" i="22"/>
  <c r="I113" i="22" s="1"/>
  <c r="T93" i="22" s="1"/>
  <c r="H110" i="23"/>
  <c r="H111" i="23" s="1"/>
  <c r="H113" i="23" s="1"/>
  <c r="S93" i="23" s="1"/>
  <c r="J5" i="22"/>
  <c r="H111" i="22"/>
  <c r="G110" i="23"/>
  <c r="G111" i="23" s="1"/>
  <c r="J111" i="22"/>
  <c r="I110" i="23"/>
  <c r="I111" i="23" s="1"/>
  <c r="S93" i="24"/>
  <c r="Q106" i="22"/>
  <c r="I51" i="19"/>
  <c r="J51" i="19" s="1"/>
  <c r="G9" i="15"/>
  <c r="F18" i="11" s="1"/>
  <c r="G15" i="17"/>
  <c r="F51" i="19"/>
  <c r="G51" i="19" s="1"/>
  <c r="F9" i="15"/>
  <c r="H10" i="15"/>
  <c r="J6" i="22"/>
  <c r="S92" i="22"/>
  <c r="G47" i="23"/>
  <c r="G49" i="23" s="1"/>
  <c r="G50" i="23" s="1"/>
  <c r="F16" i="1"/>
  <c r="O20" i="1" s="1"/>
  <c r="R90" i="23"/>
  <c r="F13" i="14"/>
  <c r="H13" i="14" s="1"/>
  <c r="F7" i="14"/>
  <c r="H7" i="14" s="1"/>
  <c r="H5" i="14"/>
  <c r="G17" i="23"/>
  <c r="F12" i="15"/>
  <c r="H21" i="13"/>
  <c r="H25" i="13" s="1"/>
  <c r="H28" i="13" s="1"/>
  <c r="G57" i="23"/>
  <c r="G60" i="22"/>
  <c r="G27" i="24"/>
  <c r="J9" i="24" s="1"/>
  <c r="G29" i="22"/>
  <c r="H58" i="18"/>
  <c r="G29" i="23" s="1"/>
  <c r="G18" i="23"/>
  <c r="R92" i="23" s="1"/>
  <c r="F13" i="15"/>
  <c r="G60" i="24"/>
  <c r="G58" i="23"/>
  <c r="E27" i="16"/>
  <c r="G11" i="15"/>
  <c r="G14" i="15" s="1"/>
  <c r="G4" i="14" s="1"/>
  <c r="G20" i="14" s="1"/>
  <c r="G22" i="14" s="1"/>
  <c r="G23" i="14" s="1" a="1"/>
  <c r="G23" i="14" s="1"/>
  <c r="G16" i="15" s="1"/>
  <c r="F21" i="11" s="1"/>
  <c r="H8" i="15"/>
  <c r="L5" i="15"/>
  <c r="I82" i="6"/>
  <c r="I25" i="6"/>
  <c r="G28" i="6"/>
  <c r="G89" i="6" s="1"/>
  <c r="H25" i="6"/>
  <c r="H82" i="6"/>
  <c r="S24" i="1"/>
  <c r="F111" i="24"/>
  <c r="P106" i="24"/>
  <c r="E82" i="6"/>
  <c r="E25" i="6"/>
  <c r="F28" i="6"/>
  <c r="F89" i="6" s="1"/>
  <c r="F86" i="6"/>
  <c r="S20" i="5"/>
  <c r="J82" i="6"/>
  <c r="J25" i="6"/>
  <c r="Q111" i="22" l="1"/>
  <c r="L106" i="23"/>
  <c r="P106" i="23" s="1"/>
  <c r="J113" i="22"/>
  <c r="T94" i="22" s="1"/>
  <c r="G27" i="23"/>
  <c r="E110" i="23"/>
  <c r="E111" i="23" s="1"/>
  <c r="F113" i="22"/>
  <c r="H113" i="22"/>
  <c r="T92" i="22" s="1"/>
  <c r="G113" i="23"/>
  <c r="K113" i="23"/>
  <c r="G113" i="22"/>
  <c r="T91" i="22" s="1"/>
  <c r="F113" i="23"/>
  <c r="Q20" i="1"/>
  <c r="S20" i="1" s="1"/>
  <c r="G28" i="23"/>
  <c r="R95" i="23" s="1"/>
  <c r="H9" i="15"/>
  <c r="H11" i="15" s="1"/>
  <c r="F18" i="5"/>
  <c r="F11" i="15"/>
  <c r="F14" i="15" s="1"/>
  <c r="F4" i="14" s="1"/>
  <c r="F20" i="14" s="1"/>
  <c r="F22" i="14" s="1"/>
  <c r="F23" i="14" s="1" a="1"/>
  <c r="F23" i="14" s="1"/>
  <c r="F16" i="15" s="1"/>
  <c r="F21" i="5" s="1"/>
  <c r="F23" i="5" s="1"/>
  <c r="O21" i="5" s="1" a="1"/>
  <c r="O21" i="5" s="1"/>
  <c r="Q21" i="5" s="1"/>
  <c r="S21" i="5" s="1" a="1"/>
  <c r="S21" i="5" s="1"/>
  <c r="F23" i="11"/>
  <c r="O21" i="11" s="1"/>
  <c r="H12" i="15"/>
  <c r="R91" i="23"/>
  <c r="R95" i="24"/>
  <c r="S95" i="24" s="1"/>
  <c r="F26" i="11"/>
  <c r="J10" i="24"/>
  <c r="F25" i="11" s="1"/>
  <c r="F18" i="26"/>
  <c r="R97" i="23"/>
  <c r="S97" i="22"/>
  <c r="T97" i="22" s="1"/>
  <c r="G28" i="22"/>
  <c r="H13" i="15"/>
  <c r="G60" i="23"/>
  <c r="H28" i="6"/>
  <c r="H89" i="6" s="1"/>
  <c r="H86" i="6"/>
  <c r="I28" i="6"/>
  <c r="I89" i="6" s="1"/>
  <c r="I86" i="6"/>
  <c r="J28" i="6"/>
  <c r="J89" i="6" s="1"/>
  <c r="J86" i="6"/>
  <c r="E28" i="6"/>
  <c r="E89" i="6" s="1"/>
  <c r="E86" i="6"/>
  <c r="F112" i="24"/>
  <c r="P111" i="24"/>
  <c r="F18" i="1" l="1"/>
  <c r="S92" i="23"/>
  <c r="E113" i="23"/>
  <c r="S90" i="23" s="1"/>
  <c r="L111" i="23"/>
  <c r="P111" i="23" s="1"/>
  <c r="S91" i="23"/>
  <c r="I113" i="23"/>
  <c r="S94" i="23" s="1"/>
  <c r="S95" i="23"/>
  <c r="Q113" i="22"/>
  <c r="T90" i="22"/>
  <c r="L112" i="23"/>
  <c r="L110" i="23"/>
  <c r="P110" i="23" s="1"/>
  <c r="H14" i="15"/>
  <c r="H4" i="14" s="1"/>
  <c r="H20" i="14" s="1"/>
  <c r="H22" i="14" s="1"/>
  <c r="H23" i="14" s="1" a="1"/>
  <c r="H23" i="14" s="1"/>
  <c r="H16" i="15"/>
  <c r="F21" i="1" s="1"/>
  <c r="F23" i="1" s="1"/>
  <c r="O21" i="1" s="1" a="1"/>
  <c r="O21" i="1" s="1"/>
  <c r="Q21" i="1" s="1"/>
  <c r="S21" i="1" s="1" a="1"/>
  <c r="S21" i="1" s="1"/>
  <c r="F27" i="11"/>
  <c r="O24" i="11" s="1"/>
  <c r="S95" i="22"/>
  <c r="T95" i="22" s="1"/>
  <c r="J10" i="22"/>
  <c r="G19" i="26"/>
  <c r="S91" i="24"/>
  <c r="P112" i="24"/>
  <c r="F24" i="26" l="1"/>
  <c r="H15" i="15" s="1" a="1"/>
  <c r="H15" i="15" s="1"/>
  <c r="L113" i="23"/>
  <c r="S97" i="23" s="1"/>
  <c r="H24" i="26"/>
  <c r="G15" i="15" s="1" a="1"/>
  <c r="G15" i="15" s="1"/>
  <c r="F24" i="11" s="1"/>
  <c r="O23" i="11" s="1"/>
  <c r="P26" i="11" s="1"/>
  <c r="P27" i="11" s="1"/>
  <c r="P23" i="11" s="1"/>
  <c r="G24" i="26"/>
  <c r="F15" i="15" s="1" a="1"/>
  <c r="F15" i="15" s="1"/>
  <c r="F17" i="15" s="1"/>
  <c r="J11" i="22"/>
  <c r="F25" i="5" s="1"/>
  <c r="F26" i="5"/>
  <c r="R26" i="1"/>
  <c r="R27" i="1" s="1"/>
  <c r="F24" i="1" l="1"/>
  <c r="O23" i="1" s="1"/>
  <c r="H17" i="15"/>
  <c r="P113" i="23"/>
  <c r="G17" i="15"/>
  <c r="F24" i="5"/>
  <c r="O23" i="5" s="1"/>
  <c r="F27" i="5"/>
  <c r="O24" i="5" s="1"/>
  <c r="P20" i="11"/>
  <c r="P24" i="11"/>
  <c r="F32" i="11"/>
  <c r="P21" i="11"/>
  <c r="P22" i="11"/>
  <c r="R22" i="1"/>
  <c r="R20" i="1"/>
  <c r="R21" i="1"/>
  <c r="R24" i="1"/>
  <c r="H6" i="11" l="1"/>
  <c r="F36" i="11"/>
  <c r="H4" i="11" s="1"/>
  <c r="Q23" i="1"/>
  <c r="P26" i="1"/>
  <c r="P27" i="1" s="1"/>
  <c r="Q24" i="5"/>
  <c r="S24" i="5" s="1"/>
  <c r="Q23" i="5"/>
  <c r="S23" i="5" s="1"/>
  <c r="P26" i="5"/>
  <c r="P27" i="5" s="1"/>
  <c r="P21" i="5" s="1"/>
  <c r="P28" i="11"/>
  <c r="P29" i="11" s="1"/>
  <c r="R28" i="1"/>
  <c r="R29" i="1" s="1"/>
  <c r="F33" i="1" s="1"/>
  <c r="P21" i="1" l="1"/>
  <c r="P23" i="1"/>
  <c r="P20" i="1"/>
  <c r="P24" i="1"/>
  <c r="P22" i="1"/>
  <c r="S23" i="1"/>
  <c r="R23" i="1"/>
  <c r="T26" i="5"/>
  <c r="R26" i="5"/>
  <c r="R27" i="5" s="1"/>
  <c r="R23" i="5" s="1"/>
  <c r="F38" i="1"/>
  <c r="H4" i="1" s="1"/>
  <c r="H7" i="1"/>
  <c r="P20" i="5"/>
  <c r="P24" i="5"/>
  <c r="P23" i="5"/>
  <c r="P22" i="5"/>
  <c r="T27" i="5" l="1"/>
  <c r="T23" i="5" s="1"/>
  <c r="T26" i="1"/>
  <c r="T27" i="1" s="1"/>
  <c r="T23" i="1" s="1"/>
  <c r="P28" i="1"/>
  <c r="P29" i="1" s="1"/>
  <c r="F32" i="1" s="1"/>
  <c r="R24" i="5"/>
  <c r="R22" i="5"/>
  <c r="R20" i="5"/>
  <c r="R21" i="5"/>
  <c r="P28" i="5"/>
  <c r="P29" i="5" s="1"/>
  <c r="F32" i="5" s="1"/>
  <c r="T22" i="5" l="1"/>
  <c r="T24" i="5"/>
  <c r="T20" i="5"/>
  <c r="T28" i="5" s="1"/>
  <c r="T29" i="5" s="1"/>
  <c r="T21" i="5"/>
  <c r="T20" i="1"/>
  <c r="T28" i="1" s="1"/>
  <c r="T29" i="1" s="1"/>
  <c r="H5" i="1" s="1"/>
  <c r="T24" i="1"/>
  <c r="T21" i="1"/>
  <c r="T22" i="1"/>
  <c r="R28" i="5"/>
  <c r="R29" i="5" s="1"/>
  <c r="F33" i="5" s="1"/>
  <c r="F38" i="5" l="1"/>
  <c r="H4" i="5" s="1"/>
  <c r="H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<sst xmlns="http://schemas.openxmlformats.org/spreadsheetml/2006/main" count="4865" uniqueCount="1305">
  <si>
    <t>Chorus Information Disclosure Requirements</t>
  </si>
  <si>
    <t>for</t>
  </si>
  <si>
    <t>Schedules 1-13</t>
  </si>
  <si>
    <t>Regulated Provider</t>
  </si>
  <si>
    <t>Chorus</t>
  </si>
  <si>
    <t>Disclosure Date</t>
  </si>
  <si>
    <t>Disclosure Year (year ended)</t>
  </si>
  <si>
    <t>Templates for Schedules 1-13</t>
  </si>
  <si>
    <t>Workbook Version History</t>
  </si>
  <si>
    <t>Workbook Version and Date</t>
  </si>
  <si>
    <t>Determination</t>
  </si>
  <si>
    <t>v1, 30 November 2021</t>
  </si>
  <si>
    <t>Fibre ID Determination 2021 [2021] NZCC 24</t>
  </si>
  <si>
    <t>v2, 28 July 2022</t>
  </si>
  <si>
    <t>Fibre ID Amendment Determination 2022 [2022] NZCC 26</t>
  </si>
  <si>
    <t>Table of Contents</t>
  </si>
  <si>
    <t>Schedule</t>
  </si>
  <si>
    <t>Schedule name</t>
  </si>
  <si>
    <t>1a</t>
  </si>
  <si>
    <t>REPORT ON ID FFLAS RETURN ON INVESTMENT</t>
  </si>
  <si>
    <t>1b</t>
  </si>
  <si>
    <t>REPORT ON PQ FFLAS RETURN ON INVESTMENT</t>
  </si>
  <si>
    <t>1c</t>
  </si>
  <si>
    <t>REPORT ON ID-ONLY FFLAS RETURN ON INVESTMENT</t>
  </si>
  <si>
    <t>2</t>
  </si>
  <si>
    <t>REPORT ON REGULATORY PROFIT</t>
  </si>
  <si>
    <t>3</t>
  </si>
  <si>
    <t>REPORT ON REGULATORY TAX ALLOWANCE</t>
  </si>
  <si>
    <t>4a</t>
  </si>
  <si>
    <t>REPORT ON ASSET ALLOCATIONS</t>
  </si>
  <si>
    <t>4b</t>
  </si>
  <si>
    <t>REPORT ON VALUE OF THE ID FFLAS REGULATORY ASSET BASE ROLLED FORWARD</t>
  </si>
  <si>
    <t>4c</t>
  </si>
  <si>
    <t>REPORT ON VALUE OF THE PQ FFLAS REGULATORY ASSET BASE ROLLED FORWARD</t>
  </si>
  <si>
    <t>4d</t>
  </si>
  <si>
    <t>REPORT ON VALUE OF THE ID-ONLY FFLAS REGULATORY ASSET BASE ROLLED FORWARD</t>
  </si>
  <si>
    <t>5</t>
  </si>
  <si>
    <t>5a</t>
  </si>
  <si>
    <t>REPORT ON COST ALLOCATIONS</t>
  </si>
  <si>
    <t>6</t>
  </si>
  <si>
    <t>REPORT ON CAPITAL EXPENDITURE</t>
  </si>
  <si>
    <t>7</t>
  </si>
  <si>
    <t>REPORT ON COMPARISON OF FORECAST TO ACTUAL EXPENDITURE</t>
  </si>
  <si>
    <t>8a</t>
  </si>
  <si>
    <t>REPORT ON TERM CREDIT SPREAD DIFFERENTIAL ALLOWANCE</t>
  </si>
  <si>
    <t>8b</t>
  </si>
  <si>
    <t>REPORT ON CROWN FINANCING AND NOTIONAL DEDUCTIBLE INTEREST</t>
  </si>
  <si>
    <t>9</t>
  </si>
  <si>
    <t>REPORT ON RELATED PARTY TRANSACTIONS</t>
  </si>
  <si>
    <t>10a</t>
  </si>
  <si>
    <t>REPORT ON PQ FFLAS ASSET REGISTER</t>
  </si>
  <si>
    <t>10b</t>
  </si>
  <si>
    <t>REPORT ON ID-ONLY FFLAS ASSET REGISTER</t>
  </si>
  <si>
    <t>REPORT ON FORECAST CAPITAL EXPENDITURE</t>
  </si>
  <si>
    <t>11a</t>
  </si>
  <si>
    <t>REPORT ON FORECAST OPERATING EXPENDITURE</t>
  </si>
  <si>
    <t>REPORT ON FORECAST CAPACITY AND UTILISATION</t>
  </si>
  <si>
    <t>12a</t>
  </si>
  <si>
    <t>REPORT ON FORECAST NETWORK DEMAND</t>
  </si>
  <si>
    <t>REPORT ON ASSET MANAGEMENT CAPABILITY</t>
  </si>
  <si>
    <t>Disclosure Template Instructions</t>
  </si>
  <si>
    <t xml:space="preserve">These templates have been prepared for use by Chorus when making disclosures under clauses 2.3.1 and 2.3.2 of the main body of the determination. </t>
  </si>
  <si>
    <t>Company Name and Dates</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</si>
  <si>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</si>
  <si>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</si>
  <si>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</si>
  <si>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</si>
  <si>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</si>
  <si>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</si>
  <si>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Inserting Additional Rows and Columns</t>
  </si>
  <si>
    <t xml:space="preserve">The templates for some Schedules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</si>
  <si>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must not be inserted directly above the first row or below the last row of a table. This is to ensure that entries made in the new row are included in the totals.</t>
  </si>
  <si>
    <t>Schedules 4a and 5a may require new cost or asset category rows to be inserted in the allocation change tables.  Accordingly, cell protection has been removed from rows 107 and 108 of Schedule 4a and rows 70 and 71 of Schedule 5a to allow blocks of rows to be copied. The four steps to add new cost category rows to table 5a(iii) are: Select Excel rows 63:69, copy, select Excel row 71, insert copied cells. Similarly, for table 4a(ii): paste copied cells to row 108.</t>
  </si>
  <si>
    <t>Schedule References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</si>
  <si>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</si>
  <si>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</si>
  <si>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</si>
  <si>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 xml:space="preserve">Calculation cells may show an incorrect value until precedent cell entries have been completed. Data entry may be assisted by completing the Schedules in the following order: </t>
  </si>
  <si>
    <t>Section</t>
  </si>
  <si>
    <t>Row</t>
  </si>
  <si>
    <t>Source</t>
  </si>
  <si>
    <t>1a(i): Return on Investment</t>
  </si>
  <si>
    <t>ROI - comparable to a post tax WACC</t>
  </si>
  <si>
    <t>Reflecting all revenue earned</t>
  </si>
  <si>
    <t>Excluding revenue earned from wash-ups</t>
  </si>
  <si>
    <t>Mid-point estimate of post tax WACC</t>
  </si>
  <si>
    <t>ROI - comparable to a vanilla WACC</t>
  </si>
  <si>
    <t>Mid-point estimate of vanilla WACC</t>
  </si>
  <si>
    <t>Standard error</t>
  </si>
  <si>
    <t>$000</t>
  </si>
  <si>
    <t>Mid Year ROI Calculation</t>
  </si>
  <si>
    <t>1a(ii): Information Supporting the ROI</t>
  </si>
  <si>
    <t>Opening RAB value</t>
  </si>
  <si>
    <t>Operating revenue</t>
  </si>
  <si>
    <t>from S2</t>
  </si>
  <si>
    <t>Description</t>
  </si>
  <si>
    <t>Days before</t>
  </si>
  <si>
    <t>Transaction</t>
  </si>
  <si>
    <t>Including wash-ups and crown financing</t>
  </si>
  <si>
    <t>Excluding benefit of crown financing</t>
  </si>
  <si>
    <t>Excluding wash-ups</t>
  </si>
  <si>
    <t>Mid-year net cash outflows</t>
  </si>
  <si>
    <t>Expenditure</t>
  </si>
  <si>
    <t>from s2</t>
  </si>
  <si>
    <t>year-end</t>
  </si>
  <si>
    <t>date</t>
  </si>
  <si>
    <t>Cashflow</t>
  </si>
  <si>
    <t>PV(cashflow)</t>
  </si>
  <si>
    <t>Annual crown financing</t>
  </si>
  <si>
    <t>Assets commissioned</t>
  </si>
  <si>
    <t>from S4b</t>
  </si>
  <si>
    <t>Asset disposals</t>
  </si>
  <si>
    <t>Opening RAB</t>
  </si>
  <si>
    <t>Tax payments</t>
  </si>
  <si>
    <t>Other regulated income</t>
  </si>
  <si>
    <t>Cashflow at year-end</t>
  </si>
  <si>
    <t>Term credit spread differential allowance</t>
  </si>
  <si>
    <t>Closing RIV</t>
  </si>
  <si>
    <t>Closing RAB value</t>
  </si>
  <si>
    <t>Total closing RAB value</t>
  </si>
  <si>
    <t>Adjustment resulting from asset allocation</t>
  </si>
  <si>
    <t>XIRR search start</t>
  </si>
  <si>
    <t>XIRR</t>
  </si>
  <si>
    <t>NPV check</t>
  </si>
  <si>
    <t>IRR</t>
  </si>
  <si>
    <t>%</t>
  </si>
  <si>
    <t>ROI - before benefit of crown financing and after adjustment for asset stranding allowance</t>
  </si>
  <si>
    <t>Leverage (%)</t>
  </si>
  <si>
    <t>Cost of debt assumption (%)</t>
  </si>
  <si>
    <t>from S1b</t>
  </si>
  <si>
    <t>Corporate tax rate (%)</t>
  </si>
  <si>
    <t>from S3</t>
  </si>
  <si>
    <t>Proportion of RAB subject to notional deductible interest calculation</t>
  </si>
  <si>
    <t>from S8b</t>
  </si>
  <si>
    <t>ROI - before benefit of crown financing</t>
  </si>
  <si>
    <t>N/A</t>
  </si>
  <si>
    <t>2(i): Regulatory Profit</t>
  </si>
  <si>
    <t>Regulatory income</t>
  </si>
  <si>
    <t/>
  </si>
  <si>
    <t>Check Revenue</t>
  </si>
  <si>
    <t>from S7</t>
  </si>
  <si>
    <t>Total regulatory income</t>
  </si>
  <si>
    <t>from S5</t>
  </si>
  <si>
    <t>Operating surplus / (deficit)</t>
  </si>
  <si>
    <t>to S3</t>
  </si>
  <si>
    <t>from S8a</t>
  </si>
  <si>
    <t>Regulatory profit/(loss)</t>
  </si>
  <si>
    <t>from S3 &amp; to S1a</t>
  </si>
  <si>
    <t>2(ii): Pass-through Costs</t>
  </si>
  <si>
    <t>Pass through costs</t>
  </si>
  <si>
    <t>Rates</t>
  </si>
  <si>
    <t>Telecommunications Act levies - sections 11,12</t>
  </si>
  <si>
    <t>Telecommunications Act levies - sections 87,88</t>
  </si>
  <si>
    <t>Dispute resolution scheme levies</t>
  </si>
  <si>
    <t>($000)</t>
  </si>
  <si>
    <t>2(iii): Merger and Acquisition Expenditure</t>
  </si>
  <si>
    <t>Merger and acquisition expenditure</t>
  </si>
  <si>
    <t>Provide commentary on the benefits of merger and acquisition expenditure to the regulated provider, including required disclosures in accordance with Schedule 14 (Mandatory Explanatory Notes)</t>
  </si>
  <si>
    <t>2(iv): Other Disclosures</t>
  </si>
  <si>
    <t>Asset stranding allowance</t>
  </si>
  <si>
    <t>2(v): Wash-up accruals</t>
  </si>
  <si>
    <t>3(i): Regulatory Tax Allowance</t>
  </si>
  <si>
    <t>Regulatory profit / (loss) before tax</t>
  </si>
  <si>
    <t>Depreciation temporary differences</t>
  </si>
  <si>
    <t>Permanent differences:</t>
  </si>
  <si>
    <t>Expenditure or loss in regulatory profit / (loss) before tax but not deductible</t>
  </si>
  <si>
    <t>Expenditure or loss deductible but not in regulatory profit / (loss) before tax</t>
  </si>
  <si>
    <t>Temporary differences:</t>
  </si>
  <si>
    <t>Regulatory net taxable income</t>
  </si>
  <si>
    <t>Regulatory tax allowance</t>
  </si>
  <si>
    <t>to S2</t>
  </si>
  <si>
    <t>3(ii): Disclosure of Permanent and Temporary Differences</t>
  </si>
  <si>
    <t>In Schedule 11, Box 5 and Box 6, provide descriptions and workings of items recorded in the asterisked categories in Schedule 5a(i).</t>
  </si>
  <si>
    <t>Opening tax losses</t>
  </si>
  <si>
    <t>from last year's ID disclosure</t>
  </si>
  <si>
    <t>3(iv): Regulatory Tax Asset Base Roll-Forward</t>
  </si>
  <si>
    <t>Opening sum of regulatory tax asset values</t>
  </si>
  <si>
    <t>Closing sum of regulatory tax asset values</t>
  </si>
  <si>
    <t>Sub Sub Category</t>
  </si>
  <si>
    <t>4a(i): Regulated Service Asset Values</t>
  </si>
  <si>
    <t>NETWORK ASSETS - LAYER 1</t>
  </si>
  <si>
    <t>Ducts and Manholes</t>
  </si>
  <si>
    <t>Directly attributable</t>
  </si>
  <si>
    <t>Not directly attributable</t>
  </si>
  <si>
    <t>Total attributable to regulated service</t>
  </si>
  <si>
    <t>Fibre Optic Cable</t>
  </si>
  <si>
    <t>Fibre Service Leads</t>
  </si>
  <si>
    <t>Local Access Copper Cable (Poles)</t>
  </si>
  <si>
    <t>FTTN/FTTP Cabinets</t>
  </si>
  <si>
    <t>Network Equipment</t>
  </si>
  <si>
    <t>Information Technology</t>
  </si>
  <si>
    <t>Other Layer 1 assets</t>
  </si>
  <si>
    <t>NETWORK ASSETS - LAYER 2</t>
  </si>
  <si>
    <t>Other Layer 2 assets</t>
  </si>
  <si>
    <t>OTHER NETWORK ASSETS</t>
  </si>
  <si>
    <t>Network land and buildings</t>
  </si>
  <si>
    <t>Other network assets</t>
  </si>
  <si>
    <t>NON-NETWORK ASSETS</t>
  </si>
  <si>
    <t>Non-network land and buildings</t>
  </si>
  <si>
    <t>Non-network IT hardware/software</t>
  </si>
  <si>
    <t>Other non-network assets</t>
  </si>
  <si>
    <t>Regulated service asset value directly attributable</t>
  </si>
  <si>
    <t>Regulated service asset value not directly attributable</t>
  </si>
  <si>
    <t>Financial loss asset</t>
  </si>
  <si>
    <t>to S4b, S4c, S4d</t>
  </si>
  <si>
    <t>Cost category</t>
  </si>
  <si>
    <t>Rationale for change</t>
  </si>
  <si>
    <t>* a change in asset allocation must be completed for each allocator or component change that has occurred in the disclosure year.  A movement in an allocator metric is not a change in allocator or component.</t>
  </si>
  <si>
    <t>Context</t>
  </si>
  <si>
    <t>4b(i): ID FFLAS Regulatory Asset Base Value (Rolled Forward)</t>
  </si>
  <si>
    <t>Total opening RAB value</t>
  </si>
  <si>
    <t>to S1</t>
  </si>
  <si>
    <t>less</t>
  </si>
  <si>
    <t>Depreciation</t>
  </si>
  <si>
    <t>plus</t>
  </si>
  <si>
    <t>Revaluations</t>
  </si>
  <si>
    <t>Adjustment to loss asset due to deregulation</t>
  </si>
  <si>
    <t>to S4b and S8a</t>
  </si>
  <si>
    <t>4c(ii): Unallocated Regulatory Asset Base</t>
  </si>
  <si>
    <t>Asset commissioned</t>
  </si>
  <si>
    <t>Assets commissioned (other than below)</t>
  </si>
  <si>
    <t>Assets acquired from a regulated supplier</t>
  </si>
  <si>
    <t>Assets acquired from a related party</t>
  </si>
  <si>
    <t>Asset disposals (other than below)</t>
  </si>
  <si>
    <t>Asset disposals to a regulated supplier</t>
  </si>
  <si>
    <t>Asset disposals to a related party</t>
  </si>
  <si>
    <t>from S4a</t>
  </si>
  <si>
    <t>Index</t>
  </si>
  <si>
    <t>4c(iii): Calculation of Revaluation Rate and Revaluation of Assets</t>
  </si>
  <si>
    <t>CPIt</t>
  </si>
  <si>
    <t>from SE9A Index column - CPI table (Statistics NZ Website)</t>
  </si>
  <si>
    <t>CPIt-1</t>
  </si>
  <si>
    <t>Revaluation rate (%)</t>
  </si>
  <si>
    <t>4c(vi): Disclosure of Changes to Depreciation Methods</t>
  </si>
  <si>
    <t>Opening value of fully depreciated and disposed assets</t>
  </si>
  <si>
    <t>4c(iv): Roll Forward of Works Under Construction</t>
  </si>
  <si>
    <t>Works under construction—preceding disclosure year</t>
  </si>
  <si>
    <t>Works under construction - current disclosure year</t>
  </si>
  <si>
    <t>Capital expenditure</t>
  </si>
  <si>
    <t>Highest rate of capitalised finance applied</t>
  </si>
  <si>
    <t>4c(v): Regulatory Depreciation</t>
  </si>
  <si>
    <t>Depreciation - alternative method</t>
  </si>
  <si>
    <t>Total depreciation</t>
  </si>
  <si>
    <t>Asset category or assets with changes to depreciation</t>
  </si>
  <si>
    <t>Include additional rows as needed</t>
  </si>
  <si>
    <t>Less depreciation</t>
  </si>
  <si>
    <t>Plus revaluations</t>
  </si>
  <si>
    <t>Plus assets commissioned</t>
  </si>
  <si>
    <t>Less asset disposals</t>
  </si>
  <si>
    <t>Plus asset allocation adjustment</t>
  </si>
  <si>
    <t>Plus asset category transfers</t>
  </si>
  <si>
    <t>Weighted average remaining asset life</t>
  </si>
  <si>
    <t>Weighted average expected total life</t>
  </si>
  <si>
    <t>Table 4(ii)</t>
  </si>
  <si>
    <t>Agrees with Table 4(ii)</t>
  </si>
  <si>
    <t>4c(vii): Disclosure by Asset Category</t>
  </si>
  <si>
    <t>Layer 1 assets</t>
  </si>
  <si>
    <t>FTTN / FTTP Cabinets</t>
  </si>
  <si>
    <t>Total Layer 1 closing RAB value</t>
  </si>
  <si>
    <t>Layer 2 assets</t>
  </si>
  <si>
    <t>Total Layer 2 closing RAB value</t>
  </si>
  <si>
    <t>Other Network Assets</t>
  </si>
  <si>
    <t>Total network assets</t>
  </si>
  <si>
    <t>Non-Network Assets</t>
  </si>
  <si>
    <t>Total non-network assets</t>
  </si>
  <si>
    <t>Total - PQ fibre assets</t>
  </si>
  <si>
    <t>Total RAB</t>
  </si>
  <si>
    <t>4c(i): PQ FFLAS Regulatory Asset Base Value (Rolled Forward)</t>
  </si>
  <si>
    <t>from S6</t>
  </si>
  <si>
    <t>to S4b, S8a, S8b</t>
  </si>
  <si>
    <t>to S4b &amp; S8a</t>
  </si>
  <si>
    <t>5a(i): Operating Cost Allocations</t>
  </si>
  <si>
    <t>Customer operations</t>
  </si>
  <si>
    <t>Product, sales &amp; marketing</t>
  </si>
  <si>
    <t>Maintenance</t>
  </si>
  <si>
    <t>Network operations</t>
  </si>
  <si>
    <t>Network operating costs</t>
  </si>
  <si>
    <t>Asset management</t>
  </si>
  <si>
    <t>Corporate opex</t>
  </si>
  <si>
    <t>Technology</t>
  </si>
  <si>
    <t>Operating costs directly attributable</t>
  </si>
  <si>
    <t>Operating costs not directly attributable</t>
  </si>
  <si>
    <t>Operating expenditure</t>
  </si>
  <si>
    <t>5a(ii): Other Cost Allocations</t>
  </si>
  <si>
    <t>5a(iii): Changes in Cost Allocations*</t>
  </si>
  <si>
    <t>* a change in cost allocation must be completed for each cost allocator change that has occurred in the disclosure year.  A movement in an allocator metric is not a change in allocator or component.</t>
  </si>
  <si>
    <t>Customer opex</t>
  </si>
  <si>
    <t>Total customer opex</t>
  </si>
  <si>
    <t>Network opex</t>
  </si>
  <si>
    <t>Network operating cost</t>
  </si>
  <si>
    <t>Total network opex</t>
  </si>
  <si>
    <t>Support opex</t>
  </si>
  <si>
    <t>Total support opex</t>
  </si>
  <si>
    <t>Subcomponents of Operating Expenditure (where known)</t>
  </si>
  <si>
    <t>Insurance expenditure</t>
  </si>
  <si>
    <t>S6. Actual Expenditure Capex</t>
  </si>
  <si>
    <t>($000) PQ FFLAS</t>
  </si>
  <si>
    <t>($000) ID-only FFLAS</t>
  </si>
  <si>
    <t>($000) ID FFLAS</t>
  </si>
  <si>
    <t>Extending the network</t>
  </si>
  <si>
    <t>Augmentation</t>
  </si>
  <si>
    <t>New property development</t>
  </si>
  <si>
    <t>Installations</t>
  </si>
  <si>
    <t>Complex installations</t>
  </si>
  <si>
    <t>Standard installations</t>
  </si>
  <si>
    <t>Access</t>
  </si>
  <si>
    <t>Aggregation</t>
  </si>
  <si>
    <t>Transport</t>
  </si>
  <si>
    <t>Network sustain &amp; enhance</t>
  </si>
  <si>
    <t>Field Sustain</t>
  </si>
  <si>
    <t>Relocations</t>
  </si>
  <si>
    <t>Resilience</t>
  </si>
  <si>
    <t>Site Sustain</t>
  </si>
  <si>
    <t>Network &amp; custimer IT</t>
  </si>
  <si>
    <t>Expenditure on network assets</t>
  </si>
  <si>
    <t>Non-network IT &amp; support</t>
  </si>
  <si>
    <t>Business IT</t>
  </si>
  <si>
    <t>Corporate capex</t>
  </si>
  <si>
    <t>Expenditure on non-network assets</t>
  </si>
  <si>
    <t>Expenditure on assets</t>
  </si>
  <si>
    <t>Capital expenditure on assets</t>
  </si>
  <si>
    <r>
      <rPr>
        <i/>
        <sz val="11"/>
        <rFont val="Calibri"/>
        <family val="2"/>
        <scheme val="minor"/>
      </rPr>
      <t>less</t>
    </r>
    <r>
      <rPr>
        <sz val="11"/>
        <rFont val="Calibri"/>
        <family val="2"/>
        <scheme val="minor"/>
      </rPr>
      <t xml:space="preserve"> Value of capital contributions</t>
    </r>
  </si>
  <si>
    <t>to S4c &amp; S4d</t>
  </si>
  <si>
    <t>Extending the netword</t>
  </si>
  <si>
    <t>Network &amp; customer IT</t>
  </si>
  <si>
    <t>Total</t>
  </si>
  <si>
    <t>Connection revenue</t>
  </si>
  <si>
    <t>From quarterly reports on pricing</t>
  </si>
  <si>
    <t>Monthly access revenue</t>
  </si>
  <si>
    <t>Other product specific revenue</t>
  </si>
  <si>
    <t>Total operating revenue</t>
  </si>
  <si>
    <t>To S2</t>
  </si>
  <si>
    <t>Connection volumes - opening</t>
  </si>
  <si>
    <t>Connection volumes - closing</t>
  </si>
  <si>
    <t>New property developments</t>
  </si>
  <si>
    <t>UFB communal</t>
  </si>
  <si>
    <t>Complex installaions</t>
  </si>
  <si>
    <t>IT &amp; support</t>
  </si>
  <si>
    <t>Network &amp; Customer IT</t>
  </si>
  <si>
    <t>Cororate opex</t>
  </si>
  <si>
    <t>1  From the nominal dollar target revenue for the disclosure year disclosed under clause 2.5.11 of this determination</t>
  </si>
  <si>
    <t>2  From the CY+1 nominal dollar expenditure forecasts disclosed in accordance with clause 2.3.1 for the forecast period starting at the beginning of the disclosure year (Schedules 11 and 11a)</t>
  </si>
  <si>
    <t>Subcomponents of expenditure on assets (where known)</t>
  </si>
  <si>
    <t>Reilience</t>
  </si>
  <si>
    <t>Capital expenditure forecast</t>
  </si>
  <si>
    <t>Network capacity</t>
  </si>
  <si>
    <t>Customer operation</t>
  </si>
  <si>
    <t>Subcomponents of operating expenditure (where known)</t>
  </si>
  <si>
    <t>Current year central office (CO) to fibre flexibility point (FFPs), with percentage fill greater than 85%</t>
  </si>
  <si>
    <t>Current year Premises</t>
  </si>
  <si>
    <t>Ashburton</t>
  </si>
  <si>
    <t>Auckland</t>
  </si>
  <si>
    <t>Blenheim</t>
  </si>
  <si>
    <t>Christchurch</t>
  </si>
  <si>
    <t>Dunedin</t>
  </si>
  <si>
    <t>Gisborne</t>
  </si>
  <si>
    <t>Hamilton</t>
  </si>
  <si>
    <t>Invercargill</t>
  </si>
  <si>
    <t>Kapiti</t>
  </si>
  <si>
    <t>Levin</t>
  </si>
  <si>
    <t>Masterton</t>
  </si>
  <si>
    <t>Napier &amp;Hastings</t>
  </si>
  <si>
    <t>Nelson</t>
  </si>
  <si>
    <t>New Plymouth</t>
  </si>
  <si>
    <t>Oamaru</t>
  </si>
  <si>
    <t>Palmerston North</t>
  </si>
  <si>
    <t>Queenstown</t>
  </si>
  <si>
    <t>Rotorua</t>
  </si>
  <si>
    <t>Taupo</t>
  </si>
  <si>
    <t>Tauranga</t>
  </si>
  <si>
    <t>Timaru</t>
  </si>
  <si>
    <t>Whanganui</t>
  </si>
  <si>
    <t>Wellington</t>
  </si>
  <si>
    <t>Whakatane</t>
  </si>
  <si>
    <t>Whangarei</t>
  </si>
  <si>
    <t>Total PON connections by service description</t>
  </si>
  <si>
    <t>Other PON connections</t>
  </si>
  <si>
    <t>P2P connections</t>
  </si>
  <si>
    <t>Total connections</t>
  </si>
  <si>
    <t>Greymouth</t>
  </si>
  <si>
    <t>Napier &amp; Hastings</t>
  </si>
  <si>
    <t>Sum</t>
  </si>
  <si>
    <t>System peak (maximum observed peak in gigabits per second)</t>
  </si>
  <si>
    <t>Forecast system peak</t>
  </si>
  <si>
    <t>% of sum of peaks</t>
  </si>
  <si>
    <t>Coupon rate (%)</t>
  </si>
  <si>
    <t>Book value at issue date (NZD)</t>
  </si>
  <si>
    <t>Book value at date of financial statement (NZD)</t>
  </si>
  <si>
    <t>Term Credit Spread Difference</t>
  </si>
  <si>
    <t>Issuing party</t>
  </si>
  <si>
    <t>to row 20</t>
  </si>
  <si>
    <t>($)</t>
  </si>
  <si>
    <t>Total book value of interest bearing debt</t>
  </si>
  <si>
    <t>Leverage</t>
  </si>
  <si>
    <t>Average opening and closing RAB values</t>
  </si>
  <si>
    <t>Attribution Rate (%)</t>
  </si>
  <si>
    <t>Column1</t>
  </si>
  <si>
    <t>ID-only FFLAS</t>
  </si>
  <si>
    <t>8b(i): Annual benefit of Crown financing</t>
  </si>
  <si>
    <t>Crown Financing outstanding</t>
  </si>
  <si>
    <t>Opening balance</t>
  </si>
  <si>
    <t>Net Drawdowns/Repayments</t>
  </si>
  <si>
    <t>Closing balance</t>
  </si>
  <si>
    <t>Equity - Crown financing</t>
  </si>
  <si>
    <t>Opening equity</t>
  </si>
  <si>
    <t>Debt converted to equity</t>
  </si>
  <si>
    <t>Shares redeemed</t>
  </si>
  <si>
    <t>Closing equity</t>
  </si>
  <si>
    <t>Cost of equity</t>
  </si>
  <si>
    <t>8b(i). Annual benefit of Crown financing</t>
  </si>
  <si>
    <t>Opening debt</t>
  </si>
  <si>
    <t>Closing debt</t>
  </si>
  <si>
    <t>Cost of debt</t>
  </si>
  <si>
    <t>Subordinated debt permium</t>
  </si>
  <si>
    <t>Cost of subordinated debt</t>
  </si>
  <si>
    <t>A x B</t>
  </si>
  <si>
    <t>IM 2.4.10(1)</t>
  </si>
  <si>
    <t>C x D</t>
  </si>
  <si>
    <t>Annual benefit of Crown financing wash-up amount</t>
  </si>
  <si>
    <t>Crown financing (debt) proportions</t>
  </si>
  <si>
    <t>Notional deductible interest IM 2.3.1(7)</t>
  </si>
  <si>
    <t>IM 2.3.1(7)</t>
  </si>
  <si>
    <t>Minus: Crown financing outstanding</t>
  </si>
  <si>
    <t>Net RAB balance for interest calculation</t>
  </si>
  <si>
    <t>9(i): Summary - Related Party Transactions</t>
  </si>
  <si>
    <t>Market value of asset disposals</t>
  </si>
  <si>
    <t>Suport opex</t>
  </si>
  <si>
    <t>Other related party transactions</t>
  </si>
  <si>
    <t>Total value of related party transactions ($000)</t>
  </si>
  <si>
    <t>9(ii): Total Regulatory Income from related party transactions*</t>
  </si>
  <si>
    <t>Total value of related party transactions</t>
  </si>
  <si>
    <t>Nature of opex or capex</t>
  </si>
  <si>
    <t>PON connections by service description*</t>
  </si>
  <si>
    <t>Gains / (losses) on asset disposals</t>
  </si>
  <si>
    <t>Other regulated income (other than gains / (losses) on asset disposals)</t>
  </si>
  <si>
    <t>Wash-up accruals</t>
  </si>
  <si>
    <t>Total Depreciation</t>
  </si>
  <si>
    <t>Total Revaluations</t>
  </si>
  <si>
    <t>Actual allowable revenue for disclosure year</t>
  </si>
  <si>
    <t>Including all revenue</t>
  </si>
  <si>
    <t>Closing RAB</t>
  </si>
  <si>
    <t>(Assign expenditure to level 1 or level 2 category in 9(ii) below)</t>
  </si>
  <si>
    <t>from S4d</t>
  </si>
  <si>
    <t>Tax depreciation</t>
  </si>
  <si>
    <t>Income not included in regulatory profit / (loss) before tax but taxable</t>
  </si>
  <si>
    <t>Income included in regulatory profit / (loss) before tax but not taxable</t>
  </si>
  <si>
    <t>Total revaluations</t>
  </si>
  <si>
    <t>Notional deductible interest</t>
  </si>
  <si>
    <t>Utilised tax losses</t>
  </si>
  <si>
    <t>[Select one]</t>
  </si>
  <si>
    <t>Value of capital contributions</t>
  </si>
  <si>
    <t>Dropdowns for table above</t>
  </si>
  <si>
    <t>% forecast to be replaced in next 5 years</t>
  </si>
  <si>
    <t>Ducts</t>
  </si>
  <si>
    <t>Metres</t>
  </si>
  <si>
    <t>Manholes</t>
  </si>
  <si>
    <t>No.</t>
  </si>
  <si>
    <t>OFDF</t>
  </si>
  <si>
    <t>Fibre Optic Cable (sheath length)</t>
  </si>
  <si>
    <t>Aerial</t>
  </si>
  <si>
    <t>Underground</t>
  </si>
  <si>
    <t>Fibre Optic Cable (route length)</t>
  </si>
  <si>
    <t>Fibre Service Leads (sheath length)</t>
  </si>
  <si>
    <t>Poles</t>
  </si>
  <si>
    <t>handover sites</t>
  </si>
  <si>
    <t>Splitters</t>
  </si>
  <si>
    <t>ONT devices</t>
  </si>
  <si>
    <t>OLT devices</t>
  </si>
  <si>
    <t>Switches</t>
  </si>
  <si>
    <t>Total Network spares (Combines PQ and ID-only)</t>
  </si>
  <si>
    <t>Layer 1</t>
  </si>
  <si>
    <t>Layer 2</t>
  </si>
  <si>
    <t>10a: PQ Asset Register</t>
  </si>
  <si>
    <t>Dropdown for table</t>
  </si>
  <si>
    <t>Asset category</t>
  </si>
  <si>
    <t>Network spares (Refer to s10a.PQ Asset Resister for total spares)</t>
  </si>
  <si>
    <t>10b: ID-only Asset Register</t>
  </si>
  <si>
    <t>Question No.</t>
  </si>
  <si>
    <t>Function</t>
  </si>
  <si>
    <t>Standard Ref. (For guidance only)</t>
  </si>
  <si>
    <t>Question</t>
  </si>
  <si>
    <t>Maturity Level Score</t>
  </si>
  <si>
    <t>Target Score CY+3</t>
  </si>
  <si>
    <t>Initiatives planned to achieve target score</t>
  </si>
  <si>
    <t>Why</t>
  </si>
  <si>
    <t>Who</t>
  </si>
  <si>
    <t>Record/documented Information</t>
  </si>
  <si>
    <t>Maturity Level 0</t>
  </si>
  <si>
    <t>Maturity Level 1</t>
  </si>
  <si>
    <t>Maturity Level 2</t>
  </si>
  <si>
    <t>Maturity Level 3</t>
  </si>
  <si>
    <t>Maturity Level 4</t>
  </si>
  <si>
    <t>Asset management policy</t>
  </si>
  <si>
    <t>To what extent has an asset management policy been documented, authorised and communicated?</t>
  </si>
  <si>
    <t>Widely used AM practice standards require an organisation to document, authorise and communicate its asset management policy.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</si>
  <si>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</si>
  <si>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</si>
  <si>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</si>
  <si>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</si>
  <si>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</si>
  <si>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</si>
  <si>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Asset management strategy</t>
  </si>
  <si>
    <t>What has the organisation done to ensure that its asset management strategy is consistent with other appropriate organisational policies and strategies, and the needs of stakeholders?</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</si>
  <si>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and has taken account of stakeholder requirements.  Generally, this will take into account the same policies, strategies and stakeholder requirements as covered in drafting the asset management policy but at a greater level of detail.</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</si>
  <si>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</si>
  <si>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</si>
  <si>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</si>
  <si>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</si>
  <si>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</si>
  <si>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what way does the organisation's asset management strategy take account of the lifecycle of the assets, asset types and asset systems over which the organisation has stewardship?</t>
  </si>
  <si>
    <t>Good asset stewardship is the hallmark of an organisation compliant with widely used AM standards.  A key component of this is the need to take account of the lifecycle of the assets, asset types and asset systems.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</si>
  <si>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</si>
  <si>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</si>
  <si>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</si>
  <si>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</si>
  <si>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</si>
  <si>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Asset management plan(s)</t>
  </si>
  <si>
    <t>How does the organisation establish and document its asset management plan(s) across the life cycle activities of its assets and asset systems?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</si>
  <si>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</si>
  <si>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</si>
  <si>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</si>
  <si>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</si>
  <si>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</si>
  <si>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</si>
  <si>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</si>
  <si>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How has the organisation communicated its plan(s) to all relevant parties to a level of detail appropriate to the receiver's role in their delivery?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</si>
  <si>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</si>
  <si>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</si>
  <si>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</si>
  <si>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The organisation does not have plan(s) or their distribution is limited to the authors.</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</si>
  <si>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</si>
  <si>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</si>
  <si>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How are designated responsibilities for delivery of asset plan actions documented?</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</si>
  <si>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</si>
  <si>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</si>
  <si>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</si>
  <si>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</si>
  <si>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</si>
  <si>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</si>
  <si>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</si>
  <si>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</si>
  <si>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</si>
  <si>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</si>
  <si>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</si>
  <si>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</si>
  <si>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</si>
  <si>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</si>
  <si>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Contingency planning</t>
  </si>
  <si>
    <t>What plan(s) and procedure(s) does the organisation have for identifying and responding to incidents and emergency situations and ensuring continuity of critical asset management activities?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</si>
  <si>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</si>
  <si>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</si>
  <si>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</si>
  <si>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</si>
  <si>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</si>
  <si>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</si>
  <si>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</si>
  <si>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Structure, authority and responsibilities</t>
  </si>
  <si>
    <t>What has the organisation done to appoint member(s) of its management team to be responsible for ensuring that the organisation's assets deliver the requirements of the asset management strategy, objectives and plan(s)?</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</si>
  <si>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</si>
  <si>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</si>
  <si>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</si>
  <si>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</si>
  <si>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</si>
  <si>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</si>
  <si>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What evidence can the organisation's top management provide to demonstrate that sufficient resources are available for asset management?</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</si>
  <si>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</si>
  <si>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</si>
  <si>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</si>
  <si>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</si>
  <si>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</si>
  <si>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</si>
  <si>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</si>
  <si>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To what degree does the organisation's top management communicate the importance of meeting its asset management requirements?</t>
  </si>
  <si>
    <t>Widely used AM practice standards require an organisation to communicate the importance of meeting its asset management requirements such that personnel fully understand, take ownership of, and are fully engaged in the delivery of the asset management requirements.</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</si>
  <si>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</si>
  <si>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</si>
  <si>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</si>
  <si>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</si>
  <si>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</si>
  <si>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</si>
  <si>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</si>
  <si>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</si>
  <si>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Where an organisation chooses to outsource some of its asset management activities, the organisation must ensure that these outsourced process(es) are under appropriate control to ensure that all the requirements of widely used AM standards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</si>
  <si>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</si>
  <si>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could form part of a contract or service level agreement between the organisation and the suppliers of its outsourced activities.  Evidence that the organisation has demonstrated to itself that it has assurance of compliance of outsourced activities.</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</si>
  <si>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</si>
  <si>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</si>
  <si>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</si>
  <si>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Training, awareness and competence</t>
  </si>
  <si>
    <t>How does the organisation develop plan(s) for the human resources required to undertake asset management activities - including the development and delivery of asset management strategy, process(es), objectives and plan(s)?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</si>
  <si>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a 5 year time scale then the human resources development plan(s) should align with this.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</si>
  <si>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</si>
  <si>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</si>
  <si>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</si>
  <si>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</si>
  <si>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</si>
  <si>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</si>
  <si>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How does the organisation identify competency requirements and then plan, provide and record the training necessary to achieve the competencies?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</si>
  <si>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</si>
  <si>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</si>
  <si>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</si>
  <si>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</si>
  <si>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</si>
  <si>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How does the organization ensure that persons under its direct control undertaking asset management related activities have an appropriate level of competence in terms of education, training or experience?</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</si>
  <si>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</si>
  <si>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</si>
  <si>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</si>
  <si>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</si>
  <si>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</si>
  <si>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</si>
  <si>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Communication, participation and consultation</t>
  </si>
  <si>
    <t>How does the organisation ensure that pertinent asset management information is effectively communicated to and from employees and other stakeholders, including contracted service providers?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</si>
  <si>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</si>
  <si>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</si>
  <si>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</si>
  <si>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</si>
  <si>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</si>
  <si>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</si>
  <si>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</si>
  <si>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Asset Management System documentation</t>
  </si>
  <si>
    <t>What documentation has the organisation established to describe the main elements of its asset management system and interactions between them?</t>
  </si>
  <si>
    <t>The management team that has overall responsibility for asset management.  Managers engaged in asset management activities.</t>
  </si>
  <si>
    <t>The documented information describing the main elements of the asset management system (process(es)) and their interaction.</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</si>
  <si>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</si>
  <si>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</si>
  <si>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</si>
  <si>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</si>
  <si>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Information management</t>
  </si>
  <si>
    <t>What has the organisation done to determine what its asset management information system(s) should contain in order to support its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</si>
  <si>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</si>
  <si>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</si>
  <si>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</si>
  <si>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</si>
  <si>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</si>
  <si>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</si>
  <si>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How does the organisation maintain its asset management information system(s) and ensure that the data held within it (them) is of the requisite quality and accuracy and is consistent?</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</si>
  <si>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</si>
  <si>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</si>
  <si>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</si>
  <si>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</si>
  <si>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</si>
  <si>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</si>
  <si>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How has the organisation's ensured its asset management information system is relevant to its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</si>
  <si>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</si>
  <si>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</si>
  <si>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</si>
  <si>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</si>
  <si>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</si>
  <si>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</si>
  <si>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</si>
  <si>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Risk management process(es)</t>
  </si>
  <si>
    <t>How has the organisation documented process(es) and/or procedure(s) for the identification and assessment of asset and asset management related risks throughout the asset life cycle?</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</si>
  <si>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all phases of the asset lifecycle.</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</si>
  <si>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</si>
  <si>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</si>
  <si>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</si>
  <si>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</si>
  <si>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</si>
  <si>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</si>
  <si>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Use and maintenance of asset risk information</t>
  </si>
  <si>
    <t>How does the organisation ensure that the results of risk assessments provide input into the identification of adequate resources and training and competency needs?</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</si>
  <si>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</si>
  <si>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</si>
  <si>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</si>
  <si>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</si>
  <si>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</si>
  <si>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</si>
  <si>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</si>
  <si>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Legal and other requirements</t>
  </si>
  <si>
    <t>What procedure does the organisation have to identify and provide access to its legal, regulatory, statutory and other asset management requirements, and how is requirements incorporated into the asset management system?</t>
  </si>
  <si>
    <t>In order for an organisation to comply with its legal, regulatory, statutory and other asset management requirements, the organisation first needs to ensure that it knows what they are.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</si>
  <si>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</si>
  <si>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</si>
  <si>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</si>
  <si>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</si>
  <si>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</si>
  <si>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</si>
  <si>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</si>
  <si>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</si>
  <si>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Life cycle activities are about the implementation of asset management plan(s) i.e. they are the "doing" phase.  They need to be done effectively and well in order for asset management to have any practical meaning.  As a consequence, widely used standards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</si>
  <si>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</si>
  <si>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</si>
  <si>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</si>
  <si>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</si>
  <si>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</si>
  <si>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</si>
  <si>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</si>
  <si>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</si>
  <si>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</si>
  <si>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</si>
  <si>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</si>
  <si>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</si>
  <si>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</si>
  <si>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</si>
  <si>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Performance and condition monitoring</t>
  </si>
  <si>
    <t>How does the organisation measure the performance and condition of its assets?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</si>
  <si>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</si>
  <si>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</si>
  <si>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</si>
  <si>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</si>
  <si>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</si>
  <si>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</si>
  <si>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</si>
  <si>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</si>
  <si>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</si>
  <si>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</si>
  <si>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</si>
  <si>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</si>
  <si>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</si>
  <si>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</si>
  <si>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</si>
  <si>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</si>
  <si>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Audit</t>
  </si>
  <si>
    <t>What has the organisation done to establish procedure(s) for the audit of its asset management system (process(es))?</t>
  </si>
  <si>
    <t>This question seeks to explore what the organisation has done to comply with the standard practice AM audit requirements.</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</si>
  <si>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</si>
  <si>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</si>
  <si>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</si>
  <si>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</si>
  <si>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</si>
  <si>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</si>
  <si>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Corrective &amp; Preventative action</t>
  </si>
  <si>
    <t>How does the organisation instigate appropriate corrective and/or preventive actions to eliminate or prevent the causes of identified poor performance and non-conformance?</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</si>
  <si>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</si>
  <si>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</si>
  <si>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</si>
  <si>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</si>
  <si>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</si>
  <si>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</si>
  <si>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</si>
  <si>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Continual Improvement</t>
  </si>
  <si>
    <t>How does the organisation achieve continual improvement in the optimal combination of costs, asset related risks and the performance and condition of assets and asset systems across the whole life cycle?</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</si>
  <si>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</si>
  <si>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</si>
  <si>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</si>
  <si>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</si>
  <si>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</si>
  <si>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</si>
  <si>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</si>
  <si>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How does the organisation seek and acquire knowledge about new asset management related technology and practices, and evaluate their potential benefit to the organisation?</t>
  </si>
  <si>
    <t>One important aspect of continual improvement is where an organisation looks beyond its existing boundaries and knowledge base to look at what 'new things are on the market'.  These new things can include equipment, process(es), tools, etc.  An organisation which does this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</si>
  <si>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</si>
  <si>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</si>
  <si>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</si>
  <si>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</si>
  <si>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</si>
  <si>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</si>
  <si>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Scope/purpose of description</t>
  </si>
  <si>
    <t>User Guidance</t>
  </si>
  <si>
    <t>Description of Practices</t>
  </si>
  <si>
    <t>Describe how the business plans to systematise processes for collecting and collating network asset data, including data supplied by contractors and other third parties (note - target score and initiatives must be reported under 25 above).</t>
  </si>
  <si>
    <t>ISO 55002, 7.5</t>
  </si>
  <si>
    <t>Describe how the business plans to improve knowledge of network asset condition so that assets are replaced in a timely manner (note - target score and initiatives must be reported under 25 above).</t>
  </si>
  <si>
    <t>ISO 55000, 6.2</t>
  </si>
  <si>
    <t>Describe how the business plans to, where appropriate, develop and improve  asset health models so that they are informed by network asset condition data. (note - target score and initiatives must be reported under 25 above)</t>
  </si>
  <si>
    <t>ISO 55002, 6.2</t>
  </si>
  <si>
    <t>Describe how the business plans to ensure that there is a clear line-of-sight from asset condition data through to the expenditure forecasts and financial reporting. (note - target score and initiatives must be reported under 25 above).</t>
  </si>
  <si>
    <t>ISO 55002, 9.1</t>
  </si>
  <si>
    <t>Describe how it plans to ensure it has an audited and regularly-maintained platform for sharing network asset data with internal and external stakeholders</t>
  </si>
  <si>
    <t>ISO 55002, 2.5 and  8.3.2 (e)</t>
  </si>
  <si>
    <t>Describe how the business plans to test its asset and network performance, evaluate whether it is achieving its asset management policies and objectives, and identify ways to improve the performance of its network.</t>
  </si>
  <si>
    <t>ISO 55000, 9.1</t>
  </si>
  <si>
    <t>Describe how the business intends to develop its asset criticality understanding, and how this informs its asset replacement and renewal strategies.</t>
  </si>
  <si>
    <t>ISO 55002, 6.2.2.3 and 6.2.2.4</t>
  </si>
  <si>
    <t>Describe how the business intends to improve its network asset risk framework so it can make risk-based decisions, including where appropriate, risk-based decisions based on reliability risk, environmental risk, high-impact low-probability event risk, and safety risk.</t>
  </si>
  <si>
    <t>Describe how the business is developing practices to identify and mitigate safety risks, including the use of a framework such as ALARP to prioritise identified safety risks and to justify investments to mitigate those risks.</t>
  </si>
  <si>
    <t>ISO 55002, 6.2.2.3 and 6.2.2.4 and clause 22 of the Health and Safety at Work Act 2015</t>
  </si>
  <si>
    <t>Describe how the business plans to routinely audit, update, and manage its cost estimation models.</t>
  </si>
  <si>
    <t>Describe how the business plans use actual costs of completed capital expenditure and operating expenditure projects and programmes, to improve future cost estimates.</t>
  </si>
  <si>
    <t>Describe how the business plans to ensure capital expenditure and operating expenditure projects and programmes are efficiently delivered and implemented, and meet applicable industry standards.</t>
  </si>
  <si>
    <t>Evidence - Summary</t>
  </si>
  <si>
    <t>3(iii): Reconciliation of Tax Losses</t>
  </si>
  <si>
    <t>?</t>
  </si>
  <si>
    <t>?22</t>
  </si>
  <si>
    <t>table headers</t>
  </si>
  <si>
    <t>formula</t>
  </si>
  <si>
    <t>N/A (no data to be entered</t>
  </si>
  <si>
    <t>data entry</t>
  </si>
  <si>
    <t>check</t>
  </si>
  <si>
    <t>dropdown</t>
  </si>
  <si>
    <t>data entry - commission only</t>
  </si>
  <si>
    <t>comment</t>
  </si>
  <si>
    <r>
      <t xml:space="preserve">Template Version </t>
    </r>
    <r>
      <rPr>
        <b/>
        <sz val="10"/>
        <color rgb="FFFF0000"/>
        <rFont val="Calibri"/>
        <family val="2"/>
      </rPr>
      <t>3</t>
    </r>
    <r>
      <rPr>
        <b/>
        <sz val="10"/>
        <color theme="1"/>
        <rFont val="Calibri"/>
        <family val="2"/>
      </rPr>
      <t>. Prepared</t>
    </r>
    <r>
      <rPr>
        <b/>
        <sz val="10"/>
        <color rgb="FFFF0000"/>
        <rFont val="Calibri"/>
        <family val="2"/>
      </rPr>
      <t xml:space="preserve"> November 2023</t>
    </r>
  </si>
  <si>
    <t>Ref</t>
  </si>
  <si>
    <t>cell styles shown below for different data types</t>
  </si>
  <si>
    <t xml:space="preserve"> Information Templates</t>
  </si>
  <si>
    <t>4b(ii): Unallocated Regulatory Asset Base</t>
  </si>
  <si>
    <t>4b(iii): Calculation of Revaluation Rate and Revaluation of Assets</t>
  </si>
  <si>
    <t>4b(vi): Disclosure of Changes to Depreciation Methods</t>
  </si>
  <si>
    <t>4b(iv): Roll Forward of Works Under Construction</t>
  </si>
  <si>
    <t>4b(v): Regulatory Depreciation</t>
  </si>
  <si>
    <t>4b(vii): Disclosure by Asset Category</t>
  </si>
  <si>
    <t>4d(ii): Unallocated Regulatory Asset Base</t>
  </si>
  <si>
    <t>4d(iii): Calculation of Revaluation Rate and Revaluation of Assets</t>
  </si>
  <si>
    <t>4d(vi): Disclosure of Changes to Depreciation Methods</t>
  </si>
  <si>
    <t>4d(iv): Roll Forward of Works Under Construction</t>
  </si>
  <si>
    <t>4d(v): Regulatory Depreciation</t>
  </si>
  <si>
    <t>4d(vii): Disclosure by Asset Category</t>
  </si>
  <si>
    <t>5(i): Operating Expenditure</t>
  </si>
  <si>
    <t>This Schedule requires a breakdown of current and forecast capacity and utilisation for each area. Information provided in this table should relate to the operation of the network in its normal steady state configuration.</t>
  </si>
  <si>
    <t>This Schedule requires a forecast of new connections (by consumer type), peak demand and data volumes for the disclosure year and a 5 year planning period. The forecasts should be consistent with the assumptions used in developing the expenditure forecasts in Schedules 11 and Schedule 11a and the capacity and utilisation forecasts in Schedule 12.</t>
  </si>
  <si>
    <t>This Schedule requires information on Chorus's self-assessment of the maturity of its asset management practices and a descriptions of its practices for collecting and managing network data, making risk-based decisions and managing cost estimation models.</t>
  </si>
  <si>
    <t>1b(i): Return on Investment</t>
  </si>
  <si>
    <t>1b(ii): Information Supporting the ROI</t>
  </si>
  <si>
    <t>1c(i): Return on Investment</t>
  </si>
  <si>
    <t>1c(ii): Information Supporting the ROI</t>
  </si>
  <si>
    <t>7(i): Revenue</t>
  </si>
  <si>
    <t>7(ii): Expenditure on Assets</t>
  </si>
  <si>
    <t>7(iii): Operating Expenditure</t>
  </si>
  <si>
    <t>6(ii): Breakdown of capital contributions</t>
  </si>
  <si>
    <t>6(iii): Subcomponents of Expenditure on Assets</t>
  </si>
  <si>
    <t>11(i): Expenditure on Assets Forecast</t>
  </si>
  <si>
    <t>11a(i): Operating Expenditure Forecast</t>
  </si>
  <si>
    <t>12a(i): Active forecast connections</t>
  </si>
  <si>
    <t>12a(ii): System Traffic (gigabits per second)</t>
  </si>
  <si>
    <t>Sheet</t>
  </si>
  <si>
    <t>Table</t>
  </si>
  <si>
    <t>Table_rows</t>
  </si>
  <si>
    <t>Table_sum</t>
  </si>
  <si>
    <t>Address</t>
  </si>
  <si>
    <t>Title</t>
  </si>
  <si>
    <t>Cover Sheet</t>
  </si>
  <si>
    <t>$B$22:$C$25</t>
  </si>
  <si>
    <t>TOC</t>
  </si>
  <si>
    <t>styles</t>
  </si>
  <si>
    <t>$A$3:$G$9</t>
  </si>
  <si>
    <t>S1a.ID FFLAS IRR</t>
  </si>
  <si>
    <t xml:space="preserve">S1b.PQ FFLAS IRR </t>
  </si>
  <si>
    <t>S1c.ID-only FFLAS IRR</t>
  </si>
  <si>
    <t>S2.Regulatory Profit</t>
  </si>
  <si>
    <t>S3.Regulatory Tax Allowance</t>
  </si>
  <si>
    <t>S4a.Asset Allocations</t>
  </si>
  <si>
    <t>S4b.ID RAB Value Rolled Forward</t>
  </si>
  <si>
    <t>$A$64:$F$64</t>
  </si>
  <si>
    <t>$A$69:$G$71</t>
  </si>
  <si>
    <t>$A$76:$I$83</t>
  </si>
  <si>
    <t>$A$90:$N$113</t>
  </si>
  <si>
    <t>S4c.PQ RAB Value Rolled F.</t>
  </si>
  <si>
    <t>S4d. ID-only RAB Value Rolled F</t>
  </si>
  <si>
    <t>S5. Actual Expenditure Opex</t>
  </si>
  <si>
    <t>S5a.Cost Allocations</t>
  </si>
  <si>
    <t>S7. Actual vs Forecast</t>
  </si>
  <si>
    <t>S8a. TCSD Allowance</t>
  </si>
  <si>
    <t>S8b. Crown financing &amp; NDI</t>
  </si>
  <si>
    <t>S9.Related Party Transactions</t>
  </si>
  <si>
    <t>S10a.PQ Asset Register</t>
  </si>
  <si>
    <t>S11.Capex Forecast</t>
  </si>
  <si>
    <t>S11a. Opex Forecast</t>
  </si>
  <si>
    <t>S12. Capacity Forecast</t>
  </si>
  <si>
    <t xml:space="preserve">S12a.Demand Forecast </t>
  </si>
  <si>
    <t>S13.Asset Management_1</t>
  </si>
  <si>
    <t>S13.Asset Management_2</t>
  </si>
  <si>
    <t>11(ii): Breakdown of capital contributions</t>
  </si>
  <si>
    <t>S12.Capacity Forecast</t>
  </si>
  <si>
    <t>12(i): System capacity and utilisation</t>
  </si>
  <si>
    <t>4d(i): ID-ONLY FFLAS Regulatory Asset Base Value (Rolled Forward)</t>
  </si>
  <si>
    <t>S5.Actual Expenditure Opex</t>
  </si>
  <si>
    <t>S6.Actual Expenditure Capex</t>
  </si>
  <si>
    <t>6(i): Expenditure on Assets</t>
  </si>
  <si>
    <t>S7.Actual vs Forecast</t>
  </si>
  <si>
    <t>S8a.TCSD Allowance</t>
  </si>
  <si>
    <t>8a(i): Qualifying Debt (may be Commission only)</t>
  </si>
  <si>
    <t>9(iii): Total Opex and Capex Related Party Transactions*</t>
  </si>
  <si>
    <t>5(ii): Subcomponents of Operating Expenditure</t>
  </si>
  <si>
    <t>8b(ii): Notional deductible interest</t>
  </si>
  <si>
    <t>8a(ii): Calculation of Term Credit Spread Differential Allowance</t>
  </si>
  <si>
    <t>*Include additonal rows if needed</t>
  </si>
  <si>
    <t>7(iv): Subcomponents of operating expenditure</t>
  </si>
  <si>
    <t>S10b. ID-only Asset Register</t>
  </si>
  <si>
    <t>tb_1a_1ai_1.11_1</t>
  </si>
  <si>
    <t>tb_1a_1aii_1.12_1</t>
  </si>
  <si>
    <t>tb_1a_1aii_1.12_2</t>
  </si>
  <si>
    <t>tb_1b_1bi_1.21_1</t>
  </si>
  <si>
    <t>tb_1b_1bii_1.22_2</t>
  </si>
  <si>
    <t>tb_1b_1bii_1.22_1</t>
  </si>
  <si>
    <t>tb_1c_1ci_1.31_1</t>
  </si>
  <si>
    <t>tb_1c_1cii_1.32_2</t>
  </si>
  <si>
    <t>tb_1c_1cii_1.32_1</t>
  </si>
  <si>
    <t>tb_2_2i_2.01_1</t>
  </si>
  <si>
    <t>tb_2_2ii_2.02_1</t>
  </si>
  <si>
    <t>tb_2_2iii_2.03_1</t>
  </si>
  <si>
    <t>tb_2_2iv_2.04_1</t>
  </si>
  <si>
    <t>tb_2_2v_2.05_1</t>
  </si>
  <si>
    <t>tb_3_3i_3.01_1</t>
  </si>
  <si>
    <t>tb_3_3i_3.01_2</t>
  </si>
  <si>
    <t>tb_3_3iii_3.03_1</t>
  </si>
  <si>
    <t>tb_3_3iv_3.04_1</t>
  </si>
  <si>
    <t>tb_4a_4aii_4.12_1</t>
  </si>
  <si>
    <t>tb_4a_4ai_4.11_1</t>
  </si>
  <si>
    <t>tb_4b_4bi_4.21_1</t>
  </si>
  <si>
    <t>tb_4b_4bii_4.22_1</t>
  </si>
  <si>
    <t>tb_4b_4biii_4.23_1</t>
  </si>
  <si>
    <t>tb_4b_4biii_4.23_2</t>
  </si>
  <si>
    <t>tb_4b_4biv_4.24_1</t>
  </si>
  <si>
    <t>tb_4b_4biv_4.24_2</t>
  </si>
  <si>
    <t>tb_4b_4bv_4.25_1</t>
  </si>
  <si>
    <t>tb_4b_4bvi_4.26_1</t>
  </si>
  <si>
    <t>tb_4b_4biii_4.23_3</t>
  </si>
  <si>
    <t>tb_4b_4bvii_4.27_1</t>
  </si>
  <si>
    <t>tb_4c_4cii_4.32_1</t>
  </si>
  <si>
    <t>tb_4c_4ciii_4.33_1</t>
  </si>
  <si>
    <t>tb_4c_4ciii_4.33_2</t>
  </si>
  <si>
    <t>tb_4c_4civ_4.34_1</t>
  </si>
  <si>
    <t>tb_4c_4civ_4.34_2</t>
  </si>
  <si>
    <t>tb_4c_4cv_4.35_1</t>
  </si>
  <si>
    <t>tb_4c_4cvi_4.36_1</t>
  </si>
  <si>
    <t>tb_4c_4ciii_4.33_3</t>
  </si>
  <si>
    <t>tb_4c_4cvii_4.37_1</t>
  </si>
  <si>
    <t>tb_4c_4ci_4.31_1</t>
  </si>
  <si>
    <t>tb_4d_4di_4.41_1</t>
  </si>
  <si>
    <t>tb_4d_4dii_4.42_1</t>
  </si>
  <si>
    <t>tb_4d_4diii_4.43_1</t>
  </si>
  <si>
    <t>tb_4d_4diii_4.43_2</t>
  </si>
  <si>
    <t>tb_4d_4div_4.44_1</t>
  </si>
  <si>
    <t>tb_4d_4div_4.44_2</t>
  </si>
  <si>
    <t>tb_4d_4dv_4.45_1</t>
  </si>
  <si>
    <t>tb_4d_4dvi_4.46_1</t>
  </si>
  <si>
    <t>tb_4d_4diii_4.43_3</t>
  </si>
  <si>
    <t>tb_4d_4dvii_4.47_1</t>
  </si>
  <si>
    <t>tb_5_5i_5.01_1</t>
  </si>
  <si>
    <t>tb_5_5ii_5.02_1</t>
  </si>
  <si>
    <t>tb_5a_5ai_5.11_1</t>
  </si>
  <si>
    <t>tb_5a_5aii_5.12_1</t>
  </si>
  <si>
    <t>tb_5a_5aiii_5.13_1</t>
  </si>
  <si>
    <t>tb_6_6i_6.01_1</t>
  </si>
  <si>
    <t>tb_6_6ii_6.02_1</t>
  </si>
  <si>
    <t>tb_6_6iii_6.03_1</t>
  </si>
  <si>
    <t>tb_7_7i_7.01_1</t>
  </si>
  <si>
    <t>tb_7_7ii_7.02_1</t>
  </si>
  <si>
    <t>tb_7_7iii_7.03_1</t>
  </si>
  <si>
    <t>tb_7_7iv_7.04_1</t>
  </si>
  <si>
    <t>tb_8a_8ai_8.11_1</t>
  </si>
  <si>
    <t>tb_8a_8aii_8.12_1</t>
  </si>
  <si>
    <t>tb_8a_8aii_8.12_2</t>
  </si>
  <si>
    <t>tb_8b_8bii_8.22_1</t>
  </si>
  <si>
    <t>tb_8b_8bi_8.21_1</t>
  </si>
  <si>
    <t>tb_9_9i_9.01_1</t>
  </si>
  <si>
    <t>tb_9_9iii_9.03_1</t>
  </si>
  <si>
    <t>tb_9_9ii_9.02_1</t>
  </si>
  <si>
    <t>tb_9_9i_9.01_2</t>
  </si>
  <si>
    <t>tb_10a_10a_10.10_1</t>
  </si>
  <si>
    <t>tb_10b_10b_10.20_1</t>
  </si>
  <si>
    <t>tb_11_11i_11.01_1</t>
  </si>
  <si>
    <t>tb_11_11i_11.01_2</t>
  </si>
  <si>
    <t>tb_11_11i_11.01_3</t>
  </si>
  <si>
    <t>tb_11_11ii_11.02_1</t>
  </si>
  <si>
    <t>tb_11a_11ai_11.11_1</t>
  </si>
  <si>
    <t>tb_11a_11ai_11.11_2</t>
  </si>
  <si>
    <t>tb_11a_11ai_11.11_3</t>
  </si>
  <si>
    <t>tb_12_12i_12.01_1</t>
  </si>
  <si>
    <t>tb_12a_12ai_12.11_1</t>
  </si>
  <si>
    <t>tb_12a_12aii_12.12_1</t>
  </si>
  <si>
    <t>tb_12a_12aii_12.12_2</t>
  </si>
  <si>
    <t>tb_12a_12aii_12.12_3</t>
  </si>
  <si>
    <t>Sum of PON service connection speeds (Megabits per second)</t>
  </si>
  <si>
    <t>Average speed (Megabits per second)</t>
  </si>
  <si>
    <t>Average throughput per user (Gigabits per second)</t>
  </si>
  <si>
    <t>Heading 1</t>
  </si>
  <si>
    <t>?2 test|
asfas</t>
  </si>
  <si>
    <t>CY-2|
%</t>
  </si>
  <si>
    <t>CY-1|
%</t>
  </si>
  <si>
    <t>Current Year CY|
%</t>
  </si>
  <si>
    <t>PQ FFLAS</t>
  </si>
  <si>
    <t>PQ FFLAS|
($000)</t>
  </si>
  <si>
    <t>ID-only FFLAS|
($000)</t>
  </si>
  <si>
    <t>ID FFLAS|
($000)</t>
  </si>
  <si>
    <t>4a(ii): Changes in Asset Allocations*†</t>
  </si>
  <si>
    <t>† include additional tables if needed</t>
  </si>
  <si>
    <t>Sheetname</t>
  </si>
  <si>
    <t>$A$70:$G$72</t>
  </si>
  <si>
    <t>S13.Asset Management_1 &amp; S13.Asset Management_2</t>
  </si>
  <si>
    <t>Issue date</t>
  </si>
  <si>
    <t>Pricing date</t>
  </si>
  <si>
    <t>Original tenor (in years)</t>
  </si>
  <si>
    <t>This Schedule requires information on the ID FFLAS Return on Investment (ROI) relative to the Commerce Commission's estimates of post tax WACC and vanilla WACC.Chorus must provide explanatory comment on its ROI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</si>
  <si>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on the PQ FFLAS Return on Investment (ROI) relative to the Commerce Commission's estimates of post tax WACC and vanilla WACC.Chorus must provide explanatory comment on its ROI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</si>
  <si>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on the ID-only FFLAS Return on Investment (ROI) relative to the Commerce Commission's estimates of post tax WACC and vanilla WACC.Chorus must provide explanatory comment on its ROI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</si>
  <si>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regulatory profit for Chorus for the disclosure year, including providing explanatory comment on their regulatory profit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</si>
  <si>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from Chorus on its calculation of regulatory tax allowance. This information is used to calculate regulatory profit/loss in Schedule 2 (Report on Regulatory Profit). Chorus must provide explanatory commentary on the information disclosed in this Schedule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</si>
  <si>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on the allocation of asset values. This information supports the calculation of the RAB value in Schedules 4b, 4c, and 4d.Chorus must provide explanatory commentary on the information disclosed in this Schedule in Schedule 14 (Mandatory Explanatory Notes), including on the impact of any changes in asset allocations.This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</si>
  <si>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the ID FFLAS Regulatory Asset Base (RAB) value to the end of this disclosure year. This informs the ROI calculation in Schedule 1a. Chorus must provide explanatory commentary on the information disclosed in this Schedule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</si>
  <si>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the PQ FFLAS Regulatory Asset Base (RAB) value to the end of this disclosure year. This informs the ROI calculation in Schedules 1a and 1b. Chorus must provide explanatory commentary on the information disclosed in this Schedule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</si>
  <si>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the ID-only FFLAS Regulatory Asset Base (RAB) value to the end of this disclosure year. This informs the ROI calculation in Schedules 1a and 1c. Chorus must provide explanatory commentary on the information disclosed in this Schedule,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</si>
  <si>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a breakdown of operating expenditure incurred in the disclosure year. Chorus must provide explanatory commentary on the information disclosed in this Schedule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</si>
  <si>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provides information on the allocation of operating costs. Chorus must provide explanatory commentary on the information disclosed in this Schedule in Schedule 14 (Mandatory Explanatory Notes), including on the impact of any reclassifications.This information is part of audited disclosure information (as defined in clause 1.4.3 of the main body of the determination), and so is subject to the assurance report required by clause 2.7 of the main body of the determination.</t>
  </si>
  <si>
    <t>This Schedule requires a breakdown of capital expenditure on assets incurred in the disclosure year, including any assets in respect of which capital contributions are received. Information on expenditure on assets must be provided on an accounting accruals basis and must exclude finance costs.  Chorus must provide explanatory commentary on the information disclosed in this Schedule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</si>
  <si>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compares actual revenue and expenditure to the previous forecasts that were made for the disclosure year. Accordingly, this Schedule requires the forecast revenue and expenditure information from previous disclosures to be inserted. ID-regulated providers must provide explanatory commentary on the variance between actual and target revenue and forecast expenditure in Schedule 14 or 14A (Mandatory Explanatory Notes), as applicable.This information is part of audited disclosure information (as defined in clause 1.4.3 of the main body of the determination), and so is subject to the assurance report required by clause 2.7 of the main body of the determination. For the purpose of that assurance report, target revenue and forecast expenditures only need to be verified back to previous disclosures.Total target operating revenue should equal the sum of the nominal dollar target revenue for the disclosure year across all contracts disclosed to the Commission under clause 2.5.11(2) of this determination.</t>
  </si>
  <si>
    <t>Under clause 2.4.2 of the the main body of the determination, Chorus must only complete sections 8a(i) and 8a(ii) if, as at the date of the most recently published financial statements, the weighted average original tenor of the debt portfolio (both qualifying debt and non-qualifying debt) is greater than five years. This information is part of audited disclosure information (as defined in clause 1.4.3 of the main body of the determination), and so is subject to the assurance report required by clause 2.7 of the main body of the determination.</t>
  </si>
  <si>
    <t>This Schedule requires information on the roll-forward of Crown financing and the calculation of notional deductible interest for the disclosure year. Chorus must complete all sections and provide explanatory comment on its Crown financing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</si>
  <si>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provides information on the valuation of related party transactions for the purpose of clause 2.3.1 of the the main body of the determination. This information is part of audited disclosure information (as defined in clause 1.4.3 of the main body of the determination), and so is subject to the assurance report required by clause 2.7 of the main body of the determination.</t>
  </si>
  <si>
    <t>This Schedule requires a breakdown of forecast expenditure on assets for the current disclosure year and a 5 year planning period. The forecast is to be expressed in both constant price and nominal dollar terms. Also required is a forecast of the value of commissioned assets (i.e., the value of RAB additions) Chorus must provide explanatory comment on the difference between constant price and nominal dollar forecasts of expenditure on assets in Schedule 14 (Mandatory Explanatory Notes).This information is not part of audited disclosure information (as defined in clause 1.4.3 of the main body of the determination).</t>
  </si>
  <si>
    <t>This Schedule requires a breakdown of forecast operating expenditure for the disclosure year and a 5 year planning period. The forecast is to be expressed in both constant price and nominal dollar terms. Chorus must provide explanatory comment on the difference between constant price and nominal dollar operating expenditure forecasts in Schedule 14 (Mandatory Explanatory Notes).This information is not part of audited disclosure information (as defined in clause 1.4.3 of the main body of the determination).</t>
  </si>
  <si>
    <t>The organisation's process(es) surpass the standard required to comply with requirements set out in a recognised standard.  The assessor is advised to note in the Evidence section why this is the case and the evidence seen.</t>
  </si>
  <si>
    <t>The organisation has not considered the need to ensure that its asset management strategy is appropriately aligned with the organisation's other organisational policies and strategies or with stakeholder requirements.                      ORThe organisation does not have an asset management strategy.</t>
  </si>
  <si>
    <t>The organisation has not considered the need to ensure that its asset management strategy is produced with due regard to the lifecycle of the assets, asset types or asset systems that it manages.                      ORThe organisation does not have an asset management strategy.</t>
  </si>
  <si>
    <t>The plan(s) are communicated to some of those responsible for delivery of the plan(s).                      OR Communicated to those responsible for delivery is either irregular or ad-hoc.</t>
  </si>
  <si>
    <t>What has the organisation done to ensure that appropriate arrangements are made available for the efficient and cost effective implementation of the plan(s)?(Note this is about resources and enabling support)</t>
  </si>
  <si>
    <t>The organisation has not considered the need to put controls in place.</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</si>
  <si>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</si>
  <si>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response to the questions is progressive.  A higher scale cannot be awarded without achieving the requirements of the lower scale.This question explores how the organisation ensures that information management meets widely used AM practice requirements.</t>
  </si>
  <si>
    <t>Describe whether asset condition information is being captured in its systems in a consistent way so that when the data is extracted, it is meaningful and reliable. Describe what it has put in place by way of processes to achieve this, including how the business intends to ensure consistent and systematic data collection from third party providers who may be engaged in maintenance activitites.</t>
  </si>
  <si>
    <t>Asset replacement decision making should be a key asset management objective and it should be informed by asset condition data to ensure assets are not replaced to late or too early. Asset condition based decision making also supports expenditure forecasts and reliable asset management plans</t>
  </si>
  <si>
    <t>Asset health models are key to ensuring that asset replacements can be made in a timely manner and that expenditure forecasts are more robust. In some cases age-based volumetric models, informed by asset outage rates may be more appropriate but where asset health models can be reasonably developed, they should be.</t>
  </si>
  <si>
    <t>Systematised asset management systems should ensure that there is consistency and traceability of technical asset information and condition data, through to the financial systems. This will support robust expenditure forecasting and decision making.This is consistent with ISO 55002 section 9.1</t>
  </si>
  <si>
    <t>Ensuring that asset and network data is verifiably accurate and enabling platforms for accessing that data made available to internal staff and thrid party providers will improve asset management outcomes.</t>
  </si>
  <si>
    <t>The asset management system should use monitored and measured data to obtain information regarding asset and network performance. This should be used to evaluate whether the asset management policies and objectives are being met, and identify corrective actions and areas for improvement.</t>
  </si>
  <si>
    <t>The risk spectrum includes a wide range of risk considerations such as expected event risk, due to asset reliability events, through to unexpected HILP events that may involve multi-asset long duration outages for events such as earthquakes or floods. Safety risk involves asset failures in the proximity of staff or the public, and environmental risk may involve asset failure that has an environmental impact. A comprehensive risk framework will provide a platform for these risk considerations to inform risk mitigation strategies and expenditure decisions.</t>
  </si>
  <si>
    <t>Risk calculations related to safety risk should be sufficiently explicit for decision makers to understand relative asset and network related safety risks, risk prioritisation, and the economic decision making surrounding mitigations if these are to provide risk controls above levels required by network design standards and statutory requirements.</t>
  </si>
  <si>
    <t>Using actual project and programme costs to review estimates will help ensure that future forecasts are likely to be more accurate and drive efficiencies.</t>
  </si>
  <si>
    <t>RAB|
CY-4|
($000)</t>
  </si>
  <si>
    <t>RAB|
CY-3|
($000)</t>
  </si>
  <si>
    <t>RAB|
CY-2|
($000)</t>
  </si>
  <si>
    <t>RAB|
CY-1|
($000)</t>
  </si>
  <si>
    <t>RAB|
CY|
($000)</t>
  </si>
  <si>
    <t>Unallocated RAB *|
($000)</t>
  </si>
  <si>
    <t>RAB|
($000)</t>
  </si>
  <si>
    <t>Unallocated works under construction|
($000)</t>
  </si>
  <si>
    <t>Allocated works under construction|
($000)</t>
  </si>
  <si>
    <t>Reason for change of method (text entry)|
($000)</t>
  </si>
  <si>
    <t>Depreciation charge for the period (RAB)|
($000)</t>
  </si>
  <si>
    <t>Closing RAB value under 'alternative method' depreciation|
($000)</t>
  </si>
  <si>
    <t>Closing RAB value under 'GAAP' depreciation|
($000)</t>
  </si>
  <si>
    <t>Non-FFLAS|
($000)</t>
  </si>
  <si>
    <t>Total Shared Costs|
($000)</t>
  </si>
  <si>
    <t>PQ-FFLAS|
Actual ($000)</t>
  </si>
  <si>
    <t>PQ-FFLAS|
% variance</t>
  </si>
  <si>
    <t>ID-Only|
% variance</t>
  </si>
  <si>
    <t>PQ FFLAS|
Actual  (NZD 000)</t>
  </si>
  <si>
    <t>PQ FFLAS|
Forecast (NZD 000)</t>
  </si>
  <si>
    <t>PQ FFLAS|
Forecast (%)</t>
  </si>
  <si>
    <t>Annual benefit of Crown financing|
IM 2.4.10(1)</t>
  </si>
  <si>
    <t>Volumes for new fibre investment|
Opening volume</t>
  </si>
  <si>
    <t>Volumes for new fibre investment|
Net additional volume</t>
  </si>
  <si>
    <t>Volumes for new fibre investment|
Data Accuracy(1 to 4)</t>
  </si>
  <si>
    <t>Asset condition at start of planning period|
(percentage of units by grade)|
H1%</t>
  </si>
  <si>
    <t>Asset condition at start of planning period|
(percentage of units by grade)|
H2%</t>
  </si>
  <si>
    <t>Asset condition at start of planning period|
(percentage of units by grade)|
H3%</t>
  </si>
  <si>
    <t>Asset condition at start of planning period|
(percentage of units by grade)|
H4%</t>
  </si>
  <si>
    <t>Asset condition at start of planning period|
(percentage of units by grade)|
H5%</t>
  </si>
  <si>
    <t>Asset condition at start of planning period|
(percentage of units by grade)|
Data Accuracy(1 to 4)</t>
  </si>
  <si>
    <t>Forecast cost of assets to be replaced in next 5 years $000|
Commission only</t>
  </si>
  <si>
    <t>Asset Age Profile|
CY-50+</t>
  </si>
  <si>
    <t>Asset Age Profile|
CY-46 to -50</t>
  </si>
  <si>
    <t>Asset Age Profile|
CY-41 to -45</t>
  </si>
  <si>
    <t>Asset Age Profile|
CY-36 to -40</t>
  </si>
  <si>
    <t>Asset Age Profile|
CY-31 to -35</t>
  </si>
  <si>
    <t>Asset Age Profile|
CY-26 to -30</t>
  </si>
  <si>
    <t>Asset Age Profile|
CY-21 to -25</t>
  </si>
  <si>
    <t>Asset Age Profile|
CY-16 to -20</t>
  </si>
  <si>
    <t>Asset Age Profile|
CY-11 to-15</t>
  </si>
  <si>
    <t>Asset Age Profile|
CY-10</t>
  </si>
  <si>
    <t>Asset Age Profile|
CY-9</t>
  </si>
  <si>
    <t>Asset Age Profile|
CY-8</t>
  </si>
  <si>
    <t>Asset Age Profile|
CY-7</t>
  </si>
  <si>
    <t>Asset Age Profile|
CY-6</t>
  </si>
  <si>
    <t>Asset Age Profile|
CY-5</t>
  </si>
  <si>
    <t>Asset Age Profile|
CY-4</t>
  </si>
  <si>
    <t>Asset Age Profile|
CY-3</t>
  </si>
  <si>
    <t>Asset Age Profile|
CY-2</t>
  </si>
  <si>
    <t>Asset Age Profile|
CY-1</t>
  </si>
  <si>
    <t>Asset Age Profile|
CY</t>
  </si>
  <si>
    <t>Asset Age Profile|
No. with age unknown</t>
  </si>
  <si>
    <t>Asset Age Profile|
Data accuracy(1–4)</t>
  </si>
  <si>
    <t>Current Year Actual|
$000 (in nominal dollars)</t>
  </si>
  <si>
    <t>CY+1|
$000 (in nominal dollars</t>
  </si>
  <si>
    <t>CY+2|
$000 (in nominal dollars)</t>
  </si>
  <si>
    <t>CY+3|
$000 (in nominal dollars)</t>
  </si>
  <si>
    <t>CY+4|
$000 (in nominal dollars)|
May be Commission only</t>
  </si>
  <si>
    <t>CY+5|
$000 (in nominal dollars)|
May be Commission only</t>
  </si>
  <si>
    <t>Current Year Actual|
$000 (in constant dollars)</t>
  </si>
  <si>
    <t>CY+1|
$000 (in constant dollars</t>
  </si>
  <si>
    <t>CY+2|
$000 (in constant dollars)</t>
  </si>
  <si>
    <t>CY+3|
$000 (in constant dollars)</t>
  </si>
  <si>
    <t>CY+4|
$000 (in constant dollars)|
May be Commission only</t>
  </si>
  <si>
    <t>CY+5|
$000 (in constant dollars)|
May be Commission only</t>
  </si>
  <si>
    <t>Current Year Actual|
$000 (Difference between nominal and constant price)</t>
  </si>
  <si>
    <t>CY+1|
$000 (Difference between nominal and constant price)</t>
  </si>
  <si>
    <t>CY+2|
$000 (Difference between nominal and constant price)</t>
  </si>
  <si>
    <t>CY+3|
$000 (Difference between nominal and constant price)</t>
  </si>
  <si>
    <t>CY+4|
$000 (Difference between nominal and constant price)|
May be Commission only</t>
  </si>
  <si>
    <t>CY+5|
$000 (Difference between nominal and constant price)|
May be Commission only</t>
  </si>
  <si>
    <t>Current Year|
Number of P2P end-user connections within POI area</t>
  </si>
  <si>
    <t>3 Year Forecast|
Number of P2P end users within POI area|
Commission only</t>
  </si>
  <si>
    <t>5 Year Forecast|
Number of P2P end users within POI area|
Commission only</t>
  </si>
  <si>
    <t>Current Year|
Number of PON end-users from CO</t>
  </si>
  <si>
    <t>3 Year Forecast|
Number of PON end-users from CO|
Commission only</t>
  </si>
  <si>
    <t>5 Year Forecast|
Number of PON end-users from CO|
Commission only</t>
  </si>
  <si>
    <t>3 Year Forecast Central office (CO) to fibre flexibility point (FFPs), with percentage fill greater than 85%|
Commission only</t>
  </si>
  <si>
    <t>5 Year Forecast Central office (CO) to fibre flexibility point (FFPs), with percentage fill greater than 85%|
Commission only</t>
  </si>
  <si>
    <t>3 Year Forecast Permises Passed|
Commission only</t>
  </si>
  <si>
    <t>5 Year Forecast Permises Passed|
Commission only</t>
  </si>
  <si>
    <t>Asset Age Profile|
No. with default dates</t>
  </si>
  <si>
    <t>Number of connections|
Current Year CY|
Commission only</t>
  </si>
  <si>
    <t>Number of connections|
CY+1|
Commission only</t>
  </si>
  <si>
    <t>Number of connections|
CY+2|
Commission only</t>
  </si>
  <si>
    <t>Number of connections|
CY+3|
Commission only</t>
  </si>
  <si>
    <t>Number of connections|
CY+4|
Commission only</t>
  </si>
  <si>
    <t>Number of connections|
CY+5|
Commission only</t>
  </si>
  <si>
    <t>Demand by POI area|
Current Year CY|
Commission only</t>
  </si>
  <si>
    <t>Demand by POI area|
CY+1|
Commission only</t>
  </si>
  <si>
    <t>Demand by POI area|
CY+2|
Commission only</t>
  </si>
  <si>
    <t>Demand by POI area|
CY+3|
Commission only</t>
  </si>
  <si>
    <t>Demand by POI area|
CY+4|
Commission only</t>
  </si>
  <si>
    <t>Demand by POI area|
CY+5|
Commission only</t>
  </si>
  <si>
    <t>Average demand by POI area (gigabits per second)</t>
  </si>
  <si>
    <t>Average to peak ratio</t>
  </si>
  <si>
    <t>Average to Peak Ratio by POI area|
Current Year CY</t>
  </si>
  <si>
    <t>Average to Peak Ratio by POI area|
CY+1</t>
  </si>
  <si>
    <t>Average to Peak Ratio by POI area|
CY+2</t>
  </si>
  <si>
    <t>Average to Peak Ratio by POI area|
CY+3</t>
  </si>
  <si>
    <t>Average to Peak Ratio by POI area|
CY+4</t>
  </si>
  <si>
    <t>Average to Peak Ratio by POI area|
CY+5</t>
  </si>
  <si>
    <t>Aggregate coincident maximum peak demand across all ports by POI area (gigabits per second)</t>
  </si>
  <si>
    <t>From row 44 below</t>
  </si>
  <si>
    <t>`</t>
  </si>
  <si>
    <t>Regulatory tax asset value of assets commissioned</t>
  </si>
  <si>
    <t>Regulatory tax asset value of asset disposals</t>
  </si>
  <si>
    <t>Other adjustments to the RAB tax value</t>
  </si>
  <si>
    <t>plus*</t>
  </si>
  <si>
    <t>less*</t>
  </si>
  <si>
    <t>*   Workings to be provided in Schedule 14A</t>
  </si>
  <si>
    <t>$B$3:$E$26</t>
  </si>
  <si>
    <t>$A$30:$F$30</t>
  </si>
  <si>
    <t>$A$90:$O$113</t>
  </si>
  <si>
    <t>S4d.ID-only RAB Value Rolled F</t>
  </si>
  <si>
    <t>S8b.Crown financing &amp; NDI</t>
  </si>
  <si>
    <t>S10b.ID-only Asset Register</t>
  </si>
  <si>
    <t>13(i): Asset Management Capability, Self Assessment Questions</t>
  </si>
  <si>
    <t>13(ii): Asset Management capability, Description of Practices for Collecting and Managing Network Asset Data, Making Risk-Based Decisions and Managing Cost Estimation Models</t>
  </si>
  <si>
    <t>Current year|
Number of COs</t>
  </si>
  <si>
    <t>Percentage of total regulatory income where associated FFLAS services were provided at a value less than if the transaction was an arm's-length transaction.</t>
  </si>
  <si>
    <t>Forecast cost of assets to be replaced in next 5 years $000</t>
  </si>
  <si>
    <t>(Commission only)</t>
  </si>
  <si>
    <t>test</t>
  </si>
  <si>
    <t>Total FFLAS revenue</t>
  </si>
  <si>
    <t>Total wash-up accruals</t>
  </si>
  <si>
    <t>Wash-up accruals in operating revenue relating to previous disclosure years</t>
  </si>
  <si>
    <t>Wash-up accruals in respect of current disclosure year</t>
  </si>
  <si>
    <t>Difference including wash-up accruals in respect of current disclosure year</t>
  </si>
  <si>
    <t>Schedule title</t>
  </si>
  <si>
    <t>Original allocation or line items</t>
  </si>
  <si>
    <t>New allocation or line items</t>
  </si>
  <si>
    <t>Original allocation|
CY-1|
($000)</t>
  </si>
  <si>
    <t>Original allocation|
Current Year (CY)|
($000)</t>
  </si>
  <si>
    <t>New allocation|
CY-1|
($000)</t>
  </si>
  <si>
    <t>New allocation|
Current Year (CY)|
($000)</t>
  </si>
  <si>
    <t>Change in cost allocation</t>
  </si>
  <si>
    <t>† include additional rows if needed</t>
  </si>
  <si>
    <t>Difference|
CY-1|
($000)</t>
  </si>
  <si>
    <t>Difference|
Current Year (CY)|
($000)</t>
  </si>
  <si>
    <t>Change in asset value allocation</t>
  </si>
  <si>
    <t>SCHEDULE 1a:  REPORT ON ID FFLAS RETURN ON INVESTMENT</t>
  </si>
  <si>
    <t>SCHEDULE 1b:  REPORT ON PQ FFLAS RETURN ON INVESTMENT</t>
  </si>
  <si>
    <t>SCHEDULE 1c:  REPORT ON ID-ONLY FFLAS RETURN ON INVESTMENT</t>
  </si>
  <si>
    <t>SCHEDULE 2:  REPORT ON REGULATORY PROFIT</t>
  </si>
  <si>
    <t>SCHEDULE 3:  REPORT ON REGULATORY TAX ALLOWANCE</t>
  </si>
  <si>
    <t>SCHEDULE 4a:  REPORT ON ASSET ALLOCATIONS</t>
  </si>
  <si>
    <t>SCHEDULE 4b:  REPORT ON VALUE OF THE ID FFLAS REGULATORY ASSET BASE ROLLED FORWARD</t>
  </si>
  <si>
    <t>SCHEDULE 4c:  REPORT ON VLUE OF THE PQ FFLAS REGULATORY ASSET BASE ROLLED FORWARD</t>
  </si>
  <si>
    <t>SCHEDULE 4d:  REPORT ON VALUE OF THE ID-ONLY FFLAS REGULATORY ASSET BASE ROLLED FORWARD</t>
  </si>
  <si>
    <t>SCHEDULE 5:  REPORT ON OPERATING EXPENDITURE</t>
  </si>
  <si>
    <t>SCHEDULE 5a:  REPORT ON COST ALLOCATIONS</t>
  </si>
  <si>
    <t>SCHEDULE 6:  REPORT ON CAPITAL EXPENDITURE</t>
  </si>
  <si>
    <t>SCHEDULE 7:  REPORT ON COMPARISON OF FORECAST TO ACTUAL EXPENDITURE</t>
  </si>
  <si>
    <t>SCHEDULE 8a:  REPORT ON TERM CREDIT SPREAD DIFFERENTIAL ALLOWANCE</t>
  </si>
  <si>
    <t>SCHEDULE 8b:  REPORT ON CROWN FINANCING AND NOTIONAL DEDUCTIBLE INTEREST</t>
  </si>
  <si>
    <t>SCHEDULE 9:  REPORT ON RELATED PARTY TRANSACTIONS</t>
  </si>
  <si>
    <t>SCHEDULE 10a:  REPORT ON FORECAST OPERATING EXPENDITURE</t>
  </si>
  <si>
    <t>SCHEDULE 10b:  REPORT ON ID-ONLY FFLAS ASSET REGISTER</t>
  </si>
  <si>
    <t>SCHEDULE 11:  REPORT ON FORECAST CAPITAL EXPENDITURE</t>
  </si>
  <si>
    <t>SCHEDULE 11a:  REPORT ON FORECAST OPERATING EXPENDITURE</t>
  </si>
  <si>
    <t>SCHEDULE 12:  REPORT ON FORECAST CAPACITY AND UTILISATION</t>
  </si>
  <si>
    <t>SCHEDULE 12a:  REPORT ON FORECAST NETWORK DEMAND</t>
  </si>
  <si>
    <t>SCHEDULE 13:  REPORT ON ASSET MANAGEMENT CAPABILITY</t>
  </si>
  <si>
    <t>SCHEDULE 13:  REPORT ON ASSET NANAGEMENT CAPABILITY</t>
  </si>
  <si>
    <t xml:space="preserve">                                    DRAFT</t>
  </si>
  <si>
    <t>Draft Non-material layout changes</t>
  </si>
  <si>
    <t>v3, 30 November 2023</t>
  </si>
  <si>
    <t>Section_short</t>
  </si>
  <si>
    <t>tb_00_cover_sheet</t>
  </si>
  <si>
    <t>tb_00_toc</t>
  </si>
  <si>
    <t>$A$4:$H$10</t>
  </si>
  <si>
    <t>$A$16:$F$27</t>
  </si>
  <si>
    <t>$A$32:$F$38</t>
  </si>
  <si>
    <t>$A$4:$H$11</t>
  </si>
  <si>
    <t>$A$4:$H$8</t>
  </si>
  <si>
    <t>$A$32:$F$36</t>
  </si>
  <si>
    <t>$A$4:$H$17</t>
  </si>
  <si>
    <t>$A$22:$H$26</t>
  </si>
  <si>
    <t>$A$31:$F$31</t>
  </si>
  <si>
    <t>$A$38:$F$38</t>
  </si>
  <si>
    <t>$A$43:$F$48</t>
  </si>
  <si>
    <t>$A$4:$H$23</t>
  </si>
  <si>
    <t>$A$40:$H$43</t>
  </si>
  <si>
    <t>$A$48:$H$54</t>
  </si>
  <si>
    <t>$A$4:$H$58</t>
  </si>
  <si>
    <t>$A$63:$N$73</t>
  </si>
  <si>
    <t>$A$4:$J$11</t>
  </si>
  <si>
    <t>$A$16:$G$29</t>
  </si>
  <si>
    <t>$A$36:$F$37</t>
  </si>
  <si>
    <t>$A$47:$G$50</t>
  </si>
  <si>
    <t>$A$56:$G$60</t>
  </si>
  <si>
    <t>$A$42:$F$42</t>
  </si>
  <si>
    <t>$A$65:$F$65</t>
  </si>
  <si>
    <t>$A$4:$J$10</t>
  </si>
  <si>
    <t>$A$16:$G$28</t>
  </si>
  <si>
    <t>$A$77:$I$84</t>
  </si>
  <si>
    <t>$A$4:$G$15</t>
  </si>
  <si>
    <t>$A$20:$G$21</t>
  </si>
  <si>
    <t>$A$4:$H$30</t>
  </si>
  <si>
    <t>$A$35:$E$37</t>
  </si>
  <si>
    <t>$A$42:$N$52</t>
  </si>
  <si>
    <t>$A$4:$H$28</t>
  </si>
  <si>
    <t>$A$33:$H$38</t>
  </si>
  <si>
    <t>$A$43:$H$43</t>
  </si>
  <si>
    <t>$A$4:$J$9</t>
  </si>
  <si>
    <t>$A$14:$J$35</t>
  </si>
  <si>
    <t>$A$40:$J$51</t>
  </si>
  <si>
    <t>$A$56:$J$57</t>
  </si>
  <si>
    <t>$A$4:$M$10</t>
  </si>
  <si>
    <t>$A$15:$G$19</t>
  </si>
  <si>
    <t>$A$24:$H$24</t>
  </si>
  <si>
    <t>$A$32:$F$37</t>
  </si>
  <si>
    <t>$A$4:$H$27</t>
  </si>
  <si>
    <t>$A$4:$E$6</t>
  </si>
  <si>
    <t>$A$50:$E$65</t>
  </si>
  <si>
    <t>$A$41:$E$45</t>
  </si>
  <si>
    <t>$A$11:$E$34</t>
  </si>
  <si>
    <t>$A$4:$AP$33</t>
  </si>
  <si>
    <t>$A$4:$AP$22</t>
  </si>
  <si>
    <t>$A$4:$J$30</t>
  </si>
  <si>
    <t>$A$35:$J$60</t>
  </si>
  <si>
    <t>$A$65:$J$90</t>
  </si>
  <si>
    <t>$A$95:$J$100</t>
  </si>
  <si>
    <t>$A$4:$J$17</t>
  </si>
  <si>
    <t>$A$22:$J$33</t>
  </si>
  <si>
    <t>$A$38:$J$49</t>
  </si>
  <si>
    <t>$A$4:$P$30</t>
  </si>
  <si>
    <t>$A$4:$K$26</t>
  </si>
  <si>
    <t>$A$31:$K$60</t>
  </si>
  <si>
    <t>$A$65:$K$91</t>
  </si>
  <si>
    <t>$A$96:$K$122</t>
  </si>
  <si>
    <t>$A$4:$P$34</t>
  </si>
  <si>
    <t>$A$4:$H$15</t>
  </si>
  <si>
    <t>Category1</t>
  </si>
  <si>
    <t>Category2</t>
  </si>
  <si>
    <t>Category1|
Level 1 category</t>
  </si>
  <si>
    <t>Category1|
Name of related party</t>
  </si>
  <si>
    <t>Category2|
Level 2 category</t>
  </si>
  <si>
    <t>Category2|
Nature of service</t>
  </si>
  <si>
    <t>Category3</t>
  </si>
  <si>
    <t>Category4</t>
  </si>
  <si>
    <t>To prepare the templates for disclosure, the date of the last day of the current (disclosure) year should be entered in cell C13, and the date on which the information is disclosed should be entered in cell C11 of the CoverSheet worksheet.</t>
  </si>
  <si>
    <t>Schedule 4b and Schedule 4c cells L90:L112 and L113 will change colour if the RAB values do not equal the corresponding values in table 4b(ii) and table 4c(ii).Schedule 4d cells L91:L111 and L112 will change colour if the RAB values do not equal the corresponding values in table 4d(ii).</t>
  </si>
  <si>
    <t>The column labelled row of each table can be used to reference individual rows of the schedule. It may be useful to refer to a row when writing explanatory notes about a specific data point.</t>
  </si>
  <si>
    <t>The cell C11 entry (Disclosure Year, Year ended) is used to calculate disclosure years in the column headings that show above some of the tables and in labels adjacent to some entry cells. Dates should be entered in day/month/year order (Example "31 December 2021").</t>
  </si>
  <si>
    <t>tb_13_13i_13.01_1</t>
  </si>
  <si>
    <t>tb_13_13ii_13.02_1</t>
  </si>
  <si>
    <t>tb_00_styles</t>
  </si>
  <si>
    <t xml:space="preserve">1. Coversheet
2. Schedules 8a, 8b, 3
3. Schedules 4a, 5a
4. Schedules 5, 6
5. Schedule 2
6. Schedule 4b, 4c, 4d
7. Schedule 7
8. Schedules 1a, 1b, 1c, 9
9. All remaining Schedules                                                                                                                                                                                                                                                                                                                                                       </t>
  </si>
  <si>
    <t>Regulatory taxable income</t>
  </si>
  <si>
    <t>Total opening RAB value subject to revaluation</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</si>
  <si>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</si>
  <si>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t>
  </si>
  <si>
    <t>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t>
  </si>
  <si>
    <t>Widely used AM practice standards require an organisation maintain up to date documentation that ensures that its asset management systems (ie, the systems the organisation has in place to meet the standards) can be understood, communicated and operated.</t>
  </si>
  <si>
    <t>*  The 'unallocated RAB' is the total value of those assets used wholly or partially to provide FFLAS services without any allowance being made for the allocation of costs to services provided by the supplier that are not FFLAS services.  The RAB value represents the value of these assets after applying this cost allocation.  Neither value includes works under construction.</t>
  </si>
  <si>
    <t>Depreciation - GAAP</t>
  </si>
  <si>
    <t>Understanding asset criticality and the impact that asset has on supply reliability if it fails is a key input into intervention prioritisation.</t>
  </si>
  <si>
    <t>Project and programme costs estimation is a key component of robust asset and project investment decision making.</t>
  </si>
  <si>
    <t>Category1|
POI Area</t>
  </si>
  <si>
    <t>Asset mangament</t>
  </si>
  <si>
    <t>Insurance</t>
  </si>
  <si>
    <t>Research and development</t>
  </si>
  <si>
    <t>plus Cost of financing</t>
  </si>
  <si>
    <t>Volumes for new fibre investment|
Closing Volume</t>
  </si>
  <si>
    <t>Senior debt - Crown financing</t>
  </si>
  <si>
    <t>Subordinated debt - Crown financing</t>
  </si>
  <si>
    <t>Gross term credit spread differential</t>
  </si>
  <si>
    <t>Debt issue cost readjustment</t>
  </si>
  <si>
    <t>Non-financial</t>
  </si>
  <si>
    <t>From Previous year's closing connection volumes</t>
  </si>
  <si>
    <t>From Report on Forecast Network Demand</t>
  </si>
  <si>
    <t>ID-Only|
Actual ($000)</t>
  </si>
  <si>
    <r>
      <t>PQ-FFLAS|
Forecast ($000)</t>
    </r>
    <r>
      <rPr>
        <b/>
        <vertAlign val="superscript"/>
        <sz val="12"/>
        <color theme="0"/>
        <rFont val="Calibri"/>
        <family val="2"/>
        <scheme val="minor"/>
      </rPr>
      <t>2</t>
    </r>
  </si>
  <si>
    <r>
      <t>ID-Only|
Forecast ($000)</t>
    </r>
    <r>
      <rPr>
        <b/>
        <vertAlign val="superscript"/>
        <sz val="12"/>
        <color theme="0"/>
        <rFont val="Calibri"/>
        <family val="2"/>
        <scheme val="minor"/>
      </rPr>
      <t>2</t>
    </r>
  </si>
  <si>
    <t>PQ-FFLAS|
Target ($000) ¹</t>
  </si>
  <si>
    <t>ID-Only|
Target ($000) ¹</t>
  </si>
  <si>
    <t>Total operating expenditure</t>
  </si>
  <si>
    <t>Cost of financing</t>
  </si>
  <si>
    <t>Total expenditure</t>
  </si>
  <si>
    <t>Interest</t>
  </si>
  <si>
    <t>This section is linked with Sch 1 and 4c and can be completed after once those are completed</t>
  </si>
  <si>
    <t>Pass-through costs</t>
  </si>
  <si>
    <t>PQ FFLAS|
Actual (%)</t>
  </si>
  <si>
    <t>WACC rate used to set regulatory price path</t>
  </si>
  <si>
    <t>Current period tax losses</t>
  </si>
  <si>
    <t>Closing tax losses</t>
  </si>
  <si>
    <t>S1b.PQ FFLAS IRR</t>
  </si>
  <si>
    <t>REPORT ON OPERATING EXPENDITURE</t>
  </si>
  <si>
    <t>S12a.Demand Forecast</t>
  </si>
  <si>
    <t>[describe category of asset]</t>
  </si>
  <si>
    <t>$A$90:$N$112</t>
  </si>
  <si>
    <t>This Schedule requires a summary of the quantity of PQ FFLAS assets that make up the network, by asset category and asset class, the estimated condition of the assets, a forecast of the percentage of assets to be replaced and the age profile of assets.</t>
  </si>
  <si>
    <t>This Schedule requires a summary of the quantity of ID-only assets that make up the network, by asset category and asset class, the estimated condition of the assets, a forecast of the percentage of assets to be replaced and the age profile of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</si>
</sst>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164" formatCode="_(&quot;$&quot;* #,##0.00_);_(&quot;$&quot;* \(#,##0.00\);_(&quot;$&quot;* &quot;-&quot;??_);_(@_)"/>
    <numFmt numFmtId="165" formatCode="_(&quot;$&quot;* #,##0_);_(&quot;$&quot;* \(#,##0\);_(&quot;$&quot;* &quot;-&quot;_);_(@_)"/>
    <numFmt numFmtId="166" formatCode="_(* #,##0_);_(* \(#,##0\);_(* &quot;-&quot;_);_(@_)"/>
    <numFmt numFmtId="167" formatCode="_(* #,##0.00_);_(* \(#,##0.00\);_(* &quot;-&quot;??_);_(@_)"/>
    <numFmt numFmtId="168" formatCode="&quot;$&quot;#,##0_);[Red]\(&quot;$&quot;#,##0\)"/>
    <numFmt numFmtId="169" formatCode="[$-1409]d\ mmmm\ yyyy"/>
    <numFmt numFmtId="170" formatCode="_-* #,##0_-;\-* #,##0_-;_-* &quot;-&quot;??_-;_-@_-"/>
    <numFmt numFmtId="171" formatCode="_(* #,##0_);_(* \(#,##0\);_(* &quot;-&quot;??_);_(@_)"/>
    <numFmt numFmtId="172" formatCode="#,##0\ ;\(#,##0\);\-"/>
    <numFmt numFmtId="173" formatCode="[$-1409]d\ mmm\ yy"/>
    <numFmt numFmtId="174" formatCode="_(\ #,##0.00%_);\ _(\–#,##0.00%_);_(\ &quot;–&quot;??_);_(\ @_)"/>
    <numFmt numFmtId="175" formatCode="_(\ \+#,##0.00%_);\ _(\–#,##0.00%_);_(\ &quot;–&quot;??_);_(\ @_)"/>
    <numFmt numFmtId="176" formatCode="_(\ #,##0.00000_);_ \(#,##0.00000\);_(\ &quot;–&quot;??_);_(\ @_)"/>
    <numFmt numFmtId="177" formatCode="_(\ #,##0_);_ \(#,##0\);_(\ &quot;–&quot;??_);_(\ @_)"/>
    <numFmt numFmtId="178" formatCode="_(* #,##0_);_(* \(#,##0\);_(* &quot;–&quot;??_);_(* @_)"/>
    <numFmt numFmtId="179" formatCode="0.0%"/>
    <numFmt numFmtId="180" formatCode="_(* #,##0.0_);_(* \(#,##0.0\);_(* &quot;-&quot;_);_(@_)"/>
    <numFmt numFmtId="181" formatCode="_(\ #,##0.0_);_ \(#,##0.0\);_(\ &quot;–&quot;??_);_(\ @_)"/>
    <numFmt numFmtId="182" formatCode="_(* #,##0.00_);_(* \(#,##0.00\);_(* &quot;-&quot;_);_(@_)"/>
    <numFmt numFmtId="183" formatCode="_(* #,##0.000_);_(* \(#,##0.000\);_(* &quot;-&quot;_);_(@_)"/>
    <numFmt numFmtId="184" formatCode="_(\ #,##0.00_);_ \(#,##0.00\);_(\ &quot;–&quot;??_);_(\ @_)"/>
    <numFmt numFmtId="185" formatCode="_(\ #,##0.000000_);_ \(#,##0.000000\);_(\ &quot;–&quot;??_);_(\ @_)"/>
    <numFmt numFmtId="186" formatCode="#,##0.000000"/>
    <numFmt numFmtId="187" formatCode="0.000000"/>
    <numFmt numFmtId="188" formatCode="&quot;$&quot;#,##0.00_);[Red]\(&quot;$&quot;#,##0.00\)"/>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font>
    <font>
      <b/>
      <sz val="18"/>
      <color indexed="8"/>
      <name val="Calibri"/>
      <family val="1"/>
    </font>
    <font>
      <b/>
      <sz val="16"/>
      <color indexed="8"/>
      <name val="Calibri"/>
      <family val="1"/>
    </font>
    <font>
      <b/>
      <sz val="12"/>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b/>
      <sz val="10"/>
      <color rgb="FFFF0000"/>
      <name val="Calibri"/>
      <family val="2"/>
    </font>
    <font>
      <b/>
      <sz val="10"/>
      <color indexed="8"/>
      <name val="Calibri"/>
      <family val="2"/>
    </font>
    <font>
      <sz val="10"/>
      <color rgb="FFFF0000"/>
      <name val="Calibri"/>
      <family val="2"/>
    </font>
    <font>
      <b/>
      <sz val="12"/>
      <color indexed="8"/>
      <name val="Calibri"/>
      <family val="2"/>
    </font>
    <font>
      <b/>
      <sz val="10"/>
      <color theme="1"/>
      <name val="Calibri"/>
      <family val="2"/>
      <scheme val="minor"/>
    </font>
    <font>
      <sz val="10"/>
      <color indexed="8"/>
      <name val="Calibri"/>
      <family val="1"/>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
      <sz val="10"/>
      <name val="Calibri"/>
      <family val="2"/>
      <scheme val="minor"/>
    </font>
    <font>
      <b/>
      <sz val="10"/>
      <name val="Calibri"/>
      <family val="2"/>
      <scheme val="minor"/>
    </font>
    <font>
      <i/>
      <sz val="10"/>
      <name val="Calibri"/>
      <family val="2"/>
      <scheme val="minor"/>
    </font>
    <font>
      <sz val="11"/>
      <name val="Calibri"/>
      <family val="2"/>
      <scheme val="minor"/>
    </font>
    <font>
      <sz val="8"/>
      <name val="Calibri"/>
      <family val="2"/>
      <scheme val="minor"/>
    </font>
    <font>
      <i/>
      <sz val="11"/>
      <name val="Calibri"/>
      <family val="2"/>
      <scheme val="minor"/>
    </font>
    <font>
      <sz val="11"/>
      <color rgb="FFFF0000"/>
      <name val="Calibri"/>
      <family val="2"/>
      <scheme val="minor"/>
    </font>
    <font>
      <sz val="10"/>
      <color theme="1"/>
      <name val="Calibri"/>
      <family val="2"/>
      <scheme val="minor"/>
    </font>
    <font>
      <b/>
      <sz val="11"/>
      <color theme="0"/>
      <name val="Calibri"/>
      <family val="2"/>
      <scheme val="minor"/>
    </font>
    <font>
      <b/>
      <sz val="11"/>
      <color theme="3"/>
      <name val="Calibri"/>
      <family val="2"/>
      <scheme val="minor"/>
    </font>
    <font>
      <sz val="10"/>
      <name val="Calibri"/>
      <family val="4"/>
      <scheme val="minor"/>
    </font>
    <font>
      <b/>
      <sz val="10"/>
      <name val="Calibri"/>
      <family val="2"/>
    </font>
    <font>
      <u/>
      <sz val="11"/>
      <color theme="1"/>
      <name val="Calibri"/>
      <family val="2"/>
      <scheme val="minor"/>
    </font>
    <font>
      <sz val="11"/>
      <color theme="0"/>
      <name val="Calibri"/>
      <family val="2"/>
      <scheme val="minor"/>
    </font>
    <font>
      <b/>
      <sz val="12"/>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u/>
      <sz val="11"/>
      <color theme="10"/>
      <name val="Calibri"/>
      <family val="2"/>
      <scheme val="minor"/>
    </font>
    <font>
      <i/>
      <sz val="10"/>
      <color theme="1"/>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6"/>
      <name val="Calibri"/>
      <family val="4"/>
      <scheme val="minor"/>
    </font>
    <font>
      <b/>
      <sz val="16"/>
      <color theme="7"/>
      <name val="Calibri"/>
      <family val="2"/>
      <scheme val="minor"/>
    </font>
    <font>
      <b/>
      <sz val="11"/>
      <name val="Calibri"/>
      <family val="2"/>
      <scheme val="minor"/>
    </font>
    <font>
      <b/>
      <sz val="18"/>
      <name val="Calibri"/>
      <family val="2"/>
      <scheme val="minor"/>
    </font>
    <font>
      <b/>
      <sz val="14"/>
      <color rgb="FFFF0000"/>
      <name val="Calibri"/>
      <family val="2"/>
    </font>
    <font>
      <sz val="11"/>
      <color theme="5" tint="-0.499984740745262"/>
      <name val="Calibri"/>
      <family val="2"/>
      <scheme val="minor"/>
    </font>
    <font>
      <sz val="10"/>
      <color theme="5" tint="-0.499984740745262"/>
      <name val="Calibri"/>
      <family val="2"/>
      <scheme val="minor"/>
    </font>
    <font>
      <b/>
      <vertAlign val="superscript"/>
      <sz val="12"/>
      <color theme="0"/>
      <name val="Calibri"/>
      <family val="2"/>
      <scheme val="minor"/>
    </font>
  </fonts>
  <fills count="4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4"/>
        <bgColor theme="4"/>
      </patternFill>
    </fill>
    <fill>
      <patternFill patternType="solid">
        <fgColor theme="0" tint="-0.24994659260841701"/>
        <bgColor indexed="64"/>
      </patternFill>
    </fill>
    <fill>
      <patternFill patternType="solid">
        <fgColor rgb="FFCCFFCC"/>
        <bgColor indexed="64"/>
      </patternFill>
    </fill>
    <fill>
      <patternFill patternType="solid">
        <fgColor theme="7" tint="0.39994506668294322"/>
        <bgColor indexed="64"/>
      </patternFill>
    </fill>
    <fill>
      <patternFill patternType="solid">
        <fgColor theme="5" tint="0.79998168889431442"/>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7"/>
        <bgColor indexed="64"/>
      </patternFill>
    </fill>
    <fill>
      <patternFill patternType="solid">
        <fgColor theme="1" tint="0.499984740745262"/>
        <bgColor indexed="64"/>
      </patternFill>
    </fill>
    <fill>
      <patternFill patternType="solid">
        <fgColor theme="0" tint="-0.14996795556505021"/>
        <bgColor indexed="64"/>
      </patternFill>
    </fill>
  </fills>
  <borders count="31">
    <border>
      <left/>
      <right/>
      <top/>
      <bottom/>
      <diagonal/>
    </border>
    <border>
      <left/>
      <right/>
      <top style="thin">
        <color auto="1"/>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dotted">
        <color theme="5"/>
      </left>
      <right/>
      <top style="thin">
        <color theme="4" tint="0.39997558519241921"/>
      </top>
      <bottom style="thin">
        <color theme="4" tint="0.39997558519241921"/>
      </bottom>
      <diagonal/>
    </border>
    <border>
      <left/>
      <right/>
      <top/>
      <bottom style="medium">
        <color theme="4" tint="0.39997558519241921"/>
      </bottom>
      <diagonal/>
    </border>
    <border>
      <left/>
      <right/>
      <top/>
      <bottom style="thin">
        <color theme="4" tint="0.3999755851924192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auto="1"/>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s>
  <cellStyleXfs count="65">
    <xf numFmtId="0" fontId="0" fillId="0" borderId="0"/>
    <xf numFmtId="169" fontId="8" fillId="0" borderId="0" applyFont="0" applyFill="0" applyBorder="0" applyAlignment="0" applyProtection="0">
      <protection locked="0"/>
    </xf>
    <xf numFmtId="0" fontId="19" fillId="0" borderId="0" applyNumberFormat="0" applyFill="0" applyAlignment="0"/>
    <xf numFmtId="0" fontId="26" fillId="42" borderId="0" applyNumberFormat="0" applyBorder="0"/>
    <xf numFmtId="0" fontId="1" fillId="43" borderId="0" applyNumberFormat="0" applyBorder="0"/>
    <xf numFmtId="167" fontId="1" fillId="0" borderId="0" applyFont="0" applyFill="0" applyBorder="0" applyAlignment="0" applyProtection="0"/>
    <xf numFmtId="173" fontId="21" fillId="0" borderId="0" applyFont="0" applyFill="0" applyBorder="0" applyAlignment="0" applyProtection="0"/>
    <xf numFmtId="174" fontId="8" fillId="0" borderId="0" applyFont="0" applyFill="0" applyBorder="0" applyAlignment="0" applyProtection="0">
      <protection locked="0"/>
    </xf>
    <xf numFmtId="0" fontId="32" fillId="0" borderId="13" applyNumberFormat="0" applyFill="0" applyAlignment="0" applyProtection="0"/>
    <xf numFmtId="0" fontId="25" fillId="4" borderId="0" applyFill="0" applyBorder="0"/>
    <xf numFmtId="0" fontId="1" fillId="3" borderId="0" applyNumberFormat="0" applyBorder="0"/>
    <xf numFmtId="166" fontId="1" fillId="0" borderId="0" applyFont="0" applyFill="0" applyBorder="0" applyAlignment="0" applyProtection="0"/>
    <xf numFmtId="9" fontId="1" fillId="0" borderId="0" applyFont="0" applyFill="0" applyBorder="0" applyAlignment="0" applyProtection="0"/>
    <xf numFmtId="0" fontId="33" fillId="7" borderId="0" applyFill="0" applyBorder="0">
      <alignment vertical="top" wrapText="1"/>
    </xf>
    <xf numFmtId="172" fontId="1" fillId="8" borderId="12" applyNumberFormat="0" applyBorder="0"/>
    <xf numFmtId="0" fontId="1" fillId="0" borderId="0" applyNumberFormat="0" applyBorder="0">
      <alignment horizontal="left" indent="2"/>
    </xf>
    <xf numFmtId="0" fontId="24" fillId="7" borderId="15" applyNumberFormat="0" applyFont="0" applyBorder="0" applyAlignment="0">
      <alignment horizontal="center" vertical="center" wrapText="1"/>
    </xf>
    <xf numFmtId="0" fontId="1" fillId="9" borderId="0" applyNumberFormat="0"/>
    <xf numFmtId="0" fontId="37" fillId="5" borderId="14" applyNumberFormat="0" applyFill="0">
      <alignment horizontal="center" vertical="center" wrapText="1"/>
    </xf>
    <xf numFmtId="0" fontId="38" fillId="0" borderId="0" applyNumberFormat="0" applyFill="0" applyBorder="0" applyAlignment="0" applyProtection="0"/>
    <xf numFmtId="0" fontId="39" fillId="0" borderId="21" applyNumberFormat="0" applyFill="0" applyAlignment="0" applyProtection="0"/>
    <xf numFmtId="0" fontId="40" fillId="0" borderId="22" applyNumberFormat="0" applyFill="0" applyAlignment="0" applyProtection="0"/>
    <xf numFmtId="0" fontId="32" fillId="0" borderId="0" applyNumberFormat="0" applyFill="0" applyBorder="0" applyAlignment="0" applyProtection="0"/>
    <xf numFmtId="0" fontId="41" fillId="10" borderId="0" applyNumberFormat="0" applyBorder="0" applyAlignment="0" applyProtection="0"/>
    <xf numFmtId="0" fontId="42" fillId="11" borderId="23" applyNumberFormat="0" applyAlignment="0" applyProtection="0"/>
    <xf numFmtId="0" fontId="43" fillId="12" borderId="24" applyNumberForma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5" fillId="0" borderId="0" applyNumberFormat="0" applyFill="0" applyBorder="0" applyAlignment="0" applyProtection="0"/>
    <xf numFmtId="165" fontId="1" fillId="0" borderId="0" applyFont="0" applyFill="0" applyBorder="0" applyAlignment="0" applyProtection="0"/>
    <xf numFmtId="0" fontId="47" fillId="31" borderId="0" applyNumberFormat="0" applyBorder="0" applyAlignment="0" applyProtection="0"/>
    <xf numFmtId="0" fontId="48" fillId="32" borderId="0" applyNumberFormat="0" applyBorder="0" applyAlignment="0" applyProtection="0"/>
    <xf numFmtId="0" fontId="49" fillId="12" borderId="23" applyNumberFormat="0" applyAlignment="0" applyProtection="0"/>
    <xf numFmtId="0" fontId="50" fillId="0" borderId="25" applyNumberFormat="0" applyFill="0" applyAlignment="0" applyProtection="0"/>
    <xf numFmtId="0" fontId="31" fillId="33" borderId="26" applyNumberFormat="0" applyAlignment="0" applyProtection="0"/>
    <xf numFmtId="0" fontId="29" fillId="0" borderId="0" applyNumberFormat="0" applyFill="0" applyBorder="0" applyAlignment="0" applyProtection="0"/>
    <xf numFmtId="0" fontId="1" fillId="34" borderId="27" applyNumberFormat="0" applyFont="0" applyAlignment="0" applyProtection="0"/>
    <xf numFmtId="0" fontId="44" fillId="0" borderId="0" applyNumberFormat="0" applyFill="0" applyBorder="0" applyAlignment="0" applyProtection="0"/>
    <xf numFmtId="0" fontId="2" fillId="0" borderId="28" applyNumberFormat="0" applyFill="0" applyAlignment="0" applyProtection="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51" fillId="7" borderId="0" applyNumberFormat="0" applyFill="0" applyBorder="0" applyAlignment="0" applyProtection="0"/>
    <xf numFmtId="0" fontId="54" fillId="0" borderId="0" applyFill="0" applyProtection="0">
      <alignment horizontal="left" vertical="center"/>
    </xf>
    <xf numFmtId="164" fontId="1" fillId="0" borderId="0" applyFont="0" applyFill="0" applyBorder="0" applyAlignment="0" applyProtection="0"/>
    <xf numFmtId="0" fontId="24" fillId="4" borderId="0" applyFill="0" applyBorder="0">
      <alignment horizontal="left"/>
    </xf>
  </cellStyleXfs>
  <cellXfs count="243">
    <xf numFmtId="0" fontId="0" fillId="0" borderId="0" xfId="0"/>
    <xf numFmtId="0" fontId="0" fillId="2" borderId="1" xfId="0" applyFill="1" applyBorder="1"/>
    <xf numFmtId="0" fontId="3" fillId="2" borderId="2" xfId="0" applyFont="1" applyFill="1" applyBorder="1"/>
    <xf numFmtId="0" fontId="3" fillId="2" borderId="0" xfId="0" applyFont="1" applyFill="1"/>
    <xf numFmtId="0" fontId="4" fillId="2" borderId="2" xfId="0" applyFont="1" applyFill="1" applyBorder="1" applyAlignment="1">
      <alignment horizontal="centerContinuous"/>
    </xf>
    <xf numFmtId="0" fontId="3" fillId="2" borderId="0" xfId="0" applyFont="1" applyFill="1" applyAlignment="1">
      <alignment horizontal="centerContinuous"/>
    </xf>
    <xf numFmtId="0" fontId="5" fillId="2" borderId="2" xfId="0" applyFont="1" applyFill="1" applyBorder="1" applyAlignment="1">
      <alignment horizontal="centerContinuous"/>
    </xf>
    <xf numFmtId="0" fontId="6" fillId="2" borderId="2" xfId="0" applyFont="1" applyFill="1" applyBorder="1" applyAlignment="1">
      <alignment horizontal="centerContinuous" vertical="center" wrapText="1"/>
    </xf>
    <xf numFmtId="0" fontId="7" fillId="2" borderId="0" xfId="0" applyFont="1" applyFill="1" applyAlignment="1">
      <alignment horizontal="left" vertical="top" indent="1"/>
    </xf>
    <xf numFmtId="169" fontId="9" fillId="3" borderId="4" xfId="1" applyFont="1" applyFill="1" applyBorder="1" applyAlignment="1">
      <alignment horizontal="left" indent="1"/>
      <protection locked="0"/>
    </xf>
    <xf numFmtId="0" fontId="0" fillId="2" borderId="0" xfId="0" applyFill="1"/>
    <xf numFmtId="0" fontId="7" fillId="2" borderId="2" xfId="0" applyFont="1" applyFill="1" applyBorder="1" applyAlignment="1">
      <alignment horizontal="centerContinuous"/>
    </xf>
    <xf numFmtId="0" fontId="10" fillId="2" borderId="0" xfId="0" applyFont="1" applyFill="1" applyAlignment="1">
      <alignment horizontal="centerContinuous"/>
    </xf>
    <xf numFmtId="0" fontId="11" fillId="2" borderId="2" xfId="0" applyFont="1" applyFill="1" applyBorder="1" applyAlignment="1">
      <alignment horizontal="centerContinuous"/>
    </xf>
    <xf numFmtId="0" fontId="13" fillId="2" borderId="0" xfId="0" applyFont="1" applyFill="1" applyAlignment="1">
      <alignment horizontal="left"/>
    </xf>
    <xf numFmtId="0" fontId="3" fillId="2" borderId="0" xfId="0" applyFont="1" applyFill="1" applyAlignment="1">
      <alignment horizontal="center"/>
    </xf>
    <xf numFmtId="0" fontId="3" fillId="2" borderId="0" xfId="0" applyFont="1" applyFill="1" applyAlignment="1">
      <alignment horizontal="left"/>
    </xf>
    <xf numFmtId="0" fontId="14" fillId="2" borderId="0" xfId="0" applyFont="1" applyFill="1" applyAlignment="1">
      <alignment horizontal="left"/>
    </xf>
    <xf numFmtId="0" fontId="3" fillId="2" borderId="1" xfId="0" applyFont="1" applyFill="1" applyBorder="1"/>
    <xf numFmtId="0" fontId="15" fillId="2" borderId="0" xfId="0" applyFont="1" applyFill="1"/>
    <xf numFmtId="0" fontId="0" fillId="2" borderId="2" xfId="0" applyFill="1" applyBorder="1"/>
    <xf numFmtId="0" fontId="17" fillId="0" borderId="1" xfId="0" applyFont="1" applyBorder="1" applyAlignment="1">
      <alignment vertical="top"/>
    </xf>
    <xf numFmtId="0" fontId="18" fillId="2" borderId="2" xfId="0" applyFont="1" applyFill="1" applyBorder="1"/>
    <xf numFmtId="0" fontId="19" fillId="0" borderId="0" xfId="2" applyFill="1" applyAlignment="1">
      <alignment horizontal="left" vertical="top"/>
    </xf>
    <xf numFmtId="0" fontId="3" fillId="0" borderId="0" xfId="0" applyFont="1" applyAlignment="1">
      <alignment horizontal="left" vertical="top" wrapText="1"/>
    </xf>
    <xf numFmtId="0" fontId="0" fillId="2" borderId="0" xfId="0" applyFill="1" applyAlignment="1">
      <alignment horizontal="left" vertical="top"/>
    </xf>
    <xf numFmtId="0" fontId="20" fillId="2" borderId="0" xfId="2" applyFont="1" applyFill="1" applyAlignment="1">
      <alignment horizontal="left" vertical="top"/>
    </xf>
    <xf numFmtId="0" fontId="3" fillId="2" borderId="0" xfId="0" applyFont="1" applyFill="1" applyAlignment="1">
      <alignment horizontal="left" vertical="top" wrapText="1"/>
    </xf>
    <xf numFmtId="0" fontId="21" fillId="2" borderId="0" xfId="0" applyFont="1" applyFill="1" applyAlignment="1">
      <alignment horizontal="left" vertical="top" wrapText="1"/>
    </xf>
    <xf numFmtId="0" fontId="22" fillId="2" borderId="0" xfId="0" applyFont="1" applyFill="1" applyAlignment="1">
      <alignment horizontal="left" vertical="top" wrapText="1"/>
    </xf>
    <xf numFmtId="0" fontId="2" fillId="0" borderId="0" xfId="0" applyFont="1"/>
    <xf numFmtId="0" fontId="0" fillId="0" borderId="0" xfId="0" applyAlignment="1">
      <alignment wrapText="1"/>
    </xf>
    <xf numFmtId="0" fontId="0" fillId="0" borderId="0" xfId="0" applyAlignment="1">
      <alignment horizontal="left" wrapText="1"/>
    </xf>
    <xf numFmtId="0" fontId="3" fillId="0" borderId="0" xfId="0" applyFont="1"/>
    <xf numFmtId="0" fontId="26" fillId="0" borderId="0" xfId="0" applyFont="1" applyAlignment="1">
      <alignment horizontal="left" indent="2"/>
    </xf>
    <xf numFmtId="173" fontId="0" fillId="0" borderId="0" xfId="0" applyNumberFormat="1"/>
    <xf numFmtId="0" fontId="30" fillId="0" borderId="0" xfId="0" applyFont="1" applyAlignment="1">
      <alignment horizontal="left" indent="1"/>
    </xf>
    <xf numFmtId="0" fontId="29" fillId="0" borderId="0" xfId="0" applyFont="1" applyAlignment="1">
      <alignment horizontal="left" indent="2"/>
    </xf>
    <xf numFmtId="0" fontId="0" fillId="0" borderId="0" xfId="0" applyAlignment="1">
      <alignment horizontal="left" indent="2"/>
    </xf>
    <xf numFmtId="0" fontId="30" fillId="0" borderId="0" xfId="0" applyFont="1"/>
    <xf numFmtId="0" fontId="0" fillId="0" borderId="1" xfId="0" applyBorder="1"/>
    <xf numFmtId="0" fontId="0" fillId="0" borderId="2" xfId="0" applyBorder="1"/>
    <xf numFmtId="0" fontId="0" fillId="0" borderId="3" xfId="0" applyBorder="1"/>
    <xf numFmtId="174" fontId="0" fillId="0" borderId="0" xfId="0" applyNumberFormat="1"/>
    <xf numFmtId="0" fontId="16" fillId="0" borderId="3" xfId="0" applyFont="1" applyBorder="1" applyAlignment="1">
      <alignment horizontal="center"/>
    </xf>
    <xf numFmtId="0" fontId="0" fillId="0" borderId="2" xfId="0" applyBorder="1" applyAlignment="1">
      <alignment horizontal="left" indent="1"/>
    </xf>
    <xf numFmtId="171" fontId="0" fillId="0" borderId="3" xfId="5" applyNumberFormat="1" applyFont="1" applyBorder="1" applyAlignment="1" applyProtection="1"/>
    <xf numFmtId="0" fontId="29" fillId="0" borderId="0" xfId="0" applyFont="1"/>
    <xf numFmtId="175" fontId="0" fillId="0" borderId="3" xfId="7" applyNumberFormat="1" applyFont="1" applyFill="1" applyBorder="1" applyProtection="1"/>
    <xf numFmtId="174" fontId="0" fillId="0" borderId="3" xfId="7" applyFont="1" applyFill="1" applyBorder="1" applyProtection="1"/>
    <xf numFmtId="176" fontId="0" fillId="0" borderId="3" xfId="0" applyNumberFormat="1" applyBorder="1"/>
    <xf numFmtId="0" fontId="0" fillId="0" borderId="7" xfId="0" applyBorder="1"/>
    <xf numFmtId="0" fontId="16" fillId="0" borderId="0" xfId="0" applyFont="1" applyAlignment="1">
      <alignment horizontal="center"/>
    </xf>
    <xf numFmtId="0" fontId="16" fillId="0" borderId="9" xfId="0" applyFont="1" applyBorder="1" applyAlignment="1">
      <alignment horizontal="centerContinuous"/>
    </xf>
    <xf numFmtId="0" fontId="16" fillId="0" borderId="2" xfId="0" applyFont="1" applyBorder="1" applyAlignment="1">
      <alignment horizontal="center"/>
    </xf>
    <xf numFmtId="171" fontId="0" fillId="0" borderId="2" xfId="5" applyNumberFormat="1" applyFont="1" applyBorder="1" applyAlignment="1" applyProtection="1"/>
    <xf numFmtId="0" fontId="0" fillId="0" borderId="5" xfId="0" applyBorder="1"/>
    <xf numFmtId="0" fontId="16" fillId="0" borderId="9" xfId="0" applyFont="1" applyBorder="1" applyAlignment="1">
      <alignment horizontal="left" indent="1"/>
    </xf>
    <xf numFmtId="0" fontId="16" fillId="0" borderId="1" xfId="0" applyFont="1" applyBorder="1" applyAlignment="1">
      <alignment horizontal="center"/>
    </xf>
    <xf numFmtId="173" fontId="0" fillId="0" borderId="3" xfId="6" applyFont="1" applyBorder="1" applyAlignment="1"/>
    <xf numFmtId="176" fontId="0" fillId="0" borderId="2" xfId="0" applyNumberFormat="1" applyBorder="1"/>
    <xf numFmtId="166" fontId="0" fillId="0" borderId="0" xfId="0" applyNumberFormat="1"/>
    <xf numFmtId="0" fontId="22" fillId="0" borderId="0" xfId="0" applyFont="1" applyAlignment="1">
      <alignment horizontal="left" indent="2"/>
    </xf>
    <xf numFmtId="0" fontId="21" fillId="0" borderId="13" xfId="8" applyFont="1" applyFill="1" applyAlignment="1">
      <alignment horizontal="left"/>
    </xf>
    <xf numFmtId="0" fontId="25" fillId="0" borderId="0" xfId="9" applyFill="1"/>
    <xf numFmtId="166" fontId="1" fillId="3" borderId="0" xfId="10" applyNumberFormat="1" applyBorder="1"/>
    <xf numFmtId="177" fontId="1" fillId="3" borderId="0" xfId="10" applyNumberFormat="1" applyBorder="1"/>
    <xf numFmtId="0" fontId="24" fillId="7" borderId="15" xfId="13" applyFont="1" applyBorder="1" applyAlignment="1">
      <alignment horizontal="center" vertical="center" wrapText="1"/>
    </xf>
    <xf numFmtId="0" fontId="24" fillId="7" borderId="16" xfId="13" applyFont="1" applyBorder="1" applyAlignment="1">
      <alignment horizontal="center" vertical="center" wrapText="1"/>
    </xf>
    <xf numFmtId="166" fontId="33" fillId="7" borderId="17" xfId="11" applyFont="1" applyFill="1" applyBorder="1" applyAlignment="1" applyProtection="1">
      <alignment vertical="top" wrapText="1"/>
    </xf>
    <xf numFmtId="0" fontId="33" fillId="7" borderId="18" xfId="13" applyBorder="1">
      <alignment vertical="top" wrapText="1"/>
    </xf>
    <xf numFmtId="0" fontId="33" fillId="7" borderId="17" xfId="13" applyBorder="1">
      <alignment vertical="top" wrapText="1"/>
    </xf>
    <xf numFmtId="166" fontId="33" fillId="7" borderId="19" xfId="11" applyFont="1" applyFill="1" applyBorder="1" applyAlignment="1" applyProtection="1">
      <alignment vertical="top" wrapText="1"/>
    </xf>
    <xf numFmtId="0" fontId="33" fillId="7" borderId="19" xfId="13" applyBorder="1">
      <alignment vertical="top" wrapText="1"/>
    </xf>
    <xf numFmtId="0" fontId="0" fillId="3" borderId="0" xfId="10" applyFont="1" applyBorder="1"/>
    <xf numFmtId="166" fontId="1" fillId="43" borderId="0" xfId="4" applyNumberFormat="1" applyBorder="1"/>
    <xf numFmtId="0" fontId="1" fillId="0" borderId="0" xfId="15">
      <alignment horizontal="left" indent="2"/>
    </xf>
    <xf numFmtId="0" fontId="34" fillId="7" borderId="0" xfId="16" applyFont="1" applyBorder="1" applyAlignment="1">
      <alignment horizontal="center" wrapText="1"/>
    </xf>
    <xf numFmtId="166" fontId="26" fillId="42" borderId="0" xfId="3" applyNumberFormat="1" applyBorder="1"/>
    <xf numFmtId="0" fontId="0" fillId="2" borderId="9" xfId="0" applyFill="1" applyBorder="1"/>
    <xf numFmtId="0" fontId="3" fillId="2" borderId="9" xfId="0" applyFont="1" applyFill="1" applyBorder="1"/>
    <xf numFmtId="0" fontId="3" fillId="2" borderId="8" xfId="0" applyFont="1" applyFill="1" applyBorder="1"/>
    <xf numFmtId="0" fontId="3" fillId="2" borderId="9" xfId="0" applyFont="1" applyFill="1" applyBorder="1" applyAlignment="1">
      <alignment horizontal="left" vertical="top" wrapText="1"/>
    </xf>
    <xf numFmtId="0" fontId="26" fillId="42" borderId="0" xfId="3" applyBorder="1"/>
    <xf numFmtId="171" fontId="0" fillId="7" borderId="10" xfId="16" applyNumberFormat="1" applyFont="1" applyBorder="1" applyAlignment="1"/>
    <xf numFmtId="171" fontId="0" fillId="7" borderId="11" xfId="16" applyNumberFormat="1" applyFont="1" applyBorder="1" applyAlignment="1"/>
    <xf numFmtId="0" fontId="1" fillId="0" borderId="0" xfId="15" applyNumberFormat="1">
      <alignment horizontal="left" indent="2"/>
    </xf>
    <xf numFmtId="166" fontId="1" fillId="0" borderId="0" xfId="15" applyNumberFormat="1">
      <alignment horizontal="left" indent="2"/>
    </xf>
    <xf numFmtId="0" fontId="0" fillId="7" borderId="0" xfId="16" applyFont="1" applyBorder="1" applyAlignment="1"/>
    <xf numFmtId="0" fontId="16" fillId="0" borderId="0" xfId="0" applyFont="1" applyAlignment="1">
      <alignment horizontal="centerContinuous"/>
    </xf>
    <xf numFmtId="0" fontId="0" fillId="0" borderId="0" xfId="0" applyAlignment="1">
      <alignment horizontal="centerContinuous"/>
    </xf>
    <xf numFmtId="0" fontId="16" fillId="0" borderId="0" xfId="0" applyFont="1" applyAlignment="1">
      <alignment horizontal="left"/>
    </xf>
    <xf numFmtId="171" fontId="0" fillId="0" borderId="0" xfId="5" applyNumberFormat="1" applyFont="1" applyBorder="1"/>
    <xf numFmtId="0" fontId="0" fillId="0" borderId="9" xfId="0" applyBorder="1" applyAlignment="1">
      <alignment horizontal="left" indent="1"/>
    </xf>
    <xf numFmtId="0" fontId="0" fillId="0" borderId="20" xfId="0" applyBorder="1"/>
    <xf numFmtId="166" fontId="0" fillId="0" borderId="0" xfId="11" applyFont="1" applyBorder="1" applyAlignment="1" applyProtection="1"/>
    <xf numFmtId="166" fontId="0" fillId="0" borderId="3" xfId="11" applyFont="1" applyBorder="1" applyAlignment="1" applyProtection="1"/>
    <xf numFmtId="0" fontId="0" fillId="0" borderId="6" xfId="0" applyBorder="1"/>
    <xf numFmtId="0" fontId="16" fillId="0" borderId="20" xfId="0" applyFont="1" applyBorder="1" applyAlignment="1">
      <alignment horizontal="center"/>
    </xf>
    <xf numFmtId="182" fontId="0" fillId="0" borderId="0" xfId="0" applyNumberFormat="1"/>
    <xf numFmtId="185" fontId="0" fillId="0" borderId="0" xfId="0" applyNumberFormat="1"/>
    <xf numFmtId="186" fontId="0" fillId="0" borderId="0" xfId="0" applyNumberFormat="1"/>
    <xf numFmtId="166" fontId="29" fillId="0" borderId="0" xfId="0" applyNumberFormat="1" applyFont="1"/>
    <xf numFmtId="187" fontId="0" fillId="0" borderId="0" xfId="0" applyNumberFormat="1"/>
    <xf numFmtId="166" fontId="26" fillId="0" borderId="0" xfId="0" applyNumberFormat="1" applyFont="1"/>
    <xf numFmtId="177" fontId="29" fillId="0" borderId="0" xfId="0" applyNumberFormat="1" applyFont="1"/>
    <xf numFmtId="182" fontId="29" fillId="0" borderId="0" xfId="0" applyNumberFormat="1" applyFont="1"/>
    <xf numFmtId="184" fontId="29" fillId="0" borderId="0" xfId="0" applyNumberFormat="1" applyFont="1"/>
    <xf numFmtId="181" fontId="29" fillId="0" borderId="0" xfId="0" applyNumberFormat="1" applyFont="1"/>
    <xf numFmtId="174" fontId="29" fillId="0" borderId="0" xfId="0" applyNumberFormat="1" applyFont="1"/>
    <xf numFmtId="0" fontId="35" fillId="0" borderId="0" xfId="0" applyFont="1"/>
    <xf numFmtId="0" fontId="1" fillId="9" borderId="0" xfId="17"/>
    <xf numFmtId="173" fontId="0" fillId="0" borderId="0" xfId="6" applyFont="1" applyBorder="1" applyAlignment="1"/>
    <xf numFmtId="0" fontId="16" fillId="0" borderId="1" xfId="0" applyFont="1" applyBorder="1" applyAlignment="1">
      <alignment horizontal="centerContinuous"/>
    </xf>
    <xf numFmtId="0" fontId="16" fillId="0" borderId="1" xfId="0" applyFont="1" applyBorder="1"/>
    <xf numFmtId="0" fontId="0" fillId="0" borderId="20" xfId="0" applyBorder="1" applyAlignment="1">
      <alignment horizontal="centerContinuous"/>
    </xf>
    <xf numFmtId="174" fontId="0" fillId="0" borderId="5" xfId="7" applyFont="1" applyFill="1" applyBorder="1" applyProtection="1"/>
    <xf numFmtId="174" fontId="0" fillId="0" borderId="7" xfId="7" applyFont="1" applyFill="1" applyBorder="1" applyProtection="1"/>
    <xf numFmtId="0" fontId="16" fillId="0" borderId="6" xfId="0" applyFont="1" applyBorder="1"/>
    <xf numFmtId="0" fontId="37" fillId="0" borderId="14" xfId="18" applyFill="1">
      <alignment horizontal="center" vertical="center" wrapText="1"/>
    </xf>
    <xf numFmtId="0" fontId="21" fillId="0" borderId="0" xfId="0" applyFont="1" applyAlignment="1">
      <alignment horizontal="left" vertical="top" wrapText="1"/>
    </xf>
    <xf numFmtId="49" fontId="26" fillId="0" borderId="9" xfId="0" applyNumberFormat="1" applyFont="1" applyBorder="1" applyAlignment="1">
      <alignment horizontal="center" vertical="center"/>
    </xf>
    <xf numFmtId="49" fontId="26" fillId="0" borderId="2" xfId="0" applyNumberFormat="1" applyFont="1" applyBorder="1" applyAlignment="1">
      <alignment horizontal="center" vertical="center"/>
    </xf>
    <xf numFmtId="0" fontId="26" fillId="0" borderId="2" xfId="0" applyFont="1" applyBorder="1" applyAlignment="1">
      <alignment horizontal="center" vertical="center"/>
    </xf>
    <xf numFmtId="0" fontId="23" fillId="0" borderId="1" xfId="0" applyFont="1" applyBorder="1" applyAlignment="1">
      <alignment horizontal="left" vertical="top" wrapText="1"/>
    </xf>
    <xf numFmtId="0" fontId="23" fillId="0" borderId="0" xfId="0" applyFont="1" applyAlignment="1">
      <alignment horizontal="left" vertical="top" wrapText="1"/>
    </xf>
    <xf numFmtId="0" fontId="2" fillId="0" borderId="9" xfId="0" applyFont="1" applyBorder="1" applyAlignment="1">
      <alignment horizontal="left" indent="1"/>
    </xf>
    <xf numFmtId="0" fontId="46" fillId="0" borderId="0" xfId="0" applyFont="1"/>
    <xf numFmtId="0" fontId="51" fillId="0" borderId="0" xfId="61" applyFill="1" applyAlignment="1">
      <alignment horizontal="right"/>
    </xf>
    <xf numFmtId="0" fontId="51" fillId="0" borderId="0" xfId="61" applyFill="1"/>
    <xf numFmtId="0" fontId="37" fillId="5" borderId="14" xfId="18">
      <alignment horizontal="center" vertical="center" wrapText="1"/>
    </xf>
    <xf numFmtId="0" fontId="37" fillId="0" borderId="14" xfId="18" quotePrefix="1" applyFill="1">
      <alignment horizontal="center" vertical="center" wrapText="1"/>
    </xf>
    <xf numFmtId="168" fontId="37" fillId="0" borderId="14" xfId="18" quotePrefix="1" applyNumberFormat="1" applyFill="1">
      <alignment horizontal="center" vertical="center" wrapText="1"/>
    </xf>
    <xf numFmtId="168" fontId="37" fillId="0" borderId="14" xfId="18" applyNumberFormat="1" applyFill="1">
      <alignment horizontal="center" vertical="center" wrapText="1"/>
    </xf>
    <xf numFmtId="49" fontId="37" fillId="0" borderId="14" xfId="18" applyNumberFormat="1" applyFill="1">
      <alignment horizontal="center" vertical="center" wrapText="1"/>
    </xf>
    <xf numFmtId="0" fontId="37" fillId="0" borderId="14" xfId="18" applyFill="1" applyAlignment="1">
      <alignment horizontal="center" vertical="center"/>
    </xf>
    <xf numFmtId="0" fontId="26" fillId="0" borderId="0" xfId="0" applyFont="1" applyAlignment="1">
      <alignment horizontal="left" vertical="center" wrapText="1"/>
    </xf>
    <xf numFmtId="0" fontId="26" fillId="0" borderId="1" xfId="0" applyFont="1" applyBorder="1" applyAlignment="1">
      <alignment horizontal="left" vertical="center" wrapText="1"/>
    </xf>
    <xf numFmtId="0" fontId="1" fillId="8" borderId="0" xfId="14" applyNumberFormat="1" applyBorder="1"/>
    <xf numFmtId="14" fontId="1" fillId="8" borderId="0" xfId="14" applyNumberFormat="1" applyBorder="1"/>
    <xf numFmtId="171" fontId="1" fillId="8" borderId="0" xfId="14" applyNumberFormat="1" applyBorder="1"/>
    <xf numFmtId="166" fontId="1" fillId="8" borderId="0" xfId="14" applyNumberFormat="1" applyBorder="1"/>
    <xf numFmtId="9" fontId="1" fillId="8" borderId="0" xfId="14" applyNumberFormat="1" applyBorder="1"/>
    <xf numFmtId="0" fontId="52" fillId="0" borderId="0" xfId="61" applyFont="1" applyFill="1"/>
    <xf numFmtId="0" fontId="37" fillId="41" borderId="14" xfId="18" applyFill="1">
      <alignment horizontal="center" vertical="center" wrapText="1"/>
    </xf>
    <xf numFmtId="0" fontId="2" fillId="0" borderId="0" xfId="4" applyFont="1" applyFill="1" applyBorder="1"/>
    <xf numFmtId="0" fontId="54" fillId="0" borderId="0" xfId="62">
      <alignment horizontal="left" vertical="center"/>
    </xf>
    <xf numFmtId="0" fontId="1" fillId="0" borderId="0" xfId="15" applyAlignment="1">
      <alignment horizontal="left" wrapText="1" indent="2"/>
    </xf>
    <xf numFmtId="0" fontId="0" fillId="0" borderId="0" xfId="15" applyFont="1">
      <alignment horizontal="left" indent="2"/>
    </xf>
    <xf numFmtId="0" fontId="12" fillId="2" borderId="0" xfId="0" applyFont="1" applyFill="1" applyAlignment="1">
      <alignment horizontal="left" vertical="center"/>
    </xf>
    <xf numFmtId="0" fontId="55" fillId="2" borderId="0" xfId="0" applyFont="1" applyFill="1" applyAlignment="1">
      <alignment horizontal="center" vertical="center"/>
    </xf>
    <xf numFmtId="171" fontId="0" fillId="3" borderId="0" xfId="10" applyNumberFormat="1" applyFont="1" applyBorder="1"/>
    <xf numFmtId="1" fontId="0" fillId="3" borderId="0" xfId="10" applyNumberFormat="1" applyFont="1" applyBorder="1"/>
    <xf numFmtId="171" fontId="0" fillId="43" borderId="0" xfId="4" applyNumberFormat="1" applyFont="1" applyBorder="1"/>
    <xf numFmtId="1" fontId="26" fillId="42" borderId="0" xfId="3" applyNumberFormat="1" applyBorder="1"/>
    <xf numFmtId="10" fontId="0" fillId="3" borderId="0" xfId="10" applyNumberFormat="1" applyFont="1" applyBorder="1"/>
    <xf numFmtId="171" fontId="1" fillId="3" borderId="0" xfId="10" applyNumberFormat="1" applyBorder="1"/>
    <xf numFmtId="1" fontId="1" fillId="3" borderId="0" xfId="10" applyNumberFormat="1" applyBorder="1"/>
    <xf numFmtId="171" fontId="1" fillId="43" borderId="0" xfId="4" applyNumberFormat="1" applyBorder="1"/>
    <xf numFmtId="10" fontId="1" fillId="43" borderId="0" xfId="4" applyNumberFormat="1" applyBorder="1"/>
    <xf numFmtId="0" fontId="26" fillId="42" borderId="0" xfId="3" applyNumberFormat="1" applyBorder="1"/>
    <xf numFmtId="10" fontId="0" fillId="43" borderId="0" xfId="4" applyNumberFormat="1" applyFont="1" applyBorder="1"/>
    <xf numFmtId="0" fontId="26" fillId="0" borderId="0" xfId="0" applyFont="1"/>
    <xf numFmtId="170" fontId="1" fillId="43" borderId="0" xfId="4" applyNumberFormat="1" applyBorder="1"/>
    <xf numFmtId="0" fontId="36" fillId="42" borderId="0" xfId="3" applyNumberFormat="1" applyFont="1" applyBorder="1"/>
    <xf numFmtId="10" fontId="1" fillId="3" borderId="0" xfId="10" applyNumberFormat="1" applyBorder="1"/>
    <xf numFmtId="172" fontId="1" fillId="8" borderId="0" xfId="14" applyNumberFormat="1" applyBorder="1"/>
    <xf numFmtId="0" fontId="2" fillId="0" borderId="0" xfId="0" applyFont="1" applyAlignment="1">
      <alignment wrapText="1"/>
    </xf>
    <xf numFmtId="174" fontId="1" fillId="3" borderId="0" xfId="10" applyNumberFormat="1" applyBorder="1"/>
    <xf numFmtId="174" fontId="1" fillId="43" borderId="0" xfId="4" applyNumberFormat="1" applyBorder="1"/>
    <xf numFmtId="0" fontId="1" fillId="3" borderId="0" xfId="10" applyBorder="1"/>
    <xf numFmtId="172" fontId="1" fillId="43" borderId="0" xfId="4" applyNumberFormat="1" applyBorder="1"/>
    <xf numFmtId="172" fontId="29" fillId="43" borderId="0" xfId="4" applyNumberFormat="1" applyFont="1" applyBorder="1"/>
    <xf numFmtId="172" fontId="1" fillId="3" borderId="0" xfId="10" applyNumberFormat="1" applyBorder="1"/>
    <xf numFmtId="0" fontId="1" fillId="3" borderId="0" xfId="10" applyBorder="1" applyAlignment="1">
      <alignment wrapText="1"/>
    </xf>
    <xf numFmtId="177" fontId="1" fillId="43" borderId="0" xfId="4" applyNumberFormat="1" applyBorder="1"/>
    <xf numFmtId="171" fontId="26" fillId="42" borderId="0" xfId="3" applyNumberFormat="1" applyBorder="1"/>
    <xf numFmtId="177" fontId="26" fillId="42" borderId="0" xfId="3" applyNumberFormat="1" applyBorder="1"/>
    <xf numFmtId="182" fontId="1" fillId="43" borderId="0" xfId="4" applyNumberFormat="1" applyBorder="1"/>
    <xf numFmtId="174" fontId="0" fillId="3" borderId="0" xfId="10" applyNumberFormat="1" applyFont="1" applyBorder="1"/>
    <xf numFmtId="180" fontId="1" fillId="43" borderId="0" xfId="4" applyNumberFormat="1" applyBorder="1"/>
    <xf numFmtId="183" fontId="1" fillId="43" borderId="0" xfId="4" applyNumberFormat="1" applyBorder="1"/>
    <xf numFmtId="177" fontId="26" fillId="43" borderId="0" xfId="4" applyNumberFormat="1" applyFont="1" applyBorder="1"/>
    <xf numFmtId="0" fontId="53" fillId="0" borderId="0" xfId="0" applyFont="1"/>
    <xf numFmtId="9" fontId="1" fillId="6" borderId="0" xfId="12" applyFill="1" applyBorder="1"/>
    <xf numFmtId="178" fontId="1" fillId="3" borderId="0" xfId="10" applyNumberFormat="1" applyBorder="1"/>
    <xf numFmtId="9" fontId="1" fillId="43" borderId="0" xfId="4" applyNumberFormat="1" applyBorder="1"/>
    <xf numFmtId="0" fontId="26" fillId="3" borderId="0" xfId="10" applyFont="1" applyBorder="1"/>
    <xf numFmtId="179" fontId="1" fillId="43" borderId="0" xfId="4" applyNumberFormat="1" applyBorder="1"/>
    <xf numFmtId="0" fontId="2" fillId="3" borderId="0" xfId="10" applyFont="1" applyBorder="1"/>
    <xf numFmtId="0" fontId="53" fillId="3" borderId="0" xfId="10" applyFont="1" applyBorder="1"/>
    <xf numFmtId="3" fontId="26" fillId="43" borderId="0" xfId="4" applyNumberFormat="1" applyFont="1" applyBorder="1"/>
    <xf numFmtId="0" fontId="26" fillId="0" borderId="0" xfId="0" applyFont="1" applyAlignment="1">
      <alignment wrapText="1"/>
    </xf>
    <xf numFmtId="0" fontId="1" fillId="43" borderId="0" xfId="4" applyBorder="1"/>
    <xf numFmtId="0" fontId="0" fillId="43" borderId="0" xfId="4" applyFont="1" applyBorder="1"/>
    <xf numFmtId="3" fontId="1" fillId="3" borderId="0" xfId="10" applyNumberFormat="1" applyBorder="1"/>
    <xf numFmtId="9" fontId="1" fillId="3" borderId="0" xfId="10" applyNumberFormat="1" applyBorder="1"/>
    <xf numFmtId="0" fontId="29" fillId="42" borderId="0" xfId="3" applyFont="1" applyBorder="1"/>
    <xf numFmtId="170" fontId="1" fillId="3" borderId="0" xfId="10" applyNumberFormat="1" applyBorder="1"/>
    <xf numFmtId="170" fontId="1" fillId="8" borderId="0" xfId="14" applyNumberFormat="1" applyBorder="1"/>
    <xf numFmtId="3" fontId="1" fillId="8" borderId="0" xfId="14" applyNumberFormat="1" applyBorder="1"/>
    <xf numFmtId="0" fontId="1" fillId="0" borderId="0" xfId="4" applyFill="1" applyBorder="1"/>
    <xf numFmtId="167" fontId="1" fillId="43" borderId="0" xfId="4" applyNumberFormat="1" applyBorder="1"/>
    <xf numFmtId="171" fontId="0" fillId="8" borderId="0" xfId="14" applyNumberFormat="1" applyFont="1" applyBorder="1"/>
    <xf numFmtId="0" fontId="0" fillId="0" borderId="0" xfId="0" applyAlignment="1">
      <alignment vertical="top" wrapText="1"/>
    </xf>
    <xf numFmtId="0" fontId="2" fillId="0" borderId="0" xfId="0" applyFont="1" applyAlignment="1">
      <alignment horizontal="center" vertical="top" wrapText="1"/>
    </xf>
    <xf numFmtId="9" fontId="0" fillId="0" borderId="0" xfId="12" applyFont="1"/>
    <xf numFmtId="167" fontId="0" fillId="0" borderId="0" xfId="5" applyFont="1"/>
    <xf numFmtId="188" fontId="0" fillId="0" borderId="0" xfId="0" applyNumberFormat="1"/>
    <xf numFmtId="164" fontId="0" fillId="0" borderId="0" xfId="63" applyFont="1"/>
    <xf numFmtId="171" fontId="26" fillId="0" borderId="2" xfId="5" applyNumberFormat="1" applyFont="1" applyBorder="1" applyAlignment="1" applyProtection="1"/>
    <xf numFmtId="171" fontId="26" fillId="0" borderId="3" xfId="5" applyNumberFormat="1" applyFont="1" applyBorder="1" applyAlignment="1" applyProtection="1"/>
    <xf numFmtId="171" fontId="26" fillId="0" borderId="0" xfId="5" applyNumberFormat="1" applyFont="1" applyBorder="1" applyAlignment="1" applyProtection="1"/>
    <xf numFmtId="171" fontId="23" fillId="0" borderId="2" xfId="5" applyNumberFormat="1" applyFont="1" applyBorder="1" applyAlignment="1" applyProtection="1"/>
    <xf numFmtId="166" fontId="57" fillId="0" borderId="0" xfId="11" applyFont="1" applyBorder="1" applyAlignment="1" applyProtection="1"/>
    <xf numFmtId="166" fontId="26" fillId="3" borderId="0" xfId="10" applyNumberFormat="1" applyFont="1" applyBorder="1"/>
    <xf numFmtId="171" fontId="0" fillId="0" borderId="0" xfId="0" applyNumberFormat="1"/>
    <xf numFmtId="166" fontId="26" fillId="43" borderId="0" xfId="4" applyNumberFormat="1" applyFont="1" applyBorder="1"/>
    <xf numFmtId="3" fontId="1" fillId="43" borderId="0" xfId="4" applyNumberFormat="1"/>
    <xf numFmtId="0" fontId="1" fillId="43" borderId="0" xfId="4" applyNumberFormat="1" applyBorder="1"/>
    <xf numFmtId="167" fontId="26" fillId="0" borderId="0" xfId="5" applyFont="1" applyBorder="1" applyAlignment="1" applyProtection="1"/>
    <xf numFmtId="171" fontId="23" fillId="0" borderId="0" xfId="5" applyNumberFormat="1" applyFont="1" applyBorder="1" applyAlignment="1" applyProtection="1"/>
    <xf numFmtId="173" fontId="0" fillId="0" borderId="1" xfId="6" applyFont="1" applyBorder="1" applyAlignment="1"/>
    <xf numFmtId="171" fontId="26" fillId="0" borderId="1" xfId="5" applyNumberFormat="1" applyFont="1" applyBorder="1" applyAlignment="1" applyProtection="1"/>
    <xf numFmtId="171" fontId="0" fillId="0" borderId="20" xfId="5" applyNumberFormat="1" applyFont="1" applyBorder="1" applyAlignment="1" applyProtection="1"/>
    <xf numFmtId="171" fontId="26" fillId="0" borderId="9" xfId="5" applyNumberFormat="1" applyFont="1" applyBorder="1" applyAlignment="1" applyProtection="1"/>
    <xf numFmtId="171" fontId="26" fillId="0" borderId="20" xfId="5" applyNumberFormat="1" applyFont="1" applyBorder="1" applyAlignment="1" applyProtection="1"/>
    <xf numFmtId="0" fontId="16" fillId="0" borderId="9" xfId="0" applyFont="1" applyBorder="1"/>
    <xf numFmtId="0" fontId="16" fillId="0" borderId="20" xfId="0" applyFont="1" applyBorder="1"/>
    <xf numFmtId="0" fontId="16" fillId="0" borderId="2" xfId="0" applyFont="1" applyBorder="1" applyAlignment="1">
      <alignment horizontal="left"/>
    </xf>
    <xf numFmtId="171" fontId="0" fillId="0" borderId="3" xfId="5" applyNumberFormat="1" applyFont="1" applyBorder="1"/>
    <xf numFmtId="171" fontId="26" fillId="0" borderId="9" xfId="5" applyNumberFormat="1" applyFont="1" applyBorder="1"/>
    <xf numFmtId="171" fontId="26" fillId="0" borderId="2" xfId="5" applyNumberFormat="1" applyFont="1" applyBorder="1"/>
    <xf numFmtId="171" fontId="56" fillId="0" borderId="2" xfId="5" applyNumberFormat="1" applyFont="1" applyBorder="1"/>
    <xf numFmtId="175" fontId="0" fillId="0" borderId="2" xfId="7" applyNumberFormat="1" applyFont="1" applyFill="1" applyBorder="1" applyProtection="1"/>
    <xf numFmtId="174" fontId="0" fillId="0" borderId="2" xfId="7" applyFont="1" applyFill="1" applyBorder="1" applyProtection="1"/>
    <xf numFmtId="171" fontId="0" fillId="0" borderId="9" xfId="5" applyNumberFormat="1" applyFont="1" applyBorder="1" applyAlignment="1" applyProtection="1"/>
    <xf numFmtId="171" fontId="0" fillId="0" borderId="29" xfId="5" applyNumberFormat="1" applyFont="1" applyBorder="1" applyAlignment="1" applyProtection="1"/>
    <xf numFmtId="171" fontId="56" fillId="0" borderId="9" xfId="5" applyNumberFormat="1" applyFont="1" applyBorder="1"/>
    <xf numFmtId="171" fontId="0" fillId="0" borderId="2" xfId="5" applyNumberFormat="1" applyFont="1" applyBorder="1"/>
    <xf numFmtId="174" fontId="21" fillId="0" borderId="30" xfId="7" applyFont="1" applyFill="1" applyBorder="1" applyAlignment="1" applyProtection="1">
      <alignment horizontal="right"/>
    </xf>
    <xf numFmtId="174" fontId="1" fillId="3" borderId="0" xfId="10" applyNumberFormat="1"/>
    <xf numFmtId="174" fontId="1" fillId="43" borderId="0" xfId="4" applyNumberFormat="1"/>
  </cellXfs>
  <cellStyles count="65">
    <cellStyle name="20% - Accent1" xfId="26" builtinId="30" hidden="1" customBuiltin="1"/>
    <cellStyle name="20% - Accent2" xfId="29" builtinId="34" hidden="1" customBuiltin="1"/>
    <cellStyle name="20% - Accent3" xfId="32" builtinId="38" hidden="1" customBuiltin="1"/>
    <cellStyle name="20% - Accent4" xfId="35" builtinId="42" hidden="1" customBuiltin="1"/>
    <cellStyle name="20% - Accent5" xfId="38" builtinId="46" hidden="1" customBuiltin="1"/>
    <cellStyle name="20% - Accent6" xfId="41" builtinId="50" hidden="1" customBuiltin="1"/>
    <cellStyle name="40% - Accent1" xfId="27" builtinId="31" hidden="1" customBuiltin="1"/>
    <cellStyle name="40% - Accent2" xfId="30" builtinId="35" hidden="1" customBuiltin="1"/>
    <cellStyle name="40% - Accent3" xfId="33" builtinId="39" hidden="1" customBuiltin="1"/>
    <cellStyle name="40% - Accent4" xfId="36" builtinId="43" hidden="1" customBuiltin="1"/>
    <cellStyle name="40% - Accent5" xfId="39" builtinId="47" hidden="1" customBuiltin="1"/>
    <cellStyle name="40% - Accent6" xfId="42" builtinId="51" hidden="1" customBuiltin="1"/>
    <cellStyle name="60% - Accent1" xfId="28" builtinId="32" hidden="1" customBuiltin="1"/>
    <cellStyle name="60% - Accent2" xfId="31" builtinId="36" hidden="1" customBuiltin="1"/>
    <cellStyle name="60% - Accent3" xfId="34" builtinId="40" hidden="1" customBuiltin="1"/>
    <cellStyle name="60% - Accent4" xfId="37" builtinId="44" hidden="1" customBuiltin="1"/>
    <cellStyle name="60% - Accent5" xfId="40" builtinId="48" hidden="1" customBuiltin="1"/>
    <cellStyle name="60% - Accent6" xfId="43" builtinId="52" hidden="1" customBuiltin="1"/>
    <cellStyle name="Accent1" xfId="55" builtinId="29" hidden="1"/>
    <cellStyle name="Accent2" xfId="56" builtinId="33" hidden="1"/>
    <cellStyle name="Accent3" xfId="57" builtinId="37" hidden="1"/>
    <cellStyle name="Accent4" xfId="58" builtinId="41" hidden="1"/>
    <cellStyle name="Accent5" xfId="59" builtinId="45" hidden="1"/>
    <cellStyle name="Accent6" xfId="60" builtinId="49" hidden="1"/>
    <cellStyle name="Bad" xfId="47" builtinId="27" hidden="1"/>
    <cellStyle name="Blank" xfId="3" xr:uid="{CF4456BB-3FC1-43BA-8D3B-3EB379EF7DDC}"/>
    <cellStyle name="Calculation" xfId="48" builtinId="22" hidden="1"/>
    <cellStyle name="Check" xfId="16" xr:uid="{49383C3D-4D85-4B70-A4FC-42CC07EB079E}"/>
    <cellStyle name="Check Cell" xfId="50" builtinId="23" hidden="1"/>
    <cellStyle name="Comma" xfId="5" builtinId="3"/>
    <cellStyle name="Comma [0]" xfId="11" builtinId="6"/>
    <cellStyle name="Comment" xfId="9" xr:uid="{81EFC746-AE26-4399-B885-65689495F520}"/>
    <cellStyle name="Currency" xfId="63" builtinId="4"/>
    <cellStyle name="Currency [0]" xfId="45" builtinId="7" hidden="1"/>
    <cellStyle name="Data_Entry" xfId="10" xr:uid="{E0D93F44-67AA-4841-B769-E8C4DCD77FCC}"/>
    <cellStyle name="Data_entry_commission_only" xfId="14" xr:uid="{17A387AD-BA33-4B3A-B5D1-1A36187AD7DF}"/>
    <cellStyle name="Dropdowns" xfId="17" xr:uid="{FB021003-35BF-4E38-AE71-950D9852D64D}"/>
    <cellStyle name="Explanatory Text" xfId="53" builtinId="53" hidden="1"/>
    <cellStyle name="Formula" xfId="4" xr:uid="{673ECE7E-39DB-470A-9C3B-ECAE8CD94C4D}"/>
    <cellStyle name="Good" xfId="46" builtinId="26" hidden="1"/>
    <cellStyle name="Header 1" xfId="61" xr:uid="{191AAF47-63CE-483A-AFE1-B095E1C027B0}"/>
    <cellStyle name="Header Text" xfId="13" xr:uid="{A75FF8A7-7104-4144-854F-E8BA89C44640}"/>
    <cellStyle name="Heading (guidelines)" xfId="2" xr:uid="{FD4A597F-AE80-45D6-8D75-8F0FB43D6D95}"/>
    <cellStyle name="Heading 1" xfId="20" builtinId="16" hidden="1" customBuiltin="1"/>
    <cellStyle name="Heading 2" xfId="21" builtinId="17" hidden="1" customBuiltin="1"/>
    <cellStyle name="Heading 3" xfId="8" builtinId="18" customBuiltin="1"/>
    <cellStyle name="Heading 4" xfId="22" builtinId="19" hidden="1" customBuiltin="1"/>
    <cellStyle name="Heading3" xfId="64" xr:uid="{28C7D9D8-798F-4053-A8BC-C44C9913BAAC}"/>
    <cellStyle name="Hyperlink" xfId="44" builtinId="8" hidden="1" customBuiltin="1"/>
    <cellStyle name="Input" xfId="24" builtinId="20" hidden="1" customBuiltin="1"/>
    <cellStyle name="Linked Cell" xfId="49" builtinId="24" hidden="1"/>
    <cellStyle name="Long Date" xfId="1" xr:uid="{A5E2F690-564D-49CB-A5EE-36188F963744}"/>
    <cellStyle name="Neutral" xfId="23" builtinId="28" hidden="1" customBuiltin="1"/>
    <cellStyle name="Normal" xfId="0" builtinId="0" customBuiltin="1"/>
    <cellStyle name="Note" xfId="52" builtinId="10" hidden="1"/>
    <cellStyle name="Output" xfId="25" builtinId="21" hidden="1" customBuiltin="1"/>
    <cellStyle name="Percent" xfId="12" builtinId="5"/>
    <cellStyle name="Percent [2]" xfId="7" xr:uid="{8715E153-D541-4E18-8E6F-07E85DB7D9D2}"/>
    <cellStyle name="Ref" xfId="15" xr:uid="{EE33284A-1A0B-402A-85C3-9BB24ED5F614}"/>
    <cellStyle name="Sch_TItle" xfId="62" xr:uid="{25EA5F20-0BBC-4948-845C-70375D481596}"/>
    <cellStyle name="Short Date" xfId="6" xr:uid="{5263B933-246C-45BD-B9E2-CB75B36131AB}"/>
    <cellStyle name="table_headers" xfId="18" xr:uid="{9BEA7F2B-89D3-4C0E-8B11-14FB8A44DB88}"/>
    <cellStyle name="Title" xfId="19" builtinId="15" hidden="1" customBuiltin="1"/>
    <cellStyle name="Total" xfId="54" builtinId="25" hidden="1"/>
    <cellStyle name="Warning Text" xfId="51" builtinId="11" hidden="1"/>
  </cellStyles>
  <dxfs count="751">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dxf>
    <dxf>
      <fill>
        <patternFill patternType="none">
          <fgColor indexed="64"/>
          <bgColor indexed="65"/>
        </patternFill>
      </fill>
    </dxf>
    <dxf>
      <numFmt numFmtId="13" formatCode="0%"/>
    </dxf>
    <dxf>
      <numFmt numFmtId="13" formatCode="0%"/>
    </dxf>
    <dxf>
      <numFmt numFmtId="13" formatCode="0%"/>
    </dxf>
    <dxf>
      <numFmt numFmtId="13" formatCode="0%"/>
    </dxf>
    <dxf>
      <numFmt numFmtId="13" formatCode="0%"/>
    </dxf>
    <dxf>
      <numFmt numFmtId="13" formatCode="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7" tint="0.39994506668294322"/>
        </patternFill>
      </fill>
      <alignment horizontal="general" vertical="bottom"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7" tint="0.39994506668294322"/>
        </patternFill>
      </fill>
      <alignment horizontal="general" vertical="bottom"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7" tint="0.39994506668294322"/>
        </patternFill>
      </fill>
      <alignment horizontal="general" vertical="bottom" textRotation="0" wrapText="0" indent="0" justifyLastLine="0" shrinkToFit="0" readingOrder="0"/>
    </dxf>
    <dxf>
      <fill>
        <patternFill patternType="none">
          <fgColor indexed="64"/>
          <bgColor indexed="65"/>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172" formatCode="#,##0\ ;\(#,##0\);\-"/>
    </dxf>
    <dxf>
      <numFmt numFmtId="172" formatCode="#,##0\ ;\(#,##0\);\-"/>
    </dxf>
    <dxf>
      <numFmt numFmtId="172" formatCode="#,##0\ ;\(#,##0\);\-"/>
    </dxf>
    <dxf>
      <numFmt numFmtId="172" formatCode="#,##0\ ;\(#,##0\);\-"/>
    </dxf>
    <dxf>
      <numFmt numFmtId="172" formatCode="#,##0\ ;\(#,##0\);\-"/>
    </dxf>
    <dxf>
      <numFmt numFmtId="172" formatCode="#,##0\ ;\(#,##0\);\-"/>
    </dxf>
    <dxf>
      <numFmt numFmtId="172" formatCode="#,##0\ ;\(#,##0\);\-"/>
    </dxf>
    <dxf>
      <numFmt numFmtId="172" formatCode="#,##0\ ;\(#,##0\);\-"/>
    </dxf>
    <dxf>
      <numFmt numFmtId="172" formatCode="#,##0\ ;\(#,##0\);\-"/>
    </dxf>
    <dxf>
      <numFmt numFmtId="172" formatCode="#,##0\ ;\(#,##0\);\-"/>
    </dxf>
    <dxf>
      <numFmt numFmtId="172" formatCode="#,##0\ ;\(#,##0\);\-"/>
    </dxf>
    <dxf>
      <numFmt numFmtId="172" formatCode="#,##0\ ;\(#,##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ill>
        <patternFill patternType="none">
          <fgColor indexed="64"/>
          <bgColor indexed="65"/>
        </patternFill>
      </fill>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font>
        <b val="0"/>
        <i val="0"/>
        <strike val="0"/>
        <condense val="0"/>
        <extend val="0"/>
        <outline val="0"/>
        <shadow val="0"/>
        <u val="none"/>
        <vertAlign val="baseline"/>
        <sz val="11"/>
        <color auto="1"/>
        <name val="Calibri"/>
        <family val="2"/>
        <scheme val="minor"/>
      </font>
    </dxf>
    <dxf>
      <font>
        <b val="0"/>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b val="0"/>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font>
        <strike val="0"/>
        <outline val="0"/>
        <shadow val="0"/>
        <u val="none"/>
        <vertAlign val="baseline"/>
        <sz val="11"/>
        <color auto="1"/>
        <name val="Calibri"/>
        <family val="2"/>
        <scheme val="minor"/>
      </font>
      <numFmt numFmtId="172" formatCode="#,##0\ ;\(#,##0\);\-"/>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2" formatCode="#,##0\ ;\(#,##0\);\-"/>
      <fill>
        <patternFill patternType="solid">
          <fgColor indexed="64"/>
          <bgColor theme="7" tint="0.59999389629810485"/>
        </patternFill>
      </fill>
    </dxf>
    <dxf>
      <font>
        <strike val="0"/>
        <outline val="0"/>
        <shadow val="0"/>
        <u val="none"/>
        <vertAlign val="baseline"/>
        <sz val="11"/>
        <color auto="1"/>
        <name val="Calibri"/>
        <family val="2"/>
        <scheme val="minor"/>
      </font>
      <numFmt numFmtId="172" formatCode="#,##0\ ;\(#,##0\);\-"/>
      <fill>
        <patternFill patternType="solid">
          <fgColor indexed="64"/>
          <bgColor theme="7" tint="0.59999389629810485"/>
        </patternFill>
      </fill>
    </dxf>
    <dxf>
      <font>
        <strike val="0"/>
        <outline val="0"/>
        <shadow val="0"/>
        <u val="none"/>
        <vertAlign val="baseline"/>
        <sz val="11"/>
        <color auto="1"/>
        <name val="Calibri"/>
        <family val="2"/>
        <scheme val="minor"/>
      </font>
      <numFmt numFmtId="172" formatCode="#,##0\ ;\(#,##0\);\-"/>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2" formatCode="#,##0\ ;\(#,##0\);\-"/>
      <fill>
        <patternFill patternType="solid">
          <fgColor indexed="64"/>
          <bgColor theme="7" tint="0.59999389629810485"/>
        </patternFill>
      </fill>
    </dxf>
    <dxf>
      <font>
        <strike val="0"/>
        <outline val="0"/>
        <shadow val="0"/>
        <u val="none"/>
        <vertAlign val="baseline"/>
        <sz val="11"/>
        <color auto="1"/>
        <name val="Calibri"/>
        <family val="2"/>
        <scheme val="minor"/>
      </font>
      <numFmt numFmtId="172" formatCode="#,##0\ ;\(#,##0\);\-"/>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b/>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b val="0"/>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3" formatCode="0%"/>
    </dxf>
    <dxf>
      <numFmt numFmtId="166" formatCode="_(* #,##0_);_(* \(#,##0\);_(* &quot;-&quot;_);_(@_)"/>
    </dxf>
    <dxf>
      <numFmt numFmtId="166" formatCode="_(* #,##0_);_(* \(#,##0\);_(* &quot;-&quot;_);_(@_)"/>
    </dxf>
    <dxf>
      <numFmt numFmtId="166" formatCode="_(* #,##0_);_(* \(#,##0\);_(* &quot;-&quot;_);_(@_)"/>
    </dxf>
    <dxf>
      <numFmt numFmtId="166" formatCode="_(* #,##0_);_(* \(#,##0\);_(* &quot;-&quot;_);_(@_)"/>
    </dxf>
    <dxf>
      <numFmt numFmtId="0" formatCode="General"/>
    </dxf>
    <dxf>
      <fill>
        <patternFill patternType="none">
          <fgColor indexed="64"/>
          <bgColor indexed="65"/>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3" formatCode="0%"/>
    </dxf>
    <dxf>
      <numFmt numFmtId="166" formatCode="_(* #,##0_);_(* \(#,##0\);_(* &quot;-&quot;_);_(@_)"/>
    </dxf>
    <dxf>
      <numFmt numFmtId="166" formatCode="_(* #,##0_);_(* \(#,##0\);_(* &quot;-&quot;_);_(@_)"/>
    </dxf>
    <dxf>
      <numFmt numFmtId="166" formatCode="_(* #,##0_);_(* \(#,##0\);_(* &quot;-&quot;_);_(@_)"/>
    </dxf>
    <dxf>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72" formatCode="#,##0\ ;\(#,##0\);\-"/>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ill>
        <patternFill patternType="none">
          <fgColor indexed="64"/>
          <bgColor auto="1"/>
        </patternFill>
      </fill>
    </dxf>
    <dxf>
      <fill>
        <patternFill patternType="none">
          <fgColor indexed="64"/>
          <bgColor auto="1"/>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fgColor indexed="64"/>
          <bgColor indexed="65"/>
        </patternFill>
      </fill>
    </dxf>
    <dxf>
      <numFmt numFmtId="0" formatCode="General"/>
    </dxf>
    <dxf>
      <numFmt numFmtId="0" formatCode="General"/>
    </dxf>
    <dxf>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72" formatCode="#,##0\ ;\(#,##0\);\-"/>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indexed="65"/>
        </patternFill>
      </fill>
    </dxf>
    <dxf>
      <numFmt numFmtId="0" formatCode="General"/>
    </dxf>
    <dxf>
      <font>
        <strike val="0"/>
        <outline val="0"/>
        <shadow val="0"/>
        <u val="none"/>
        <vertAlign val="baseline"/>
        <sz val="11"/>
        <color rgb="FFFF0000"/>
        <name val="Calibri"/>
        <family val="2"/>
        <scheme val="minor"/>
      </font>
      <numFmt numFmtId="0" formatCode="General"/>
    </dxf>
    <dxf>
      <numFmt numFmtId="0" formatCode="General"/>
    </dxf>
    <dxf>
      <fill>
        <patternFill patternType="none">
          <fgColor indexed="64"/>
          <bgColor indexed="65"/>
        </patternFill>
      </fill>
    </dxf>
    <dxf>
      <numFmt numFmtId="171" formatCode="_(* #,##0_);_(* \(#,##0\);_(* &quot;-&quot;??_);_(@_)"/>
    </dxf>
    <dxf>
      <numFmt numFmtId="171" formatCode="_(* #,##0_);_(* \(#,##0\);_(* &quot;-&quot;??_);_(@_)"/>
    </dxf>
    <dxf>
      <font>
        <strike val="0"/>
        <outline val="0"/>
        <shadow val="0"/>
        <u val="none"/>
        <vertAlign val="baseline"/>
        <sz val="11"/>
        <color auto="1"/>
        <name val="Calibri"/>
        <family val="2"/>
        <scheme val="minor"/>
      </font>
      <numFmt numFmtId="172" formatCode="#,##0\ ;\(#,##0\);\-"/>
    </dxf>
    <dxf>
      <font>
        <b val="0"/>
        <i val="0"/>
        <strike val="0"/>
        <condense val="0"/>
        <extend val="0"/>
        <outline val="0"/>
        <shadow val="0"/>
        <u val="none"/>
        <vertAlign val="baseline"/>
        <sz val="11"/>
        <color rgb="FFFF0000"/>
        <name val="Calibri"/>
        <family val="2"/>
        <scheme val="minor"/>
      </font>
    </dxf>
    <dxf>
      <font>
        <b/>
        <i val="0"/>
        <strike val="0"/>
        <condense val="0"/>
        <extend val="0"/>
        <outline val="0"/>
        <shadow val="0"/>
        <u val="none"/>
        <vertAlign val="baseline"/>
        <sz val="11"/>
        <color auto="1"/>
        <name val="Calibri"/>
        <family val="2"/>
        <scheme val="minor"/>
      </font>
      <fill>
        <patternFill patternType="solid">
          <fgColor indexed="64"/>
          <bgColor theme="7" tint="0.5999633777886288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dxf>
    <dxf>
      <border outline="0">
        <left style="thin">
          <color theme="4" tint="0.39997558519241921"/>
        </left>
      </border>
    </dxf>
    <dxf>
      <fill>
        <patternFill patternType="none">
          <fgColor indexed="64"/>
          <bgColor indexed="65"/>
        </patternFill>
      </fill>
    </dxf>
    <dxf>
      <numFmt numFmtId="166" formatCode="_(* #,##0_);_(* \(#,##0\);_(* &quot;-&quot;_);_(@_)"/>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outline="0">
        <top style="thin">
          <color theme="4" tint="0.39997558519241921"/>
        </top>
      </border>
    </dxf>
    <dxf>
      <fill>
        <patternFill patternType="none">
          <fgColor indexed="64"/>
          <bgColor indexed="65"/>
        </patternFill>
      </fill>
    </dxf>
    <dxf>
      <font>
        <b val="0"/>
        <i val="0"/>
        <strike val="0"/>
        <condense val="0"/>
        <extend val="0"/>
        <outline val="0"/>
        <shadow val="0"/>
        <u val="none"/>
        <vertAlign val="baseline"/>
        <sz val="10"/>
        <color rgb="FF0070C0"/>
        <name val="Calibri"/>
        <family val="2"/>
        <scheme val="minor"/>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rgb="FF0070C0"/>
        <name val="Calibri"/>
        <family val="2"/>
        <scheme val="minor"/>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rgb="FF0070C0"/>
        <name val="Calibri"/>
        <family val="2"/>
        <scheme val="minor"/>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rgb="FF0070C0"/>
        <name val="Calibri"/>
        <family val="2"/>
        <scheme val="minor"/>
      </font>
      <numFmt numFmtId="171" formatCode="_(* #,##0_);_(* \(#,##0\);_(* &quot;-&quot;??_);_(@_)"/>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89" formatCode="m/d/yyyy"/>
      <alignment horizontal="general" vertical="bottom" textRotation="0" wrapText="1" indent="0" justifyLastLine="0" shrinkToFit="0" readingOrder="0"/>
    </dxf>
    <dxf>
      <numFmt numFmtId="189" formatCode="m/d/yyyy"/>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outline="0">
        <top style="thin">
          <color theme="4" tint="0.39997558519241921"/>
        </top>
      </border>
    </dxf>
    <dxf>
      <fill>
        <patternFill patternType="none">
          <fgColor indexed="64"/>
          <bgColor indexed="65"/>
        </patternFill>
      </fill>
    </dxf>
    <dxf>
      <numFmt numFmtId="13" formatCode="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0" tint="-0.24994659260841701"/>
        </patternFill>
      </fill>
      <alignment horizontal="general" vertical="bottom" textRotation="0" wrapText="0" indent="0" justifyLastLine="0" shrinkToFit="0" readingOrder="0"/>
    </dxf>
    <dxf>
      <numFmt numFmtId="13" formatCode="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0" tint="-0.2499465926084170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59996337778862885"/>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ill>
        <patternFill patternType="none">
          <fgColor indexed="64"/>
          <bgColor indexed="65"/>
        </patternFill>
      </fill>
    </dxf>
    <dxf>
      <numFmt numFmtId="13" formatCode="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0" tint="-0.24994659260841701"/>
        </patternFill>
      </fill>
      <alignment horizontal="general" vertical="bottom" textRotation="0" wrapText="0" indent="0" justifyLastLine="0" shrinkToFit="0" readingOrder="0"/>
    </dxf>
    <dxf>
      <numFmt numFmtId="171" formatCode="_(* #,##0_);_(* \(#,##0\);_(* &quot;-&quot;??_);_(@_)"/>
    </dxf>
    <dxf>
      <numFmt numFmtId="13" formatCode="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0" tint="-0.2499465926084170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59996337778862885"/>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ill>
        <patternFill patternType="none">
          <fgColor indexed="64"/>
          <bgColor indexed="65"/>
        </patternFill>
      </fill>
    </dxf>
    <dxf>
      <numFmt numFmtId="13" formatCode="0%"/>
    </dxf>
    <dxf>
      <numFmt numFmtId="171" formatCode="_(* #,##0_);_(* \(#,##0\);_(* &quot;-&quot;??_);_(@_)"/>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dxf>
    <dxf>
      <numFmt numFmtId="13" formatCode="0%"/>
    </dxf>
    <dxf>
      <numFmt numFmtId="171" formatCode="_(* #,##0_);_(* \(#,##0\);_(* &quot;-&quot;??_);_(@_)"/>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13" formatCode="0%"/>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dxf>
    <dxf>
      <numFmt numFmtId="171" formatCode="_(* #,##0_);_(* \(#,##0\);_(* &quot;-&quot;??_);_(@_)"/>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172" formatCode="#,##0\ ;\(#,##0\);\-"/>
    </dxf>
    <dxf>
      <numFmt numFmtId="172" formatCode="#,##0\ ;\(#,##0\);\-"/>
    </dxf>
    <dxf>
      <numFmt numFmtId="172" formatCode="#,##0\ ;\(#,##0\);\-"/>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fgColor indexed="64"/>
          <bgColor indexed="65"/>
        </patternFill>
      </fill>
    </dxf>
    <dxf>
      <numFmt numFmtId="172" formatCode="#,##0\ ;\(#,##0\);\-"/>
    </dxf>
    <dxf>
      <font>
        <b val="0"/>
        <i val="0"/>
        <strike val="0"/>
        <condense val="0"/>
        <extend val="0"/>
        <outline val="0"/>
        <shadow val="0"/>
        <u val="none"/>
        <vertAlign val="baseline"/>
        <sz val="11"/>
        <color auto="1"/>
        <name val="Calibri"/>
        <family val="2"/>
        <scheme val="minor"/>
      </font>
      <numFmt numFmtId="166"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66"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ill>
        <patternFill patternType="none">
          <fgColor indexed="64"/>
          <bgColor indexed="65"/>
        </patternFill>
      </fill>
    </dxf>
    <dxf>
      <numFmt numFmtId="170" formatCode="_-* #,##0_-;\-* #,##0_-;_-* &quot;-&quot;??_-;_-@_-"/>
    </dxf>
    <dxf>
      <font>
        <b val="0"/>
        <i val="0"/>
        <strike val="0"/>
        <condense val="0"/>
        <extend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b val="0"/>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auto="1"/>
        </patternFill>
      </fill>
    </dxf>
    <dxf>
      <numFmt numFmtId="0" formatCode="General"/>
    </dxf>
    <dxf>
      <fill>
        <patternFill patternType="none">
          <fgColor indexed="64"/>
          <bgColor indexed="65"/>
        </patternFill>
      </fill>
    </dxf>
    <dxf>
      <numFmt numFmtId="166" formatCode="_(* #,##0_);_(* \(#,##0\);_(* &quot;-&quot;_);_(@_)"/>
    </dxf>
    <dxf>
      <numFmt numFmtId="0" formatCode="General"/>
    </dxf>
    <dxf>
      <fill>
        <patternFill patternType="none">
          <fgColor indexed="64"/>
          <bgColor indexed="65"/>
        </patternFill>
      </fill>
    </dxf>
    <dxf>
      <numFmt numFmtId="171" formatCode="_(* #,##0_);_(* \(#,##0\);_(* &quot;-&quot;??_);_(@_)"/>
    </dxf>
    <dxf>
      <numFmt numFmtId="171" formatCode="_(* #,##0_);_(* \(#,##0\);_(* &quot;-&quot;??_);_(@_)"/>
    </dxf>
    <dxf>
      <numFmt numFmtId="171" formatCode="_(* #,##0_);_(* \(#,##0\);_(* &quot;-&quot;??_);_(@_)"/>
    </dxf>
    <dxf>
      <numFmt numFmtId="171" formatCode="_(* #,##0_);_(* \(#,##0\);_(* &quot;-&quot;??_);_(@_)"/>
    </dxf>
    <dxf>
      <numFmt numFmtId="0" formatCode="General"/>
    </dxf>
    <dxf>
      <border outline="0">
        <top style="thin">
          <color theme="4" tint="0.39997558519241921"/>
        </top>
      </border>
    </dxf>
    <dxf>
      <fill>
        <patternFill patternType="none">
          <fgColor indexed="64"/>
          <bgColor indexed="65"/>
        </patternFill>
      </fill>
    </dxf>
    <dxf>
      <numFmt numFmtId="172" formatCode="#,##0\ ;\(#,##0\);\-"/>
    </dxf>
    <dxf>
      <numFmt numFmtId="166" formatCode="_(* #,##0_);_(* \(#,##0\);_(* &quot;-&quot;_);_(@_)"/>
    </dxf>
    <dxf>
      <numFmt numFmtId="166" formatCode="_(* #,##0_);_(* \(#,##0\);_(* &quot;-&quot;_);_(@_)"/>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dxf>
    <dxf>
      <border outline="0">
        <top style="thin">
          <color theme="4" tint="0.39997558519241921"/>
        </top>
      </border>
    </dxf>
    <dxf>
      <fill>
        <patternFill patternType="none">
          <fgColor indexed="64"/>
          <bgColor indexed="65"/>
        </patternFill>
      </fill>
    </dxf>
    <dxf>
      <numFmt numFmtId="172" formatCode="#,##0\ ;\(#,##0\);\-"/>
    </dxf>
    <dxf>
      <font>
        <b val="0"/>
        <i val="0"/>
        <strike val="0"/>
        <condense val="0"/>
        <extend val="0"/>
        <outline val="0"/>
        <shadow val="0"/>
        <u val="none"/>
        <vertAlign val="baseline"/>
        <sz val="11"/>
        <color auto="1"/>
        <name val="Calibri"/>
        <family val="2"/>
        <scheme val="minor"/>
      </font>
      <numFmt numFmtId="166"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numFmt numFmtId="166" formatCode="_(* #,##0_);_(* \(#,##0\);_(* &quot;-&quot;_);_(@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border outline="0">
        <top style="thin">
          <color theme="4" tint="0.39997558519241921"/>
        </top>
      </border>
    </dxf>
    <dxf>
      <fill>
        <patternFill patternType="none">
          <fgColor indexed="64"/>
          <bgColor indexed="65"/>
        </patternFill>
      </fill>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0" formatCode="General"/>
    </dxf>
    <dxf>
      <fill>
        <patternFill patternType="none">
          <fgColor indexed="64"/>
          <bgColor indexed="65"/>
        </patternFill>
      </fill>
    </dxf>
    <dxf>
      <numFmt numFmtId="14" formatCode="0.00%"/>
    </dxf>
    <dxf>
      <numFmt numFmtId="0" formatCode="General"/>
    </dxf>
    <dxf>
      <border outline="0">
        <top style="thin">
          <color theme="4" tint="0.39997558519241921"/>
        </top>
      </border>
    </dxf>
    <dxf>
      <fill>
        <patternFill patternType="none">
          <fgColor indexed="64"/>
          <bgColor indexed="65"/>
        </patternFill>
      </fill>
    </dxf>
    <dxf>
      <numFmt numFmtId="0" formatCode="General"/>
    </dxf>
    <dxf>
      <fill>
        <patternFill patternType="none">
          <fgColor indexed="64"/>
          <bgColor indexed="65"/>
        </patternFill>
      </fill>
    </dxf>
    <dxf>
      <numFmt numFmtId="166" formatCode="_(* #,##0_);_(* \(#,##0\);_(* &quot;-&quot;_);_(@_)"/>
    </dxf>
    <dxf>
      <numFmt numFmtId="166" formatCode="_(* #,##0_);_(* \(#,##0\);_(* &quot;-&quot;_);_(@_)"/>
    </dxf>
    <dxf>
      <numFmt numFmtId="0" formatCode="Genera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74" formatCode="_(\ #,##0.00%_);\ _(\–#,##0.00%_);_(\ &quot;–&quot;??_);_(\ @_)"/>
      <fill>
        <patternFill patternType="solid">
          <fgColor indexed="64"/>
          <bgColor theme="7" tint="0.5999633777886288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family val="2"/>
        <scheme val="minor"/>
      </font>
    </dxf>
    <dxf>
      <fill>
        <patternFill patternType="none">
          <fgColor indexed="64"/>
          <bgColor indexed="65"/>
        </patternFill>
      </fill>
    </dxf>
    <dxf>
      <numFmt numFmtId="166" formatCode="_(* #,##0_);_(* \(#,##0\);_(* &quot;-&quot;_);_(@_)"/>
    </dxf>
    <dxf>
      <numFmt numFmtId="166" formatCode="_(* #,##0_);_(* \(#,##0\);_(* &quot;-&quot;_);_(@_)"/>
    </dxf>
    <dxf>
      <numFmt numFmtId="0" formatCode="General"/>
    </dxf>
    <dxf>
      <fill>
        <patternFill patternType="none">
          <fgColor indexed="64"/>
          <bgColor indexed="65"/>
        </patternFill>
      </fill>
    </dxf>
    <dxf>
      <numFmt numFmtId="166" formatCode="_(* #,##0_);_(* \(#,##0\);_(* &quot;-&quot;_);_(@_)"/>
    </dxf>
    <dxf>
      <numFmt numFmtId="166" formatCode="_(* #,##0_);_(* \(#,##0\);_(* &quot;-&quot;_);_(@_)"/>
    </dxf>
    <dxf>
      <numFmt numFmtId="0" formatCode="General"/>
    </dxf>
    <dxf>
      <border outline="0">
        <top style="thin">
          <color theme="4" tint="0.39997558519241921"/>
        </top>
      </border>
    </dxf>
    <dxf>
      <fill>
        <patternFill patternType="none">
          <fgColor indexed="64"/>
          <bgColor indexed="65"/>
        </patternFill>
      </fill>
    </dxf>
    <dxf>
      <numFmt numFmtId="0" formatCode="General"/>
    </dxf>
    <dxf>
      <border outline="0">
        <top style="thin">
          <color theme="4" tint="0.39997558519241921"/>
        </top>
      </border>
    </dxf>
    <dxf>
      <fill>
        <patternFill patternType="none">
          <fgColor indexed="64"/>
          <bgColor indexed="65"/>
        </patternFill>
      </fill>
    </dxf>
    <dxf>
      <numFmt numFmtId="177" formatCode="_(\ #,##0_);_ \(#,##0\);_(\ &quot;–&quot;??_);_(\ @_)"/>
      <fill>
        <patternFill patternType="none">
          <fgColor indexed="64"/>
          <bgColor auto="1"/>
        </patternFill>
      </fill>
    </dxf>
    <dxf>
      <numFmt numFmtId="177" formatCode="_(\ #,##0_);_ \(#,##0\);_(\ &quot;–&quot;??_);_(\ @_)"/>
      <fill>
        <patternFill patternType="none">
          <fgColor indexed="64"/>
          <bgColor auto="1"/>
        </patternFill>
      </fill>
    </dxf>
    <dxf>
      <numFmt numFmtId="0" formatCode="General"/>
    </dxf>
    <dxf>
      <numFmt numFmtId="0" formatCode="General"/>
    </dxf>
    <dxf>
      <fill>
        <patternFill patternType="none">
          <fgColor indexed="64"/>
          <bgColor indexed="65"/>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ont>
        <b/>
      </font>
    </dxf>
    <dxf>
      <numFmt numFmtId="0" formatCode="General"/>
    </dxf>
    <dxf>
      <fill>
        <patternFill patternType="none">
          <fgColor indexed="64"/>
          <bgColor indexed="65"/>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ont>
        <b/>
      </font>
    </dxf>
    <dxf>
      <numFmt numFmtId="0" formatCode="General"/>
    </dxf>
    <dxf>
      <fill>
        <patternFill patternType="none">
          <fgColor indexed="64"/>
          <bgColor indexed="65"/>
        </patternFill>
      </fill>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0" formatCode="General"/>
    </dxf>
    <dxf>
      <fill>
        <patternFill patternType="none">
          <fgColor indexed="64"/>
          <bgColor indexed="65"/>
        </patternFill>
      </fill>
    </dxf>
    <dxf>
      <numFmt numFmtId="14" formatCode="0.00%"/>
    </dxf>
    <dxf>
      <numFmt numFmtId="0" formatCode="General"/>
    </dxf>
    <dxf>
      <border outline="0">
        <top style="thin">
          <color theme="4" tint="0.39997558519241921"/>
        </top>
      </border>
    </dxf>
    <dxf>
      <fill>
        <patternFill patternType="none">
          <fgColor indexed="64"/>
          <bgColor indexed="65"/>
        </patternFill>
      </fill>
    </dxf>
    <dxf>
      <numFmt numFmtId="0" formatCode="General"/>
    </dxf>
    <dxf>
      <fill>
        <patternFill patternType="none">
          <fgColor indexed="64"/>
          <bgColor indexed="65"/>
        </patternFill>
      </fill>
    </dxf>
    <dxf>
      <numFmt numFmtId="166" formatCode="_(* #,##0_);_(* \(#,##0\);_(* &quot;-&quot;_);_(@_)"/>
    </dxf>
    <dxf>
      <numFmt numFmtId="166" formatCode="_(* #,##0_);_(* \(#,##0\);_(* &quot;-&quot;_);_(@_)"/>
    </dxf>
    <dxf>
      <numFmt numFmtId="0" formatCode="Genera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74" formatCode="_(\ #,##0.00%_);\ _(\–#,##0.00%_);_(\ &quot;–&quot;??_);_(\ @_)"/>
      <fill>
        <patternFill patternType="solid">
          <fgColor indexed="64"/>
          <bgColor theme="7" tint="0.5999633777886288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family val="2"/>
        <scheme val="minor"/>
      </font>
    </dxf>
    <dxf>
      <fill>
        <patternFill patternType="none">
          <fgColor indexed="64"/>
          <bgColor indexed="65"/>
        </patternFill>
      </fill>
    </dxf>
    <dxf>
      <numFmt numFmtId="166" formatCode="_(* #,##0_);_(* \(#,##0\);_(* &quot;-&quot;_);_(@_)"/>
    </dxf>
    <dxf>
      <numFmt numFmtId="166" formatCode="_(* #,##0_);_(* \(#,##0\);_(* &quot;-&quot;_);_(@_)"/>
    </dxf>
    <dxf>
      <numFmt numFmtId="0" formatCode="General"/>
    </dxf>
    <dxf>
      <fill>
        <patternFill patternType="none">
          <fgColor indexed="64"/>
          <bgColor indexed="65"/>
        </patternFill>
      </fill>
    </dxf>
    <dxf>
      <numFmt numFmtId="166" formatCode="_(* #,##0_);_(* \(#,##0\);_(* &quot;-&quot;_);_(@_)"/>
    </dxf>
    <dxf>
      <numFmt numFmtId="166" formatCode="_(* #,##0_);_(* \(#,##0\);_(* &quot;-&quot;_);_(@_)"/>
    </dxf>
    <dxf>
      <numFmt numFmtId="0" formatCode="General"/>
    </dxf>
    <dxf>
      <border outline="0">
        <top style="thin">
          <color theme="4" tint="0.39997558519241921"/>
        </top>
      </border>
    </dxf>
    <dxf>
      <fill>
        <patternFill patternType="none">
          <fgColor indexed="64"/>
          <bgColor indexed="65"/>
        </patternFill>
      </fill>
    </dxf>
    <dxf>
      <numFmt numFmtId="0" formatCode="General"/>
    </dxf>
    <dxf>
      <border outline="0">
        <top style="thin">
          <color theme="4" tint="0.39997558519241921"/>
        </top>
      </border>
    </dxf>
    <dxf>
      <fill>
        <patternFill patternType="none">
          <fgColor indexed="64"/>
          <bgColor indexed="65"/>
        </patternFill>
      </fill>
    </dxf>
    <dxf>
      <numFmt numFmtId="177" formatCode="_(\ #,##0_);_ \(#,##0\);_(\ &quot;–&quot;??_);_(\ @_)"/>
      <fill>
        <patternFill patternType="none">
          <fgColor indexed="64"/>
          <bgColor auto="1"/>
        </patternFill>
      </fill>
    </dxf>
    <dxf>
      <numFmt numFmtId="166" formatCode="_(* #,##0_);_(* \(#,##0\);_(* &quot;-&quot;_);_(@_)"/>
      <fill>
        <patternFill patternType="none">
          <fgColor indexed="64"/>
          <bgColor auto="1"/>
        </patternFill>
      </fill>
    </dxf>
    <dxf>
      <numFmt numFmtId="0" formatCode="General"/>
    </dxf>
    <dxf>
      <numFmt numFmtId="0" formatCode="General"/>
    </dxf>
    <dxf>
      <fill>
        <patternFill patternType="none">
          <fgColor indexed="64"/>
          <bgColor indexed="65"/>
        </patternFill>
      </fill>
    </dxf>
    <dxf>
      <numFmt numFmtId="171" formatCode="_(* #,##0_);_(* \(#,##0\);_(* &quot;-&quot;??_);_(@_)"/>
      <fill>
        <patternFill patternType="solid">
          <fgColor indexed="64"/>
          <bgColor theme="0" tint="-0.24994659260841701"/>
        </patternFill>
      </fill>
    </dxf>
    <dxf>
      <numFmt numFmtId="171" formatCode="_(* #,##0_);_(* \(#,##0\);_(* &quot;-&quot;??_);_(@_)"/>
      <fill>
        <patternFill patternType="solid">
          <fgColor indexed="64"/>
          <bgColor theme="0" tint="-0.24994659260841701"/>
        </patternFill>
      </fill>
    </dxf>
    <dxf>
      <numFmt numFmtId="171" formatCode="_(* #,##0_);_(* \(#,##0\);_(* &quot;-&quot;??_);_(@_)"/>
      <fill>
        <patternFill patternType="solid">
          <fgColor indexed="64"/>
          <bgColor theme="0" tint="-0.24994659260841701"/>
        </patternFill>
      </fill>
    </dxf>
    <dxf>
      <numFmt numFmtId="171" formatCode="_(* #,##0_);_(* \(#,##0\);_(* &quot;-&quot;??_);_(@_)"/>
      <fill>
        <patternFill patternType="solid">
          <fgColor indexed="64"/>
          <bgColor theme="0" tint="-0.24994659260841701"/>
        </patternFill>
      </fill>
    </dxf>
    <dxf>
      <numFmt numFmtId="171" formatCode="_(* #,##0_);_(* \(#,##0\);_(* &quot;-&quot;??_);_(@_)"/>
      <fill>
        <patternFill patternType="solid">
          <fgColor indexed="64"/>
          <bgColor theme="0" tint="-0.24994659260841701"/>
        </patternFill>
      </fill>
    </dxf>
    <dxf>
      <numFmt numFmtId="171" formatCode="_(* #,##0_);_(* \(#,##0\);_(* &quot;-&quot;??_);_(@_)"/>
    </dxf>
    <dxf>
      <numFmt numFmtId="171" formatCode="_(* #,##0_);_(* \(#,##0\);_(* &quot;-&quot;??_);_(@_)"/>
    </dxf>
    <dxf>
      <numFmt numFmtId="171" formatCode="_(* #,##0_);_(* \(#,##0\);_(* &quot;-&quot;??_);_(@_)"/>
    </dxf>
    <dxf>
      <numFmt numFmtId="0" formatCode="General"/>
    </dxf>
    <dxf>
      <fill>
        <patternFill patternType="none">
          <fgColor indexed="64"/>
          <bgColor indexed="65"/>
        </patternFill>
      </fill>
    </dxf>
    <dxf>
      <numFmt numFmtId="14" formatCode="0.00%"/>
    </dxf>
    <dxf>
      <numFmt numFmtId="0" formatCode="General"/>
    </dxf>
    <dxf>
      <border outline="0">
        <top style="thin">
          <color theme="4" tint="0.39997558519241921"/>
        </top>
      </border>
    </dxf>
    <dxf>
      <fill>
        <patternFill patternType="none">
          <fgColor indexed="64"/>
          <bgColor indexed="65"/>
        </patternFill>
      </fill>
    </dxf>
    <dxf>
      <numFmt numFmtId="0" formatCode="General"/>
    </dxf>
    <dxf>
      <fill>
        <patternFill patternType="none">
          <fgColor indexed="64"/>
          <bgColor indexed="65"/>
        </patternFill>
      </fill>
    </dxf>
    <dxf>
      <numFmt numFmtId="166" formatCode="_(* #,##0_);_(* \(#,##0\);_(* &quot;-&quot;_);_(@_)"/>
    </dxf>
    <dxf>
      <numFmt numFmtId="166" formatCode="_(* #,##0_);_(* \(#,##0\);_(* &quot;-&quot;_);_(@_)"/>
    </dxf>
    <dxf>
      <numFmt numFmtId="0" formatCode="General"/>
    </dxf>
    <dxf>
      <fill>
        <patternFill patternType="none">
          <fgColor indexed="64"/>
          <bgColor indexed="65"/>
        </patternFill>
      </fill>
    </dxf>
    <dxf>
      <numFmt numFmtId="174" formatCode="_(\ #,##0.00%_);\ _(\–#,##0.00%_);_(\ &quot;–&quot;??_);_(\ @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family val="2"/>
        <scheme val="minor"/>
      </font>
    </dxf>
    <dxf>
      <fill>
        <patternFill patternType="none">
          <fgColor indexed="64"/>
          <bgColor indexed="65"/>
        </patternFill>
      </fill>
    </dxf>
    <dxf>
      <numFmt numFmtId="166" formatCode="_(* #,##0_);_(* \(#,##0\);_(* &quot;-&quot;_);_(@_)"/>
    </dxf>
    <dxf>
      <numFmt numFmtId="166" formatCode="_(* #,##0_);_(* \(#,##0\);_(* &quot;-&quot;_);_(@_)"/>
    </dxf>
    <dxf>
      <numFmt numFmtId="0" formatCode="General"/>
    </dxf>
    <dxf>
      <fill>
        <patternFill patternType="none">
          <fgColor indexed="64"/>
          <bgColor indexed="65"/>
        </patternFill>
      </fill>
    </dxf>
    <dxf>
      <numFmt numFmtId="166" formatCode="_(* #,##0_);_(* \(#,##0\);_(* &quot;-&quot;_);_(@_)"/>
    </dxf>
    <dxf>
      <numFmt numFmtId="166" formatCode="_(* #,##0_);_(* \(#,##0\);_(* &quot;-&quot;_);_(@_)"/>
    </dxf>
    <dxf>
      <numFmt numFmtId="0" formatCode="General"/>
    </dxf>
    <dxf>
      <border outline="0">
        <top style="thin">
          <color theme="4" tint="0.39997558519241921"/>
        </top>
      </border>
    </dxf>
    <dxf>
      <fill>
        <patternFill patternType="none">
          <fgColor indexed="64"/>
          <bgColor indexed="65"/>
        </patternFill>
      </fill>
    </dxf>
    <dxf>
      <numFmt numFmtId="0" formatCode="General"/>
    </dxf>
    <dxf>
      <border outline="0">
        <top style="thin">
          <color theme="4" tint="0.39997558519241921"/>
        </top>
      </border>
    </dxf>
    <dxf>
      <fill>
        <patternFill patternType="none">
          <fgColor indexed="64"/>
          <bgColor indexed="65"/>
        </patternFill>
      </fill>
    </dxf>
    <dxf>
      <numFmt numFmtId="177" formatCode="_(\ #,##0_);_ \(#,##0\);_(\ &quot;–&quot;??_);_(\ @_)"/>
      <fill>
        <patternFill patternType="none">
          <fgColor indexed="64"/>
          <bgColor auto="1"/>
        </patternFill>
      </fill>
    </dxf>
    <dxf>
      <numFmt numFmtId="166" formatCode="_(* #,##0_);_(* \(#,##0\);_(* &quot;-&quot;_);_(@_)"/>
      <fill>
        <patternFill patternType="none">
          <fgColor indexed="64"/>
          <bgColor auto="1"/>
        </patternFill>
      </fill>
    </dxf>
    <dxf>
      <numFmt numFmtId="0" formatCode="General"/>
    </dxf>
    <dxf>
      <numFmt numFmtId="0" formatCode="General"/>
    </dxf>
    <dxf>
      <fill>
        <patternFill patternType="none">
          <fgColor indexed="64"/>
          <bgColor indexed="65"/>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ont>
        <b val="0"/>
      </font>
    </dxf>
    <dxf>
      <numFmt numFmtId="0" formatCode="General"/>
    </dxf>
    <dxf>
      <fill>
        <patternFill patternType="none">
          <fgColor indexed="64"/>
          <bgColor indexed="65"/>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auto="1"/>
        </patternFill>
      </fill>
    </dxf>
    <dxf>
      <numFmt numFmtId="0" formatCode="General"/>
    </dxf>
    <dxf>
      <fill>
        <patternFill patternType="none">
          <fgColor indexed="64"/>
          <bgColor indexed="65"/>
        </patternFill>
      </fill>
    </dxf>
    <dxf>
      <numFmt numFmtId="166" formatCode="_(* #,##0_);_(* \(#,##0\);_(* &quot;-&quot;_);_(@_)"/>
    </dxf>
    <dxf>
      <numFmt numFmtId="166" formatCode="_(* #,##0_);_(* \(#,##0\);_(* &quot;-&quot;_);_(@_)"/>
    </dxf>
    <dxf>
      <numFmt numFmtId="166" formatCode="_(* #,##0_);_(* \(#,##0\);_(* &quot;-&quot;_);_(@_)"/>
    </dxf>
    <dxf>
      <numFmt numFmtId="0" formatCode="General"/>
    </dxf>
    <dxf>
      <numFmt numFmtId="0" formatCode="General"/>
    </dxf>
    <dxf>
      <border outline="0">
        <top style="thin">
          <color theme="4" tint="0.39997558519241921"/>
        </top>
      </border>
    </dxf>
    <dxf>
      <fill>
        <patternFill patternType="none">
          <fgColor indexed="64"/>
          <bgColor indexed="65"/>
        </patternFill>
      </fill>
    </dxf>
    <dxf>
      <numFmt numFmtId="172" formatCode="#,##0\ ;\(#,##0\);\-"/>
    </dxf>
    <dxf>
      <numFmt numFmtId="172" formatCode="#,##0\ ;\(#,##0\);\-"/>
    </dxf>
    <dxf>
      <numFmt numFmtId="172" formatCode="#,##0\ ;\(#,##0\);\-"/>
    </dxf>
    <dxf>
      <numFmt numFmtId="0" formatCode="General"/>
    </dxf>
    <dxf>
      <border outline="0">
        <top style="thin">
          <color theme="4" tint="0.39997558519241921"/>
        </top>
      </border>
    </dxf>
    <dxf>
      <fill>
        <patternFill patternType="none">
          <fgColor indexed="64"/>
          <bgColor indexed="65"/>
        </patternFill>
      </fill>
    </dxf>
    <dxf>
      <numFmt numFmtId="172" formatCode="#,##0\ ;\(#,##0\);\-"/>
    </dxf>
    <dxf>
      <numFmt numFmtId="172" formatCode="#,##0\ ;\(#,##0\);\-"/>
    </dxf>
    <dxf>
      <numFmt numFmtId="172" formatCode="#,##0\ ;\(#,##0\);\-"/>
    </dxf>
    <dxf>
      <numFmt numFmtId="0" formatCode="General"/>
    </dxf>
    <dxf>
      <border outline="0">
        <top style="thin">
          <color theme="4" tint="0.39997558519241921"/>
        </top>
      </border>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fill>
        <patternFill patternType="none">
          <fgColor indexed="64"/>
          <bgColor indexed="65"/>
        </patternFill>
      </fill>
    </dxf>
    <dxf>
      <numFmt numFmtId="172" formatCode="#,##0\ ;\(#,##0\);\-"/>
    </dxf>
    <dxf>
      <numFmt numFmtId="172" formatCode="#,##0\ ;\(#,##0\);\-"/>
    </dxf>
    <dxf>
      <numFmt numFmtId="172" formatCode="#,##0\ ;\(#,##0\);\-"/>
    </dxf>
    <dxf>
      <numFmt numFmtId="0" formatCode="General"/>
    </dxf>
    <dxf>
      <fill>
        <patternFill patternType="none">
          <fgColor indexed="64"/>
          <bgColor indexed="65"/>
        </patternFill>
      </fill>
    </dxf>
    <dxf>
      <numFmt numFmtId="166" formatCode="_(* #,##0_);_(* \(#,##0\);_(* &quot;-&quot;_);_(@_)"/>
    </dxf>
    <dxf>
      <numFmt numFmtId="0" formatCode="General"/>
    </dxf>
    <dxf>
      <border outline="0">
        <top style="thin">
          <color theme="4" tint="0.39997558519241921"/>
        </top>
      </border>
    </dxf>
    <dxf>
      <fill>
        <patternFill patternType="none">
          <fgColor indexed="64"/>
          <bgColor indexed="65"/>
        </patternFill>
      </fill>
    </dxf>
    <dxf>
      <numFmt numFmtId="166" formatCode="_(* #,##0_);_(* \(#,##0\);_(* &quot;-&quot;_);_(@_)"/>
    </dxf>
    <dxf>
      <border outline="0">
        <top style="thin">
          <color theme="4" tint="0.39997558519241921"/>
        </top>
      </border>
    </dxf>
    <dxf>
      <fill>
        <patternFill patternType="none">
          <fgColor indexed="64"/>
          <bgColor indexed="65"/>
        </patternFill>
      </fill>
    </dxf>
    <dxf>
      <numFmt numFmtId="166" formatCode="_(* #,##0_);_(* \(#,##0\);_(* &quot;-&quot;_);_(@_)"/>
    </dxf>
    <dxf>
      <border outline="0">
        <top style="thin">
          <color theme="4" tint="0.39997558519241921"/>
        </top>
      </border>
    </dxf>
    <dxf>
      <fill>
        <patternFill patternType="none">
          <fgColor indexed="64"/>
          <bgColor indexed="65"/>
        </patternFill>
      </fill>
    </dxf>
    <dxf>
      <numFmt numFmtId="166" formatCode="_(* #,##0_);_(* \(#,##0\);_(* &quot;-&quot;_);_(@_)"/>
    </dxf>
    <dxf>
      <numFmt numFmtId="166" formatCode="_(* #,##0_);_(* \(#,##0\);_(* &quot;-&quot;_);_(@_)"/>
    </dxf>
    <dxf>
      <numFmt numFmtId="166" formatCode="_(* #,##0_);_(* \(#,##0\);_(* &quot;-&quot;_);_(@_)"/>
    </dxf>
    <dxf>
      <numFmt numFmtId="0" formatCode="General"/>
    </dxf>
    <dxf>
      <border outline="0">
        <top style="thin">
          <color theme="4" tint="0.39997558519241921"/>
        </top>
      </border>
    </dxf>
    <dxf>
      <fill>
        <patternFill patternType="none">
          <fgColor indexed="64"/>
          <bgColor indexed="65"/>
        </patternFill>
      </fill>
    </dxf>
    <dxf>
      <numFmt numFmtId="166" formatCode="_(* #,##0_);_(* \(#,##0\);_(* &quot;-&quot;_);_(@_)"/>
    </dxf>
    <dxf>
      <numFmt numFmtId="166" formatCode="_(* #,##0_);_(* \(#,##0\);_(* &quot;-&quot;_);_(@_)"/>
    </dxf>
    <dxf>
      <numFmt numFmtId="166" formatCode="_(* #,##0_);_(* \(#,##0\);_(* &quot;-&quot;_);_(@_)"/>
    </dxf>
    <dxf>
      <numFmt numFmtId="0" formatCode="General"/>
    </dxf>
    <dxf>
      <border outline="0">
        <top style="thin">
          <color theme="4" tint="0.39997558519241921"/>
        </top>
      </border>
    </dxf>
    <dxf>
      <fill>
        <patternFill patternType="none">
          <fgColor indexed="64"/>
          <bgColor indexed="65"/>
        </patternFill>
      </fill>
    </dxf>
    <dxf>
      <numFmt numFmtId="174" formatCode="_(\ #,##0.00%_);\ _(\–#,##0.00%_);_(\ &quot;–&quot;??_);_(\ @_)"/>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none"/>
      </font>
    </dxf>
    <dxf>
      <fill>
        <patternFill patternType="none">
          <fgColor indexed="64"/>
          <bgColor indexed="65"/>
        </patternFill>
      </fill>
    </dxf>
    <dxf>
      <numFmt numFmtId="166" formatCode="_(* #,##0_);_(* \(#,##0\);_(* &quot;-&quot;_);_(@_)"/>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none"/>
      </font>
    </dxf>
    <dxf>
      <fill>
        <patternFill patternType="none">
          <fgColor indexed="64"/>
          <bgColor indexed="65"/>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none"/>
      </font>
    </dxf>
    <dxf>
      <fill>
        <patternFill patternType="none">
          <fgColor indexed="64"/>
          <bgColor indexed="65"/>
        </patternFill>
      </fill>
    </dxf>
    <dxf>
      <numFmt numFmtId="174" formatCode="_(\ #,##0.00%_);\ _(\–#,##0.00%_);_(\ &quot;–&quot;??_);_(\ @_)"/>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none"/>
      </font>
    </dxf>
    <dxf>
      <fill>
        <patternFill patternType="none">
          <fgColor indexed="64"/>
          <bgColor indexed="65"/>
        </patternFill>
      </fill>
    </dxf>
    <dxf>
      <numFmt numFmtId="166" formatCode="_(* #,##0_);_(* \(#,##0\);_(* &quot;-&quot;_);_(@_)"/>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font>
        <strike val="0"/>
        <outline val="0"/>
        <shadow val="0"/>
        <u val="none"/>
        <vertAlign val="baseline"/>
        <sz val="11"/>
        <color auto="1"/>
        <name val="Calibri"/>
        <family val="2"/>
        <scheme val="minor"/>
      </font>
      <numFmt numFmtId="174" formatCode="_(\ #,##0.00%_);\ _(\–#,##0.00%_);_(\ &quot;–&quot;??_);_(\ @_)"/>
      <fill>
        <patternFill patternType="solid">
          <fgColor indexed="64"/>
          <bgColor theme="7" tint="0.59999389629810485"/>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none"/>
      </font>
    </dxf>
    <dxf>
      <fill>
        <patternFill patternType="none">
          <fgColor indexed="64"/>
          <bgColor indexed="65"/>
        </patternFill>
      </fill>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border outline="0">
        <right style="thin">
          <color indexed="64"/>
        </right>
        <bottom style="thin">
          <color indexed="64"/>
        </bottom>
      </border>
    </dxf>
    <dxf>
      <alignment horizontal="left" vertical="center" textRotation="0" indent="0" justifyLastLine="0" shrinkToFit="0" readingOrder="0"/>
    </dxf>
    <dxf>
      <numFmt numFmtId="0" formatCode="General"/>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s>
  <tableStyles count="2" defaultTableStyle="TableStyleMedium2" defaultPivotStyle="PivotStyleLight16">
    <tableStyle name="cc_TableStyle" pivot="0" count="7" xr9:uid="{2175C075-8170-43D5-A578-10526086F478}">
      <tableStyleElement type="wholeTable" dxfId="750"/>
      <tableStyleElement type="headerRow" dxfId="749"/>
      <tableStyleElement type="totalRow" dxfId="748"/>
      <tableStyleElement type="firstColumn" dxfId="747"/>
      <tableStyleElement type="lastColumn" dxfId="746"/>
      <tableStyleElement type="firstRowStripe" dxfId="745"/>
      <tableStyleElement type="firstColumnStripe" dxfId="744"/>
    </tableStyle>
    <tableStyle name="TableStyleMedium_mod" pivot="0" count="7" xr9:uid="{DC7885F7-B0A4-4FF3-A178-046EE93A142B}">
      <tableStyleElement type="wholeTable" dxfId="743"/>
      <tableStyleElement type="headerRow" dxfId="742"/>
      <tableStyleElement type="totalRow" dxfId="741"/>
      <tableStyleElement type="firstColumn" dxfId="740"/>
      <tableStyleElement type="lastColumn" dxfId="739"/>
      <tableStyleElement type="firstRowStripe" dxfId="738"/>
      <tableStyleElement type="firstColumnStripe" dxfId="7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BB65785B-AB12-40BF-9C1A-BBDF2707B4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543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01B8C6-A24F-4781-9874-6FD6B6B74402}" name="tb_00_cover_sheet" displayName="tb_00_cover_sheet" ref="B21:C25" totalsRowShown="0" headerRowDxfId="736" dataDxfId="735">
  <autoFilter ref="B21:C25" xr:uid="{9E1E9D99-4A24-4601-BDAA-215DEAA97FD4}"/>
  <tableColumns count="2">
    <tableColumn id="1" xr3:uid="{BB715877-2BDA-423E-ABFA-938F23ACB79C}" name="Workbook Version and Date" dataDxfId="734"/>
    <tableColumn id="2" xr3:uid="{ED81A2BE-2426-437D-A5E6-3F19E920C6A4}" name="Determination" dataDxfId="73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163C80A-27E8-411A-B718-A68490CB6351}" name="Table_List" displayName="Table_List" ref="A1:H91" totalsRowShown="0" headerRowDxfId="732">
  <autoFilter ref="A1:H91" xr:uid="{1163C80A-27E8-411A-B718-A68490CB6351}"/>
  <tableColumns count="8">
    <tableColumn id="1" xr3:uid="{11F15135-2BBC-4BA2-8A9E-BD7CF7BC2FFE}" name="Sheet"/>
    <tableColumn id="2" xr3:uid="{47BDC788-8436-4F2D-ADA1-68A144020FCB}" name="Table"/>
    <tableColumn id="3" xr3:uid="{69CEC9CD-885D-4B9C-A6FD-E669BC328697}" name="Table_rows"/>
    <tableColumn id="4" xr3:uid="{ED4B97AC-652D-4802-8A57-0CFDCC07FDA9}" name="Table_sum"/>
    <tableColumn id="5" xr3:uid="{4B36B674-6551-42A5-848F-5473334EDA9E}" name="Address"/>
    <tableColumn id="6" xr3:uid="{0CB97298-ACCB-4FBA-97C3-B7045371891D}" name="Section"/>
    <tableColumn id="7" xr3:uid="{194F8ECC-8C0D-47A1-82CC-531DDD604F42}" name="Title"/>
    <tableColumn id="8" xr3:uid="{8071C350-8C12-4AF3-9EBA-4008C4565F00}" name="Section_short" dataDxfId="731">
      <calculatedColumnFormula>LEFT(Table_List[[#This Row],[Title]],SEARCH(":",Table_List[[#This Row],[Title]]) - 1)</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ED5703F5-D766-454B-81B4-245D2285082D}" name="tb_00_toc" displayName="tb_00_toc" ref="B2:E26" totalsRowShown="0" dataDxfId="730" tableBorderDxfId="729" headerRowCellStyle="table_headers">
  <autoFilter ref="B2:E26" xr:uid="{ED5703F5-D766-454B-81B4-245D2285082D}"/>
  <tableColumns count="4">
    <tableColumn id="1" xr3:uid="{04B0B2C7-15F8-4400-8BB9-F0D7F8DB186A}" name="Schedule" dataDxfId="728"/>
    <tableColumn id="2" xr3:uid="{E405BFD9-448B-4113-A2AD-09B2BB97AABD}" name="Schedule name" dataDxfId="727"/>
    <tableColumn id="4" xr3:uid="{E6C28A38-841C-43A5-A0B4-8950D2EA8941}" name="Sheetname" dataDxfId="726"/>
    <tableColumn id="3" xr3:uid="{04577A33-C0DC-40DF-B07C-4A04CE04F45E}" name="Description" dataDxfId="725"/>
  </tableColumns>
  <tableStyleInfo name="cc_Table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4B65CF5-7C34-46ED-9F16-56DDE6A4748B}" name="tb_00_styles" displayName="tb_00_styles" ref="A2:G9" totalsRowShown="0" headerRowDxfId="724" dataDxfId="723" headerRowCellStyle="table_headers">
  <autoFilter ref="A2:G9" xr:uid="{74B65CF5-7C34-46ED-9F16-56DDE6A4748B}"/>
  <tableColumns count="7">
    <tableColumn id="1" xr3:uid="{1C02906E-EECA-43E8-947D-1B53E1F1F690}" name="Section" dataDxfId="722"/>
    <tableColumn id="2" xr3:uid="{051FB427-F64D-465B-9FFB-B368156B19E6}" name="Row" dataDxfId="721"/>
    <tableColumn id="3" xr3:uid="{E569A5FC-8A95-4673-A03D-0DA13099AE34}" name="Category1" dataDxfId="720"/>
    <tableColumn id="11" xr3:uid="{70E5650B-5D70-482D-B4CF-F7EC2BD72D00}" name="Category2" dataDxfId="719"/>
    <tableColumn id="6" xr3:uid="{4772293E-FA18-4BEC-A375-DB9C5C068F30}" name="?2 test|_x000a_asfas"/>
    <tableColumn id="5" xr3:uid="{3F605A10-6488-4BF2-9A7E-D8BAA5ACDFDE}" name="?"/>
    <tableColumn id="4" xr3:uid="{2165DD55-A373-49AA-8034-8B79D0923D9D}" name="?22" dataDxfId="718" dataCellStyle="Data_Entry"/>
  </tableColumns>
  <tableStyleInfo name="cc_Table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A4F9087-1D4C-48FC-BF9D-0269F592C822}" name="tb_1a_1ai_1.11_1" displayName="tb_1a_1ai_1.11_1" ref="A3:H10" totalsRowShown="0" headerRowDxfId="717" dataDxfId="716" headerRowCellStyle="table_headers">
  <autoFilter ref="A3:H10" xr:uid="{3A4F9087-1D4C-48FC-BF9D-0269F592C822}"/>
  <tableColumns count="8">
    <tableColumn id="1" xr3:uid="{5B184D9D-8047-4B94-9988-B1AF6B84602D}" name="Section" dataDxfId="715"/>
    <tableColumn id="2" xr3:uid="{865AE562-63BD-404E-9893-97659FF1951C}" name="Row" dataDxfId="714">
      <calculatedColumnFormula>ROW()</calculatedColumnFormula>
    </tableColumn>
    <tableColumn id="7" xr3:uid="{648986B2-42F0-47ED-97B4-A605C7813F79}" name="Context" dataDxfId="713"/>
    <tableColumn id="3" xr3:uid="{75ED40C7-D107-4B2B-9EE8-35D16336F1DB}" name="Category1" dataDxfId="712"/>
    <tableColumn id="11" xr3:uid="{B70B582F-2E9E-4145-8F21-1B3C6F8DFECE}" name="Category2" dataDxfId="711"/>
    <tableColumn id="4" xr3:uid="{5B50B60F-5C88-4CEA-8233-2502426A329C}" name="CY-2|_x000a_%" dataCellStyle="Data_Entry"/>
    <tableColumn id="5" xr3:uid="{FB588EE2-EB76-440E-99B9-52FEC86B2D1C}" name="CY-1|_x000a_%" dataCellStyle="Data_Entry"/>
    <tableColumn id="6" xr3:uid="{25A191D8-B65A-4EB4-9C54-804D5EDCD04E}" name="Current Year CY|_x000a_%" dataCellStyle="Percent [2]"/>
  </tableColumns>
  <tableStyleInfo name="cc_Table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3453685-CA08-4966-ABA9-3DCB713AAC88}" name="tb_1a_1aii_1.12_1" displayName="tb_1a_1aii_1.12_1" ref="A15:F27" totalsRowShown="0" headerRowDxfId="710" dataDxfId="709" headerRowCellStyle="table_headers">
  <autoFilter ref="A15:F27" xr:uid="{D3453685-CA08-4966-ABA9-3DCB713AAC88}"/>
  <tableColumns count="6">
    <tableColumn id="1" xr3:uid="{4B99B322-AC13-4A76-98FC-1503C6221DB8}" name="Section" dataDxfId="708"/>
    <tableColumn id="2" xr3:uid="{9D80592D-C2BA-4826-950C-AF68B76E5826}" name="Row" dataDxfId="707">
      <calculatedColumnFormula>ROW()</calculatedColumnFormula>
    </tableColumn>
    <tableColumn id="5" xr3:uid="{515DCAA9-C7C5-402D-9156-D77616FE95A4}" name="Context" dataDxfId="706"/>
    <tableColumn id="3" xr3:uid="{6826191F-61F6-4F62-A815-3BFF204B29E9}" name="Category1" dataDxfId="705"/>
    <tableColumn id="11" xr3:uid="{64051062-D451-4EC6-BC9A-AC9F53CEF535}" name="Category2" dataDxfId="704"/>
    <tableColumn id="4" xr3:uid="{95401051-A663-48B9-9C10-D303FD16F4E2}" name="$000" dataDxfId="703" dataCellStyle="Formula"/>
  </tableColumns>
  <tableStyleInfo name="cc_Table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D0D162-2B2B-4CF7-91C5-A6EA6D21B33D}" name="tb_1a_1aii_1.12_2" displayName="tb_1a_1aii_1.12_2" ref="A31:F38" totalsRowShown="0" headerRowDxfId="702" dataDxfId="701" headerRowCellStyle="table_headers">
  <autoFilter ref="A31:F38" xr:uid="{13D0D162-2B2B-4CF7-91C5-A6EA6D21B33D}"/>
  <tableColumns count="6">
    <tableColumn id="1" xr3:uid="{110090AD-8029-49C7-8EA3-346C99CFBD22}" name="Section" dataDxfId="700"/>
    <tableColumn id="2" xr3:uid="{058DBD92-F964-4F43-8451-C2A043969070}" name="Row" dataDxfId="699">
      <calculatedColumnFormula>ROW()</calculatedColumnFormula>
    </tableColumn>
    <tableColumn id="4" xr3:uid="{966895F8-E1C4-4162-A984-27B0457080B9}" name="Context" dataDxfId="698"/>
    <tableColumn id="3" xr3:uid="{183FA00B-4674-4891-9F76-64AC2DA71B25}" name="Category1" dataDxfId="697"/>
    <tableColumn id="11" xr3:uid="{D0DE4041-2441-4646-80EF-D29D83661AB4}" name="Category2" dataDxfId="696"/>
    <tableColumn id="6" xr3:uid="{9B496595-9E0F-42C8-86AC-075275120869}" name="%" dataDxfId="695" dataCellStyle="Formula"/>
  </tableColumns>
  <tableStyleInfo name="cc_Table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BDEB857-FAD9-4032-BA24-40277285D708}" name="tb_1b_1bi_1.21_1" displayName="tb_1b_1bi_1.21_1" ref="A3:H11" totalsRowShown="0" headerRowDxfId="694" dataDxfId="693" headerRowCellStyle="table_headers">
  <autoFilter ref="A3:H11" xr:uid="{0BDEB857-FAD9-4032-BA24-40277285D708}"/>
  <tableColumns count="8">
    <tableColumn id="1" xr3:uid="{BC04F33E-1C39-418A-B667-0E6CF16D5F53}" name="Section" dataDxfId="692"/>
    <tableColumn id="2" xr3:uid="{F6C863C4-AE4A-4CBB-B01C-00B1CB353EC1}" name="Row" dataDxfId="691">
      <calculatedColumnFormula>ROW()</calculatedColumnFormula>
    </tableColumn>
    <tableColumn id="7" xr3:uid="{E4B2A9A3-CD88-445B-8501-FC10945646ED}" name="Context" dataDxfId="690"/>
    <tableColumn id="3" xr3:uid="{56EC759B-5684-40DC-92FF-FC9A3437657B}" name="Category1" dataDxfId="689"/>
    <tableColumn id="11" xr3:uid="{85C4361F-C1E0-4E30-94F1-5C88EFECD0AD}" name="Category2" dataDxfId="688"/>
    <tableColumn id="4" xr3:uid="{D18BD4AD-F551-41CF-9009-75C2268DB6ED}" name="CY-2|_x000a_%" dataCellStyle="Data_Entry"/>
    <tableColumn id="5" xr3:uid="{9AF4D090-7578-4877-94E1-0B49A4905230}" name="CY-1|_x000a_%" dataCellStyle="Data_Entry"/>
    <tableColumn id="6" xr3:uid="{7E4D2FBF-000A-4B04-8D5A-1081DBC83607}" name="Current Year CY|_x000a_%" dataDxfId="687"/>
  </tableColumns>
  <tableStyleInfo name="cc_Table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3741EB-12E4-49C5-B427-54C743ADA5B7}" name="tb_1b_1bii_1.22_1" displayName="tb_1b_1bii_1.22_1" ref="A15:F27" totalsRowShown="0" headerRowDxfId="686" dataDxfId="685" headerRowCellStyle="table_headers">
  <autoFilter ref="A15:F27" xr:uid="{3D3741EB-12E4-49C5-B427-54C743ADA5B7}"/>
  <tableColumns count="6">
    <tableColumn id="1" xr3:uid="{151606F7-4C9B-4205-9407-36F48FEA81EC}" name="Section" dataDxfId="684"/>
    <tableColumn id="2" xr3:uid="{F9211715-D867-4710-9853-67F06E0CC9F9}" name="Row" dataDxfId="683">
      <calculatedColumnFormula>ROW()</calculatedColumnFormula>
    </tableColumn>
    <tableColumn id="5" xr3:uid="{7D9CB631-D046-4D88-A4CB-738D98A94BDE}" name="Context" dataDxfId="682"/>
    <tableColumn id="3" xr3:uid="{C2DD43B8-2EF4-44C1-99F5-505DB4C1A2D1}" name="Category1" dataDxfId="681"/>
    <tableColumn id="11" xr3:uid="{CB827615-FAC1-49C2-9B36-9077792A3FB0}" name="Category2" dataDxfId="680"/>
    <tableColumn id="4" xr3:uid="{DAF61A22-FC5C-42A0-BDF3-05E8050DC2B9}" name="$000" dataDxfId="679" dataCellStyle="Formula"/>
  </tableColumns>
  <tableStyleInfo name="cc_Table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680A43E-2FC8-4698-A2CB-EDF779D90BE2}" name="tb_1b_1bii_1.22_2" displayName="tb_1b_1bii_1.22_2" ref="A31:F38" totalsRowShown="0" headerRowDxfId="678" dataDxfId="677" headerRowCellStyle="table_headers">
  <autoFilter ref="A31:F38" xr:uid="{B680A43E-2FC8-4698-A2CB-EDF779D90BE2}"/>
  <tableColumns count="6">
    <tableColumn id="1" xr3:uid="{5AF8867A-8ED3-48A7-B47B-477603214865}" name="Section" dataDxfId="676"/>
    <tableColumn id="2" xr3:uid="{DAD28BD9-F413-48F4-9AC2-A602CFFAE403}" name="Row" dataDxfId="675">
      <calculatedColumnFormula>ROW()</calculatedColumnFormula>
    </tableColumn>
    <tableColumn id="4" xr3:uid="{151240C7-6AEC-495F-9EAD-ABB917675725}" name="Context" dataDxfId="674"/>
    <tableColumn id="3" xr3:uid="{86CECD6E-BB3A-46EC-8C2B-941456EB2150}" name="Category1" dataDxfId="673"/>
    <tableColumn id="11" xr3:uid="{D9A81FE0-76F2-41D2-98A6-8C7EF9683782}" name="Category2" dataDxfId="672"/>
    <tableColumn id="6" xr3:uid="{6AF84254-309B-4039-AAFA-C590856A63BC}" name="%" dataDxfId="671" dataCellStyle="Formula"/>
  </tableColumns>
  <tableStyleInfo name="cc_TableSty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248AB1B-5D36-4BFA-A4CA-0A73742FC3D3}" name="tb_1c_1ci_1.31_1" displayName="tb_1c_1ci_1.31_1" ref="A3:H8" totalsRowShown="0" headerRowDxfId="670" dataDxfId="669" headerRowCellStyle="table_headers">
  <autoFilter ref="A3:H8" xr:uid="{A248AB1B-5D36-4BFA-A4CA-0A73742FC3D3}"/>
  <tableColumns count="8">
    <tableColumn id="1" xr3:uid="{3EC75BAE-4A65-45D3-B414-61ADCEC6FFFD}" name="Section" dataDxfId="668"/>
    <tableColumn id="2" xr3:uid="{00B039CB-4369-433B-B947-CAF90A55D4A3}" name="Row" dataDxfId="667">
      <calculatedColumnFormula>ROW()</calculatedColumnFormula>
    </tableColumn>
    <tableColumn id="7" xr3:uid="{ECE60625-622F-4D96-854A-31B63309FD6E}" name="Context" dataDxfId="666"/>
    <tableColumn id="3" xr3:uid="{7697EFD8-205A-46B6-A9F3-73C7F4534CB0}" name="Category1" dataDxfId="665"/>
    <tableColumn id="11" xr3:uid="{24B706D5-F707-4513-99AE-98D0309A040E}" name="Category2" dataDxfId="664"/>
    <tableColumn id="4" xr3:uid="{D0AE7C31-F77D-405F-A44E-7E5F01273F65}" name="CY-2|_x000a_%" dataCellStyle="Data_Entry"/>
    <tableColumn id="5" xr3:uid="{20A5F180-B09D-4527-9B40-AB6B3B23E7D3}" name="CY-1|_x000a_%" dataCellStyle="Data_Entry"/>
    <tableColumn id="6" xr3:uid="{16A7F7A1-CBF9-4D13-8B4E-AF783F55580F}" name="Current Year CY|_x000a_%" dataCellStyle="Percent [2]"/>
  </tableColumns>
  <tableStyleInfo name="cc_TableSty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A99D08E-BB11-4E0C-8D7F-2C1D1AFB8C84}" name="tb_1c_1cii_1.32_1" displayName="tb_1c_1cii_1.32_1" ref="A15:F27" totalsRowShown="0" headerRowDxfId="663" dataDxfId="662" headerRowCellStyle="table_headers">
  <autoFilter ref="A15:F27" xr:uid="{4A99D08E-BB11-4E0C-8D7F-2C1D1AFB8C84}"/>
  <tableColumns count="6">
    <tableColumn id="1" xr3:uid="{8A23B539-9FEF-45E7-A343-9446203C192A}" name="Section" dataDxfId="661"/>
    <tableColumn id="2" xr3:uid="{E04748C9-2D78-48BD-AD8E-37EA12A0A08D}" name="Row" dataDxfId="660">
      <calculatedColumnFormula>ROW()</calculatedColumnFormula>
    </tableColumn>
    <tableColumn id="5" xr3:uid="{7D4424AB-5A71-4679-9BDC-5C6672C010EC}" name="Context" dataDxfId="659"/>
    <tableColumn id="3" xr3:uid="{5EC91842-8FFE-4C84-BE41-7786B9A1E9B2}" name="Category1" dataDxfId="658"/>
    <tableColumn id="11" xr3:uid="{A993B02D-1799-4E79-B74B-98254A01E347}" name="Category2" dataDxfId="657"/>
    <tableColumn id="4" xr3:uid="{07B17A21-49D6-4FC9-9339-86CBBE9CA90E}" name="$000" dataDxfId="656" dataCellStyle="Formula"/>
  </tableColumns>
  <tableStyleInfo name="cc_TableSty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A4683A5-FF01-44B8-B965-44351CDA27AE}" name="tb_1c_1cii_1.32_2" displayName="tb_1c_1cii_1.32_2" ref="A31:F36" totalsRowShown="0" headerRowDxfId="655" dataDxfId="654" headerRowCellStyle="table_headers">
  <autoFilter ref="A31:F36" xr:uid="{1A4683A5-FF01-44B8-B965-44351CDA27AE}"/>
  <tableColumns count="6">
    <tableColumn id="1" xr3:uid="{04DE048A-8907-4395-A00E-85A513FCCF20}" name="Section" dataDxfId="653"/>
    <tableColumn id="2" xr3:uid="{E3376A67-04DF-40A1-99BA-7353F1D126B5}" name="Row" dataDxfId="652">
      <calculatedColumnFormula>ROW()</calculatedColumnFormula>
    </tableColumn>
    <tableColumn id="4" xr3:uid="{498BC1DA-0D6A-465D-8BD7-864368271335}" name="Context" dataDxfId="651"/>
    <tableColumn id="3" xr3:uid="{8B698950-F2EA-42F8-85EC-AE386D3D2E10}" name="Category1" dataDxfId="650"/>
    <tableColumn id="11" xr3:uid="{3ECC6878-8A1B-45A7-A9DC-0CEAAE6BB91C}" name="Category2" dataDxfId="649"/>
    <tableColumn id="6" xr3:uid="{82A09219-F818-47C0-953A-66C37D820543}" name="%" dataDxfId="648" dataCellStyle="Formula"/>
  </tableColumns>
  <tableStyleInfo name="cc_TableSty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7F2F56E-626F-4B50-A787-1C01E6D134C1}" name="tb_2_2i_2.01_1" displayName="tb_2_2i_2.01_1" ref="A3:H17" totalsRowShown="0" headerRowDxfId="647" tableBorderDxfId="646" headerRowCellStyle="table_headers">
  <autoFilter ref="A3:H17" xr:uid="{47F2F56E-626F-4B50-A787-1C01E6D134C1}"/>
  <tableColumns count="8">
    <tableColumn id="1" xr3:uid="{231A458C-416C-49B2-A1F5-3A46FAB7E0F6}" name="Section"/>
    <tableColumn id="2" xr3:uid="{2AD8FE7A-E21C-4A17-80B4-3938DC5F0F59}" name="Row" dataDxfId="645">
      <calculatedColumnFormula>ROW()</calculatedColumnFormula>
    </tableColumn>
    <tableColumn id="8" xr3:uid="{0A32287C-85D2-4CC9-8722-3F1CECC52F5E}" name="Context"/>
    <tableColumn id="3" xr3:uid="{2EBBC626-BAA2-4743-8DFB-B153CB81C2C6}" name="Category1"/>
    <tableColumn id="4" xr3:uid="{A4F283CD-3C46-4E7C-BBD2-A795B97BDAD0}" name="Category2"/>
    <tableColumn id="5" xr3:uid="{AC53F426-7833-4FBC-8578-10D1EBCA7924}" name="PQ FFLAS|_x000a_($000)" dataDxfId="644"/>
    <tableColumn id="6" xr3:uid="{F3F1E96C-8BB1-4156-8736-5D5C1D81051B}" name="ID-only FFLAS|_x000a_($000)" dataDxfId="643"/>
    <tableColumn id="7" xr3:uid="{7A3B40EA-5E67-4FDB-9583-B3C4AB8EB842}" name="ID FFLAS|_x000a_($000)" dataDxfId="642" dataCellStyle="Formula"/>
  </tableColumns>
  <tableStyleInfo name="cc_TableSty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98BCBF9-0B28-42D1-9419-30353594E569}" name="tb_2_2ii_2.02_1" displayName="tb_2_2ii_2.02_1" ref="A21:H26" totalsRowShown="0" headerRowDxfId="641" tableBorderDxfId="640" headerRowCellStyle="table_headers">
  <autoFilter ref="A21:H26" xr:uid="{F98BCBF9-0B28-42D1-9419-30353594E569}"/>
  <tableColumns count="8">
    <tableColumn id="1" xr3:uid="{AC050DFF-7D1D-4CF3-AB69-9EC749B05320}" name="Section"/>
    <tableColumn id="2" xr3:uid="{3CB0EF36-3AB3-4391-A0F9-35452C632B0D}" name="Row" dataDxfId="639">
      <calculatedColumnFormula>ROW()</calculatedColumnFormula>
    </tableColumn>
    <tableColumn id="8" xr3:uid="{7337DB8C-0C79-4D53-8EB7-AC6739EED46B}" name="Context"/>
    <tableColumn id="3" xr3:uid="{038DF938-2FC4-4492-87EE-A272C9D0D376}" name="Category1"/>
    <tableColumn id="4" xr3:uid="{1AC4FE1F-720C-4B44-A148-9002632D9B5F}" name="Category2"/>
    <tableColumn id="5" xr3:uid="{5590F457-7338-4273-9960-FCDE23A5ED88}" name="PQ FFLAS|_x000a_($000)" dataDxfId="638"/>
    <tableColumn id="6" xr3:uid="{357171EA-3692-4AC1-A717-DC879B462BA8}" name="ID-only FFLAS|_x000a_($000)" dataDxfId="637"/>
    <tableColumn id="7" xr3:uid="{8214B5AC-DDEC-4D4A-A13C-F06FC5BEEB88}" name="ID FFLAS|_x000a_($000)" dataDxfId="636">
      <calculatedColumnFormula>F22+G22</calculatedColumnFormula>
    </tableColumn>
  </tableColumns>
  <tableStyleInfo name="cc_TableSty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3F534A1-58CF-43E9-91F3-7959A417F2AA}" name="tb_2_2iii_2.03_1" displayName="tb_2_2iii_2.03_1" ref="A30:F31" totalsRowShown="0" headerRowDxfId="635" tableBorderDxfId="634" headerRowCellStyle="table_headers">
  <autoFilter ref="A30:F31" xr:uid="{13F534A1-58CF-43E9-91F3-7959A417F2AA}"/>
  <tableColumns count="6">
    <tableColumn id="1" xr3:uid="{1B28AE83-B1A3-4C77-B825-2C5FBBD7D8DF}" name="Section"/>
    <tableColumn id="2" xr3:uid="{97A655EA-20C6-458B-A190-0CC6515E7C9C}" name="Row">
      <calculatedColumnFormula>ROW()</calculatedColumnFormula>
    </tableColumn>
    <tableColumn id="6" xr3:uid="{FA0FC114-AD1E-441D-BABE-33A65F0D27A2}" name="Context"/>
    <tableColumn id="3" xr3:uid="{D3924001-0E70-49A6-A13B-79F5B4E11EBD}" name="Category1"/>
    <tableColumn id="4" xr3:uid="{1F7B722F-9756-4ECF-BC74-D622D235A63A}" name="Category2"/>
    <tableColumn id="5" xr3:uid="{31FF7740-EB98-441B-99B4-CC8232D03338}" name="($000)" dataDxfId="633" dataCellStyle="Data_Entry"/>
  </tableColumns>
  <tableStyleInfo name="cc_TableSty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C6C999E-FA9E-4534-B582-2033A979076B}" name="tb_2_2iv_2.04_1" displayName="tb_2_2iv_2.04_1" ref="A37:F38" totalsRowShown="0" headerRowDxfId="632" tableBorderDxfId="631" headerRowCellStyle="table_headers">
  <autoFilter ref="A37:F38" xr:uid="{DC6C999E-FA9E-4534-B582-2033A979076B}"/>
  <tableColumns count="6">
    <tableColumn id="1" xr3:uid="{56A3918B-F717-42DC-A27C-B51942911921}" name="Section"/>
    <tableColumn id="2" xr3:uid="{389B89E6-3D14-4A48-8041-68FE27939423}" name="Row">
      <calculatedColumnFormula>ROW()</calculatedColumnFormula>
    </tableColumn>
    <tableColumn id="6" xr3:uid="{68DC02E6-83EB-4A99-9A54-C4EAF5922BEA}" name="Context"/>
    <tableColumn id="3" xr3:uid="{A27F9E67-C2B6-4083-B46B-C2F56D0D903E}" name="Category1"/>
    <tableColumn id="4" xr3:uid="{F6F69C7E-E183-4A0C-8BDF-7108095684C6}" name="Category2"/>
    <tableColumn id="5" xr3:uid="{C1606C3F-45BE-45C7-8E3B-7A13350D4F61}" name="($000)" dataDxfId="630" dataCellStyle="Data_Entry"/>
  </tableColumns>
  <tableStyleInfo name="cc_TableSty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EEEE26D-4133-4F91-AE9B-1E424179C6B6}" name="tb_2_2v_2.05_1" displayName="tb_2_2v_2.05_1" ref="A42:F48" totalsRowShown="0" headerRowDxfId="629" tableBorderDxfId="628" headerRowCellStyle="table_headers">
  <autoFilter ref="A42:F48" xr:uid="{8EEEE26D-4133-4F91-AE9B-1E424179C6B6}"/>
  <tableColumns count="6">
    <tableColumn id="1" xr3:uid="{BC5D6A3B-5D87-45F3-967A-754443623535}" name="Section"/>
    <tableColumn id="2" xr3:uid="{52573C5D-977F-44DF-A6E0-82B1C2613605}" name="Row" dataDxfId="627">
      <calculatedColumnFormula>ROW()</calculatedColumnFormula>
    </tableColumn>
    <tableColumn id="6" xr3:uid="{F82079F2-BD35-4D62-A392-DE73B5074B26}" name="Context"/>
    <tableColumn id="3" xr3:uid="{CC6875D0-4F4F-4C93-94A7-360D625C3D20}" name="Category1"/>
    <tableColumn id="4" xr3:uid="{277DC9FA-CDB8-4D64-94C7-7CD3C54DD605}" name="Category2"/>
    <tableColumn id="5" xr3:uid="{46CC3322-4C7A-4C46-A16F-5703D45300B8}" name="($000)" dataDxfId="626"/>
  </tableColumns>
  <tableStyleInfo name="cc_TableSty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574D3C0-F97B-4B0D-8F9B-14F7DAF02ABB}" name="tb_3_3i_3.01_1" displayName="tb_3_3i_3.01_1" ref="A3:H23" totalsRowShown="0" headerRowDxfId="625" headerRowCellStyle="table_headers">
  <autoFilter ref="A3:H23" xr:uid="{5574D3C0-F97B-4B0D-8F9B-14F7DAF02ABB}"/>
  <tableColumns count="8">
    <tableColumn id="1" xr3:uid="{24522FBB-47A6-429B-A0E9-8B1D6E9AD554}" name="Section"/>
    <tableColumn id="2" xr3:uid="{EDA7BBDA-D65D-4074-9680-E53C0FBBFB19}" name="Row" dataDxfId="624">
      <calculatedColumnFormula>ROW()</calculatedColumnFormula>
    </tableColumn>
    <tableColumn id="3" xr3:uid="{CF9F85C8-23D3-4045-903C-AD66D6DD8D3B}" name="Context"/>
    <tableColumn id="8" xr3:uid="{EDC7DAC9-D7F2-46CE-BABA-1373FC57EAF4}" name="Category1"/>
    <tableColumn id="4" xr3:uid="{80A05629-8B7F-4089-85F2-9B9F9455BD3F}" name="Category2"/>
    <tableColumn id="5" xr3:uid="{B76972CD-F82A-4D66-920D-26EB8DEBE024}" name="PQ FFLAS|_x000a_($000)" dataDxfId="623"/>
    <tableColumn id="6" xr3:uid="{6DD33D42-CF5E-46C0-9774-90225373427A}" name="ID-only FFLAS|_x000a_($000)" dataDxfId="622"/>
    <tableColumn id="7" xr3:uid="{5157F9D0-D04D-4C4F-9D8C-7C66AD9CB1B1}" name="ID FFLAS|_x000a_($000)" dataDxfId="621"/>
  </tableColumns>
  <tableStyleInfo name="cc_TableSty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B25AF92-3480-4B5A-8581-63B96C063870}" name="tb_3_3i_3.01_2" displayName="tb_3_3i_3.01_2" ref="A29:F30" totalsRowShown="0" headerRowDxfId="620" dataDxfId="619" tableBorderDxfId="618" totalsRowBorderDxfId="617" headerRowCellStyle="table_headers">
  <autoFilter ref="A29:F30" xr:uid="{7B25AF92-3480-4B5A-8581-63B96C063870}"/>
  <tableColumns count="6">
    <tableColumn id="1" xr3:uid="{4F9B2B62-593C-4B71-91C3-82A3288380B7}" name="Section" dataDxfId="616"/>
    <tableColumn id="2" xr3:uid="{2A63638B-1B5C-4305-A9B3-6578D109EDFF}" name="Row" dataDxfId="615">
      <calculatedColumnFormula>ROW()</calculatedColumnFormula>
    </tableColumn>
    <tableColumn id="3" xr3:uid="{E8509064-DB09-478B-82AD-4DE33D2670FD}" name="Context" dataDxfId="614"/>
    <tableColumn id="6" xr3:uid="{7043C605-19E0-4714-9E52-7725E5D39789}" name="Category1"/>
    <tableColumn id="4" xr3:uid="{CC230FA4-8C64-4AB5-AFC7-34A427F81F6D}" name="Category2" dataDxfId="613"/>
    <tableColumn id="5" xr3:uid="{ACEEEFDD-75A6-4AF4-91E5-752226EE4DEA}" name="%" dataCellStyle="Data_Entry"/>
  </tableColumns>
  <tableStyleInfo name="cc_TableSty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0A35089-536B-41D3-9EC9-05E0A046CBCF}" name="tb_3_3iii_3.03_1" displayName="tb_3_3iii_3.03_1" ref="A39:H43" totalsRowShown="0" headerRowDxfId="612" tableBorderDxfId="611" headerRowCellStyle="table_headers">
  <autoFilter ref="A39:H43" xr:uid="{10A35089-536B-41D3-9EC9-05E0A046CBCF}"/>
  <tableColumns count="8">
    <tableColumn id="1" xr3:uid="{610373ED-E599-4C68-9545-0D1679634035}" name="Section"/>
    <tableColumn id="2" xr3:uid="{8D96FF5F-1F9C-4E53-8127-C46EB325EE40}" name="Row" dataDxfId="610">
      <calculatedColumnFormula>ROW()</calculatedColumnFormula>
    </tableColumn>
    <tableColumn id="3" xr3:uid="{81F24DBA-C353-4096-82A8-3267D72FF6F2}" name="Context"/>
    <tableColumn id="8" xr3:uid="{7E147D05-F243-4ABE-8612-7F8FF27CD48C}" name="Category1"/>
    <tableColumn id="4" xr3:uid="{6E4C14FF-66BD-4899-A6F7-05E13523BBC5}" name="Category2"/>
    <tableColumn id="5" xr3:uid="{EBE51399-D398-496A-A1C0-ACECF3055C64}" name="PQ FFLAS|_x000a_($000)" dataDxfId="609"/>
    <tableColumn id="6" xr3:uid="{1BACE865-C54F-4402-87E0-5C6A74EE36CA}" name="ID-only FFLAS|_x000a_($000)" dataDxfId="608"/>
    <tableColumn id="7" xr3:uid="{3FE38E48-9B8D-4ADB-ABCA-4B15A02F37C5}" name="ID FFLAS|_x000a_($000)" dataDxfId="607"/>
  </tableColumns>
  <tableStyleInfo name="cc_TableSty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BF45A63-7225-405E-8BF8-2D89F4AD28FD}" name="tb_3_3iv_3.04_1" displayName="tb_3_3iv_3.04_1" ref="A47:H54" totalsRowShown="0" headerRowDxfId="606" tableBorderDxfId="605" headerRowCellStyle="table_headers">
  <autoFilter ref="A47:H54" xr:uid="{DBF45A63-7225-405E-8BF8-2D89F4AD28FD}"/>
  <tableColumns count="8">
    <tableColumn id="1" xr3:uid="{F1DB921A-7338-4BFF-AC5A-75077B8A1E23}" name="Section"/>
    <tableColumn id="2" xr3:uid="{748EEA31-E94C-4D21-B632-993223E82E61}" name="Row" dataDxfId="604">
      <calculatedColumnFormula>ROW()</calculatedColumnFormula>
    </tableColumn>
    <tableColumn id="3" xr3:uid="{067EBC9B-196E-4F7A-B6BC-30B96F384B76}" name="Context"/>
    <tableColumn id="8" xr3:uid="{C6D4BC96-95C1-4BF0-9919-78824E239030}" name="Category1"/>
    <tableColumn id="4" xr3:uid="{1B0F3621-B4CC-4717-B50D-719BAEBC15E5}" name="Category2"/>
    <tableColumn id="5" xr3:uid="{5C429617-3E02-4F3D-94D3-26CC82EEA6C6}" name="PQ FFLAS|_x000a_($000)" dataDxfId="603"/>
    <tableColumn id="6" xr3:uid="{11225FD3-BC5E-4C60-B9A7-3855B68550BA}" name="ID-only FFLAS|_x000a_($000)" dataDxfId="602"/>
    <tableColumn id="7" xr3:uid="{11205612-62C3-40A6-A689-004AE19F74D0}" name="ID FFLAS|_x000a_($000)" dataDxfId="601"/>
  </tableColumns>
  <tableStyleInfo name="cc_TableSty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81AC720-BF8D-427A-863D-AAE486FE0043}" name="tb_4a_4ai_4.11_1" displayName="tb_4a_4ai_4.11_1" ref="A3:H58" totalsRowShown="0" headerRowDxfId="600" tableBorderDxfId="599" headerRowCellStyle="table_headers">
  <autoFilter ref="A3:H58" xr:uid="{A81AC720-BF8D-427A-863D-AAE486FE0043}"/>
  <tableColumns count="8">
    <tableColumn id="1" xr3:uid="{7FF2E277-3DB1-4C53-853E-0FA49D7D0ECE}" name="Section"/>
    <tableColumn id="2" xr3:uid="{6491BCF5-67D2-44EC-BED2-C8AA78A3EBF6}" name="Row" dataDxfId="598">
      <calculatedColumnFormula>ROW()</calculatedColumnFormula>
    </tableColumn>
    <tableColumn id="3" xr3:uid="{B481759A-02C8-4D6F-8C81-DB04EF32B9CD}" name="Category1"/>
    <tableColumn id="4" xr3:uid="{74D3FB1B-3CC6-4F28-948C-F1072571A61D}" name="Category2"/>
    <tableColumn id="8" xr3:uid="{DF9D0646-868D-4A71-88D6-26E7A47998EE}" name="Sub Sub Category" dataDxfId="597">
      <calculatedColumnFormula>#N/A</calculatedColumnFormula>
    </tableColumn>
    <tableColumn id="5" xr3:uid="{C890409A-ECAA-4734-A55D-EAD7F06E06D9}" name="PQ FFLAS|_x000a_($000)" dataDxfId="596"/>
    <tableColumn id="6" xr3:uid="{DF4E2ED9-770E-4A16-8992-9EE6C74D7493}" name="ID-only FFLAS|_x000a_($000)" dataDxfId="595"/>
    <tableColumn id="7" xr3:uid="{BCDAA5E7-469B-48ED-86F7-9DDC3AB633E1}" name="ID FFLAS|_x000a_($000)" dataDxfId="594" dataCellStyle="Formula">
      <calculatedColumnFormula>SUM(tb_4a_4ai_4.11_1[[#This Row],[PQ FFLAS|
($000)]:[ID-only FFLAS|
($000)]])</calculatedColumnFormula>
    </tableColumn>
  </tableColumns>
  <tableStyleInfo name="cc_TableSty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CF103B6-6C1E-4BEE-84CD-F87381472C67}" name="tb_4a_4aii_4.12_1" displayName="tb_4a_4aii_4.12_1" ref="A62:N73" totalsRowShown="0" headerRowDxfId="593" headerRowCellStyle="table_headers">
  <autoFilter ref="A62:N73" xr:uid="{8CF103B6-6C1E-4BEE-84CD-F87381472C67}"/>
  <tableColumns count="14">
    <tableColumn id="1" xr3:uid="{94CD2CCA-DD5E-4FF1-A012-972BA8B7C9A0}" name="Section"/>
    <tableColumn id="2" xr3:uid="{DCCD30BB-A174-4B93-AF6E-F8388A96277A}" name="Row" dataDxfId="592">
      <calculatedColumnFormula>ROW()</calculatedColumnFormula>
    </tableColumn>
    <tableColumn id="3" xr3:uid="{6AE289CE-6F14-402A-AA9A-75EF541034C1}" name="Category1"/>
    <tableColumn id="4" xr3:uid="{6D432C29-EFB1-43B3-A6CA-DBE17F854952}" name="Category2" dataDxfId="591"/>
    <tableColumn id="5" xr3:uid="{CA39477A-E638-4551-BEEA-E870BD4643ED}" name="Cost category" dataDxfId="590" dataCellStyle="Data_Entry"/>
    <tableColumn id="6" xr3:uid="{9A94D046-480B-48A9-9CA1-CEF4E6320503}" name="Original allocation or line items" dataDxfId="589" dataCellStyle="Data_Entry"/>
    <tableColumn id="10" xr3:uid="{3C5B793B-01AE-4ADA-B721-9C1E9A9ECDA8}" name="New allocation or line items" dataDxfId="588" dataCellStyle="Data_Entry"/>
    <tableColumn id="11" xr3:uid="{B3E88A29-7DFE-40FE-BD20-19FB40505CCC}" name="Rationale for change" dataDxfId="587" dataCellStyle="Data_Entry"/>
    <tableColumn id="7" xr3:uid="{127DD9B7-8896-44DC-B712-DFE1E97E4F25}" name="Original allocation|_x000a_CY-1|_x000a_($000)" dataDxfId="586" dataCellStyle="Data_Entry"/>
    <tableColumn id="8" xr3:uid="{1334DAA3-72F9-4D7F-9719-519235C4918C}" name="Original allocation|_x000a_Current Year (CY)|_x000a_($000)" dataDxfId="585" dataCellStyle="Data_Entry"/>
    <tableColumn id="9" xr3:uid="{F6EE8A6C-D728-4A5B-88CB-F39748F6CB9A}" name="New allocation|_x000a_CY-1|_x000a_($000)" dataDxfId="584" dataCellStyle="Data_Entry"/>
    <tableColumn id="12" xr3:uid="{F86BB445-D68E-41B4-BC1D-9CA98E3EE13B}" name="New allocation|_x000a_Current Year (CY)|_x000a_($000)" dataDxfId="583" dataCellStyle="Data_Entry"/>
    <tableColumn id="13" xr3:uid="{1033440A-19B0-4ED7-AB5E-FB937D37E43F}" name="Difference|_x000a_CY-1|_x000a_($000)" dataDxfId="582" dataCellStyle="Data_Entry">
      <calculatedColumnFormula>IF(L63&lt;&gt;"",J63-L63,"")</calculatedColumnFormula>
    </tableColumn>
    <tableColumn id="14" xr3:uid="{7ED78AC2-5F1B-4BFF-8129-1B9D80993C51}" name="Difference|_x000a_Current Year (CY)|_x000a_($000)" dataDxfId="581" dataCellStyle="Data_Entry">
      <calculatedColumnFormula>IF(M63&lt;&gt;"",K63-M63,"")</calculatedColumnFormula>
    </tableColumn>
  </tableColumns>
  <tableStyleInfo name="cc_TableSty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C973E781-0C23-446D-A90F-ADBB59632AE5}" name="tb_4b_4bi_4.21_1" displayName="tb_4b_4bi_4.21_1" ref="A3:J11" totalsRowShown="0" headerRowDxfId="580" headerRowCellStyle="table_headers">
  <autoFilter ref="A3:J11" xr:uid="{C973E781-0C23-446D-A90F-ADBB59632AE5}"/>
  <tableColumns count="10">
    <tableColumn id="1" xr3:uid="{FF5FA981-A388-4EB7-BE32-C6C78C44EF12}" name="Section"/>
    <tableColumn id="2" xr3:uid="{37DDDAC6-04A0-4027-A88C-2BF50515FCFA}" name="Row" dataDxfId="579">
      <calculatedColumnFormula>ROW()</calculatedColumnFormula>
    </tableColumn>
    <tableColumn id="10" xr3:uid="{20434170-3F36-414F-8132-158814144F98}" name="Context"/>
    <tableColumn id="3" xr3:uid="{C2D83A1D-BA7D-479C-8820-7A0DD7E79D6A}" name="Category1" dataDxfId="578"/>
    <tableColumn id="4" xr3:uid="{FE87C5AB-C2BA-482F-BB3E-8E2D09E0B73A}" name="Category2"/>
    <tableColumn id="5" xr3:uid="{A44DCCCD-2EE0-405A-A0AF-2791A60C6211}" name="RAB|_x000a_CY-4|_x000a_($000)" dataDxfId="577" dataCellStyle="Formula">
      <calculatedColumnFormula>tb_4c_4ci_4.31_1[[#This Row],[RAB|
CY-4|
($000)]]+'S4d.ID-only RAB Value Rolled F'!F3</calculatedColumnFormula>
    </tableColumn>
    <tableColumn id="6" xr3:uid="{1C151110-77A1-4140-B3AF-326491949CA3}" name="RAB|_x000a_CY-3|_x000a_($000)" dataDxfId="576" dataCellStyle="Formula">
      <calculatedColumnFormula>tb_4c_4ci_4.31_1[[#This Row],[RAB|
CY-3|
($000)]]+tb_4d_4di_4.41_1[[#This Row],[RAB|
CY-3|
($000)]]</calculatedColumnFormula>
    </tableColumn>
    <tableColumn id="7" xr3:uid="{F56AE3C6-EE02-411A-B487-C409AFD5F86E}" name="RAB|_x000a_CY-2|_x000a_($000)" dataDxfId="575" dataCellStyle="Formula">
      <calculatedColumnFormula>tb_4c_4ci_4.31_1[[#This Row],[RAB|
CY-2|
($000)]]+tb_4d_4di_4.41_1[[#This Row],[RAB|
CY-2|
($000)]]</calculatedColumnFormula>
    </tableColumn>
    <tableColumn id="8" xr3:uid="{7F69D676-219C-4A67-8F0F-D73ECEA40837}" name="RAB|_x000a_CY-1|_x000a_($000)" dataDxfId="574" dataCellStyle="Formula">
      <calculatedColumnFormula>tb_4c_4ci_4.31_1[[#This Row],[RAB|
CY-1|
($000)]]+tb_4d_4di_4.41_1[[#This Row],[RAB|
CY-1|
($000)]]</calculatedColumnFormula>
    </tableColumn>
    <tableColumn id="9" xr3:uid="{4FF3B7FD-F924-4382-B85B-993DD5EFE675}" name="RAB|_x000a_CY|_x000a_($000)" dataDxfId="573" dataCellStyle="Formula"/>
  </tableColumns>
  <tableStyleInfo name="cc_TableSty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45B682E1-95E4-4A47-96A2-576C86683E79}" name="tb_4b_4bii_4.22_1" displayName="tb_4b_4bii_4.22_1" ref="A15:G29" totalsRowShown="0" headerRowDxfId="572" headerRowCellStyle="table_headers">
  <autoFilter ref="A15:G29" xr:uid="{45B682E1-95E4-4A47-96A2-576C86683E79}"/>
  <tableColumns count="7">
    <tableColumn id="1" xr3:uid="{3D51579C-5F09-4BA5-859E-64E08BF1D21A}" name="Section"/>
    <tableColumn id="2" xr3:uid="{51E9B93B-F4B9-4BEC-A269-565C228DF1CB}" name="Row" dataDxfId="571">
      <calculatedColumnFormula>ROW()</calculatedColumnFormula>
    </tableColumn>
    <tableColumn id="10" xr3:uid="{494010D2-BCC6-4AC5-BF4A-A9BEFEE22939}" name="Context" dataDxfId="570"/>
    <tableColumn id="3" xr3:uid="{6F450C6B-330D-44FB-8511-35EA8B9DD50A}" name="Category1"/>
    <tableColumn id="4" xr3:uid="{F7EE61DE-737C-4290-9A07-BF21DB2130D2}" name="Category2"/>
    <tableColumn id="5" xr3:uid="{2F4B2B73-4CBE-4796-A674-0A8B1B805BA0}" name="Unallocated RAB *|_x000a_($000)" dataDxfId="569" dataCellStyle="Blank"/>
    <tableColumn id="6" xr3:uid="{22C0B763-3BFE-4A8D-8948-0F4D5DE0C22B}" name="RAB|_x000a_($000)" dataDxfId="568" dataCellStyle="Formula"/>
  </tableColumns>
  <tableStyleInfo name="cc_TableSty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5F5A8A04-8B7C-4D2B-8226-EAC5E1D490FB}" name="tb_4b_4biii_4.23_1" displayName="tb_4b_4biii_4.23_1" ref="A35:F37" totalsRowShown="0" headerRowDxfId="567" tableBorderDxfId="566" headerRowCellStyle="table_headers">
  <autoFilter ref="A35:F37" xr:uid="{5F5A8A04-8B7C-4D2B-8226-EAC5E1D490FB}"/>
  <tableColumns count="6">
    <tableColumn id="1" xr3:uid="{D1B274C9-AC57-4AA5-94F8-5CA472ADC9D9}" name="Section"/>
    <tableColumn id="2" xr3:uid="{794815D1-4665-4929-A6FA-4E56151926B8}" name="Row" dataDxfId="565">
      <calculatedColumnFormula>ROW()</calculatedColumnFormula>
    </tableColumn>
    <tableColumn id="3" xr3:uid="{24B6A0F7-3BAE-4310-A4B3-32CDA7B06D85}" name="Context"/>
    <tableColumn id="4" xr3:uid="{E08F5335-207F-4760-9489-B82FD94A417E}" name="Category1"/>
    <tableColumn id="5" xr3:uid="{DA969305-97B8-46DE-A4B8-579AAFBDB8B6}" name="Category2"/>
    <tableColumn id="6" xr3:uid="{20CB4415-4EA1-43AE-B982-FBB091210844}" name="Index" dataCellStyle="Data_Entry"/>
  </tableColumns>
  <tableStyleInfo name="cc_TableSty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BDAD28DE-86F6-40F5-84C1-F3624EC90DE5}" name="tb_4b_4biii_4.23_2" displayName="tb_4b_4biii_4.23_2" ref="A46:G50" totalsRowShown="0" headerRowDxfId="564" tableBorderDxfId="563" headerRowCellStyle="table_headers">
  <autoFilter ref="A46:G50" xr:uid="{BDAD28DE-86F6-40F5-84C1-F3624EC90DE5}"/>
  <tableColumns count="7">
    <tableColumn id="1" xr3:uid="{35E993F1-C960-4423-9BB8-807D34ABD490}" name="Section"/>
    <tableColumn id="2" xr3:uid="{AB715055-4848-49A6-9100-1665D56C16FC}" name="Row" dataDxfId="562">
      <calculatedColumnFormula>ROW()</calculatedColumnFormula>
    </tableColumn>
    <tableColumn id="3" xr3:uid="{E5F02E19-9C6B-4E69-835F-0A52072CB02F}" name="Context"/>
    <tableColumn id="4" xr3:uid="{C1EE884E-8BE7-4FB9-930A-2AEAA800D967}" name="Category1"/>
    <tableColumn id="5" xr3:uid="{C93D1149-553F-4578-B41C-A90716AE0C79}" name="Category2"/>
    <tableColumn id="6" xr3:uid="{C8CA9D33-C15E-4E99-9BA8-BE77AE9A04B6}" name="Unallocated RAB *|_x000a_($000)" dataDxfId="561" dataCellStyle="Formula"/>
    <tableColumn id="7" xr3:uid="{7A0CEC04-12FA-4CF6-8A18-631D1E57F81E}" name="RAB|_x000a_($000)" dataDxfId="560" dataCellStyle="Formula"/>
  </tableColumns>
  <tableStyleInfo name="cc_TableSty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B4C02104-7002-4B76-ADBA-257FE479D0B3}" name="tb_4b_4biv_4.24_1" displayName="tb_4b_4biv_4.24_1" ref="A55:G60" totalsRowShown="0" headerRowDxfId="559" headerRowCellStyle="table_headers">
  <autoFilter ref="A55:G60" xr:uid="{B4C02104-7002-4B76-ADBA-257FE479D0B3}"/>
  <tableColumns count="7">
    <tableColumn id="1" xr3:uid="{63AB1FD0-B24D-47AC-999B-1C771104CFE6}" name="Section"/>
    <tableColumn id="2" xr3:uid="{CAA713AB-DEB3-45F9-97EC-32C8815B1C44}" name="Row" dataDxfId="558">
      <calculatedColumnFormula>ROW()</calculatedColumnFormula>
    </tableColumn>
    <tableColumn id="3" xr3:uid="{9C1CB559-05DB-4756-86FD-FEE2D94546F5}" name="Context"/>
    <tableColumn id="4" xr3:uid="{05766DA2-B39A-462C-BF73-43FF160ACFE8}" name="Category1"/>
    <tableColumn id="5" xr3:uid="{89D31920-BBDA-4C6E-88E5-87EE58ACE51B}" name="Category2"/>
    <tableColumn id="6" xr3:uid="{F15DB2EC-AF55-4E18-88C8-057052AAD701}" name="Unallocated works under construction|_x000a_($000)" dataDxfId="557" dataCellStyle="Blank"/>
    <tableColumn id="7" xr3:uid="{600DF2B6-5EF9-4E68-A240-E0AED7F500D7}" name="Allocated works under construction|_x000a_($000)" dataDxfId="556" dataCellStyle="Formula"/>
  </tableColumns>
  <tableStyleInfo name="cc_TableSty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AD5308D4-5CF2-4A9C-BEC0-AA92525F9FF3}" name="tb_4b_4biv_4.24_2" displayName="tb_4b_4biv_4.24_2" ref="A63:F64" totalsRowShown="0" headerRowDxfId="555" dataDxfId="554" tableBorderDxfId="553" headerRowCellStyle="table_headers">
  <autoFilter ref="A63:F64" xr:uid="{AD5308D4-5CF2-4A9C-BEC0-AA92525F9FF3}"/>
  <tableColumns count="6">
    <tableColumn id="1" xr3:uid="{8FBF4F8A-39D1-4FC5-A096-47B5B18B2990}" name="Section" dataDxfId="552"/>
    <tableColumn id="2" xr3:uid="{E3AB4432-C504-4697-8638-B36B7D3325E2}" name="Row" dataDxfId="551">
      <calculatedColumnFormula>ROW()</calculatedColumnFormula>
    </tableColumn>
    <tableColumn id="3" xr3:uid="{55780E72-D891-4199-86A5-E0B0B1B84625}" name="Context" dataDxfId="550"/>
    <tableColumn id="4" xr3:uid="{E5A58414-56E0-4A66-8E22-7D2E2F38298F}" name="Category1" dataDxfId="549"/>
    <tableColumn id="5" xr3:uid="{CC57C3E2-D07A-46EC-A2B8-597C8DE0977F}" name="Category2"/>
    <tableColumn id="6" xr3:uid="{D5EAA37F-6BCD-40CF-97D8-9F3FDB7C250C}" name="%" dataDxfId="548" dataCellStyle="Formula">
      <calculatedColumnFormula array="1">tb_4c_4civ_4.34_2[%]</calculatedColumnFormula>
    </tableColumn>
  </tableColumns>
  <tableStyleInfo name="cc_TableSty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12B791DE-7084-4B74-8537-2BC84D180FD9}" name="tb_4b_4bv_4.25_1" displayName="tb_4b_4bv_4.25_1" ref="A68:G71" totalsRowShown="0" headerRowDxfId="547" headerRowCellStyle="table_headers">
  <autoFilter ref="A68:G71" xr:uid="{12B791DE-7084-4B74-8537-2BC84D180FD9}"/>
  <tableColumns count="7">
    <tableColumn id="1" xr3:uid="{884E66FC-28C9-4206-B73A-33531466ADC9}" name="Section"/>
    <tableColumn id="2" xr3:uid="{DC81E107-A72B-4155-B861-8A2DDDCE0DEA}" name="Row" dataDxfId="546">
      <calculatedColumnFormula>ROW()</calculatedColumnFormula>
    </tableColumn>
    <tableColumn id="3" xr3:uid="{2D2E6665-C705-48D1-875F-00D0DBFCE8CB}" name="Context"/>
    <tableColumn id="4" xr3:uid="{9D9ED341-B281-4F5E-B4D8-3B48C0CC5F59}" name="Category1"/>
    <tableColumn id="5" xr3:uid="{605F0519-F8FF-4E7D-90F7-9ED9F53BB65B}" name="Category2"/>
    <tableColumn id="6" xr3:uid="{A0265E71-167A-4D3D-A14F-BE91F418B356}" name="Unallocated RAB *|_x000a_($000)" dataDxfId="545" dataCellStyle="Formula">
      <calculatedColumnFormula>SUM(F67:F68)</calculatedColumnFormula>
    </tableColumn>
    <tableColumn id="7" xr3:uid="{CD7FF89F-7AED-43E1-859A-C9E0C9C141DD}" name="RAB|_x000a_($000)" dataDxfId="544" dataCellStyle="Formula"/>
  </tableColumns>
  <tableStyleInfo name="cc_TableSty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BE603B51-6192-4DC4-A773-C6B6B6EC94D8}" name="tb_4b_4bvi_4.26_1" displayName="tb_4b_4bvi_4.26_1" ref="A75:I83" totalsRowShown="0" headerRowDxfId="543" headerRowCellStyle="table_headers">
  <autoFilter ref="A75:I83" xr:uid="{BE603B51-6192-4DC4-A773-C6B6B6EC94D8}"/>
  <tableColumns count="9">
    <tableColumn id="1" xr3:uid="{ABFB88FE-077F-44C9-B12D-5656E6CBB4DC}" name="Section"/>
    <tableColumn id="2" xr3:uid="{BD524F43-671E-47D6-8BAB-44777521FE7C}" name="Row" dataDxfId="542">
      <calculatedColumnFormula>ROW()</calculatedColumnFormula>
    </tableColumn>
    <tableColumn id="3" xr3:uid="{ADE6666B-40EB-4738-8A96-429ED9A89D58}" name="Context"/>
    <tableColumn id="4" xr3:uid="{770DDE9C-1E85-471D-BDA1-827348F631D1}" name="Category1" dataCellStyle="Data_Entry"/>
    <tableColumn id="5" xr3:uid="{51EE19FF-1616-4AEA-89B1-CDF9C302A248}" name="Category2"/>
    <tableColumn id="6" xr3:uid="{F7AE336F-04BF-4F2F-B1F5-6BFBC0AD340D}" name="Reason for change of method (text entry)|_x000a_($000)" dataCellStyle="Data_Entry"/>
    <tableColumn id="7" xr3:uid="{66EA23A3-648D-4C9B-B3A7-E7FF491F4FD6}" name="Depreciation charge for the period (RAB)|_x000a_($000)" dataCellStyle="Data_Entry"/>
    <tableColumn id="8" xr3:uid="{DBC20C1B-34AA-4224-8CE3-5A69123796DC}" name="Closing RAB value under 'alternative method' depreciation|_x000a_($000)" dataCellStyle="Data_Entry"/>
    <tableColumn id="9" xr3:uid="{86981F72-1A7E-4048-A039-61E208CEBC21}" name="Closing RAB value under 'GAAP' depreciation|_x000a_($000)" dataCellStyle="Data_Entry"/>
  </tableColumns>
  <tableStyleInfo name="cc_TableSty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1D623BA6-3570-4936-BB36-0B50DB490FDA}" name="tb_4b_4biii_4.23_3" displayName="tb_4b_4biii_4.23_3" ref="A41:F42" totalsRowShown="0" headerRowDxfId="541" tableBorderDxfId="540" headerRowCellStyle="table_headers">
  <autoFilter ref="A41:F42" xr:uid="{1D623BA6-3570-4936-BB36-0B50DB490FDA}"/>
  <tableColumns count="6">
    <tableColumn id="1" xr3:uid="{5BEC61F1-6901-466B-8B1A-FD57F6577A3E}" name="Section"/>
    <tableColumn id="2" xr3:uid="{401286D7-EBC5-4013-988A-1B679AB572B2}" name="Row" dataDxfId="539">
      <calculatedColumnFormula>ROW()</calculatedColumnFormula>
    </tableColumn>
    <tableColumn id="3" xr3:uid="{2C7D3C15-9290-44FB-9506-FE2DAD88B263}" name="Context"/>
    <tableColumn id="4" xr3:uid="{14D5B01B-48F8-4D10-9BE4-6353FACF02ED}" name="Category1"/>
    <tableColumn id="5" xr3:uid="{06A53DCD-C2AA-487B-9908-BB87B145DEE2}" name="Category2"/>
    <tableColumn id="7" xr3:uid="{6CA47773-B790-43D3-BBB4-12D232F05959}" name="%" dataDxfId="538" dataCellStyle="Formula">
      <calculatedColumnFormula>IF(F36&lt;&gt;0,F36/F37-1, 0)</calculatedColumnFormula>
    </tableColumn>
  </tableColumns>
  <tableStyleInfo name="cc_TableSty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278CADDF-7479-4981-A958-64E74A970160}" name="tb_4b_4bvii_4.27_1" displayName="tb_4b_4bvii_4.27_1" ref="A89:N113" totalsRowShown="0" headerRowDxfId="537" headerRowCellStyle="table_headers">
  <autoFilter ref="A89:N113" xr:uid="{278CADDF-7479-4981-A958-64E74A970160}"/>
  <tableColumns count="14">
    <tableColumn id="1" xr3:uid="{BAE8FA44-F14C-4D34-80DB-D30FBD4B16D5}" name="Section"/>
    <tableColumn id="2" xr3:uid="{FE13F189-9746-4357-B3EB-97215E28A3A8}" name="Row" dataDxfId="536">
      <calculatedColumnFormula>ROW()</calculatedColumnFormula>
    </tableColumn>
    <tableColumn id="4" xr3:uid="{FE691119-BDB3-4615-A641-023EAFA5BF78}" name="Category1"/>
    <tableColumn id="5" xr3:uid="{52E3BA29-A0D8-4E1F-8C29-0E36703134FE}" name="Category2"/>
    <tableColumn id="6" xr3:uid="{94A44730-342E-4BAD-98D8-71F204D28E33}" name="Opening RAB value" dataDxfId="535" dataCellStyle="Formula"/>
    <tableColumn id="7" xr3:uid="{C7BF4CFF-BB90-427B-BCBB-A858D9F3FDE2}" name="Less depreciation" dataDxfId="534" dataCellStyle="Formula"/>
    <tableColumn id="8" xr3:uid="{BB28055B-38EF-4CE4-A467-2BD25F8356F5}" name="Plus revaluations" dataDxfId="533" dataCellStyle="Formula"/>
    <tableColumn id="9" xr3:uid="{6777F61E-8189-458E-83C1-E3CE3C6AF267}" name="Plus assets commissioned" dataDxfId="532" dataCellStyle="Comma"/>
    <tableColumn id="10" xr3:uid="{B3DB0C85-8F4D-4320-A500-C370F2A184CF}" name="Less asset disposals" dataDxfId="531" dataCellStyle="Comma"/>
    <tableColumn id="11" xr3:uid="{C17EFA2D-4376-45C1-ABF6-E9FDEC5ECE93}" name="Plus asset allocation adjustment" dataDxfId="530" dataCellStyle="Comma"/>
    <tableColumn id="12" xr3:uid="{B8E7C412-07B2-448F-8F24-B2C0EC60ABE4}" name="Plus asset category transfers" dataDxfId="529" dataCellStyle="Comma"/>
    <tableColumn id="13" xr3:uid="{9912F711-EF22-4A9C-A100-7AE361915742}" name="Total" dataDxfId="528" dataCellStyle="Comma">
      <calculatedColumnFormula>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calculatedColumnFormula>
    </tableColumn>
    <tableColumn id="14" xr3:uid="{FC493DCF-C74D-40EC-AB15-2F717D3D9EB0}" name="Weighted average remaining asset life"/>
    <tableColumn id="15" xr3:uid="{838ADCDA-FBD0-4607-9636-1317B25DADDE}" name="Weighted average expected total life"/>
  </tableColumns>
  <tableStyleInfo name="cc_TableSty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CA17EFAD-EFB3-4395-B5A0-006BC233D5B3}" name="tb_4c_4cii_4.32_1" displayName="tb_4c_4cii_4.32_1" ref="A15:G29" totalsRowShown="0" headerRowDxfId="527" headerRowCellStyle="table_headers">
  <autoFilter ref="A15:G29" xr:uid="{CA17EFAD-EFB3-4395-B5A0-006BC233D5B3}"/>
  <tableColumns count="7">
    <tableColumn id="1" xr3:uid="{3DAAEA67-F8A9-48BC-BFAD-5E6EFB4EB429}" name="Section"/>
    <tableColumn id="2" xr3:uid="{F6C56C0D-A20A-48A8-A73F-BB7D971116FD}" name="Row" dataDxfId="526">
      <calculatedColumnFormula>ROW()</calculatedColumnFormula>
    </tableColumn>
    <tableColumn id="10" xr3:uid="{1BC111EA-6FA4-49FB-9CF2-DEA23AB86850}" name="Context" dataDxfId="525"/>
    <tableColumn id="3" xr3:uid="{9CF067E6-BDDC-4CFB-99ED-71D4FA5B8657}" name="Category1"/>
    <tableColumn id="4" xr3:uid="{D713EADA-9532-4EE4-B170-EE7DB5B4A10A}" name="Category2"/>
    <tableColumn id="5" xr3:uid="{8192D257-988C-4F7B-AC34-D553B1F45F02}" name="Unallocated RAB *|_x000a_($000)" dataDxfId="524" dataCellStyle="Formula"/>
    <tableColumn id="6" xr3:uid="{BD83ECD3-DB17-4FBD-BF65-5DBEAF62DCA7}" name="RAB|_x000a_($000)" dataDxfId="523" dataCellStyle="Formula"/>
  </tableColumns>
  <tableStyleInfo name="cc_TableSty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4377856F-6E2C-48CC-88EA-5231283277C0}" name="tb_4c_4ciii_4.33_1" displayName="tb_4c_4ciii_4.33_1" ref="A35:F37" totalsRowShown="0" headerRowDxfId="522" tableBorderDxfId="521" headerRowCellStyle="table_headers">
  <autoFilter ref="A35:F37" xr:uid="{4377856F-6E2C-48CC-88EA-5231283277C0}"/>
  <tableColumns count="6">
    <tableColumn id="1" xr3:uid="{0A6284CD-5886-42B5-9E80-AE2005324459}" name="Section"/>
    <tableColumn id="2" xr3:uid="{F0964112-DE36-46B8-9C11-93D56F60A431}" name="Row" dataDxfId="520">
      <calculatedColumnFormula>ROW()</calculatedColumnFormula>
    </tableColumn>
    <tableColumn id="3" xr3:uid="{2DD2ECAF-EB24-4856-B9EA-9A278F358273}" name="Context"/>
    <tableColumn id="4" xr3:uid="{AF4876F4-C194-480D-8BC5-AA6416B58715}" name="Category1"/>
    <tableColumn id="5" xr3:uid="{435BA87C-BE52-4A02-BD1A-FC524AB04405}" name="Category2"/>
    <tableColumn id="6" xr3:uid="{7914DA3B-C3D3-4C94-ADB8-1660E59CCEA6}" name="Index" dataCellStyle="Data_Entry"/>
  </tableColumns>
  <tableStyleInfo name="cc_TableSty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465CBC60-1D9D-40B3-8614-A7EDCDE73487}" name="tb_4c_4ciii_4.33_2" displayName="tb_4c_4ciii_4.33_2" ref="A46:G50" totalsRowShown="0" headerRowDxfId="519" tableBorderDxfId="518" headerRowCellStyle="table_headers">
  <autoFilter ref="A46:G50" xr:uid="{465CBC60-1D9D-40B3-8614-A7EDCDE73487}"/>
  <tableColumns count="7">
    <tableColumn id="1" xr3:uid="{20B715A2-26F1-4AEB-AEE2-921499C4E73F}" name="Section"/>
    <tableColumn id="2" xr3:uid="{CEBD889C-DC2E-4B98-8E46-8503CFC3F1AE}" name="Row" dataDxfId="517">
      <calculatedColumnFormula>ROW()</calculatedColumnFormula>
    </tableColumn>
    <tableColumn id="3" xr3:uid="{56554E75-3F53-4566-AA09-4E6EE96C45E5}" name="Context"/>
    <tableColumn id="4" xr3:uid="{F1883B32-F1EC-44AC-A66C-DF35176461AE}" name="Category1"/>
    <tableColumn id="5" xr3:uid="{D050CD27-F871-4168-9803-889FABAD5E52}" name="Category2"/>
    <tableColumn id="6" xr3:uid="{5F651FC9-9D62-471A-8136-B3D992D2C735}" name="Unallocated RAB *|_x000a_($000)" dataDxfId="516"/>
    <tableColumn id="7" xr3:uid="{1276B602-7688-4AE9-BDB4-8865BCC57D7B}" name="RAB|_x000a_($000)" dataDxfId="515"/>
  </tableColumns>
  <tableStyleInfo name="cc_TableSty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F34364CB-60DB-4268-94B7-393F94001D17}" name="tb_4c_4civ_4.34_1" displayName="tb_4c_4civ_4.34_1" ref="A55:G60" totalsRowShown="0" headerRowDxfId="514" headerRowCellStyle="table_headers">
  <autoFilter ref="A55:G60" xr:uid="{F34364CB-60DB-4268-94B7-393F94001D17}"/>
  <tableColumns count="7">
    <tableColumn id="1" xr3:uid="{2273FA30-5980-4060-B588-C8B9240BCD5F}" name="Section"/>
    <tableColumn id="2" xr3:uid="{E00D7861-965E-4021-A42F-548202916221}" name="Row" dataDxfId="513">
      <calculatedColumnFormula>ROW()</calculatedColumnFormula>
    </tableColumn>
    <tableColumn id="3" xr3:uid="{26171FE1-1D77-4CE7-A646-84BDD985F88B}" name="Context"/>
    <tableColumn id="4" xr3:uid="{DA73233D-64DA-41DC-90BC-1C9AF6C433B2}" name="Category1"/>
    <tableColumn id="5" xr3:uid="{DE2AF6B1-7183-4ACC-A75F-004FEAD9E598}" name="Category2"/>
    <tableColumn id="6" xr3:uid="{5313E0C1-77BC-4A84-99DA-62E00DC231B9}" name="Unallocated works under construction|_x000a_($000)" dataDxfId="512" dataCellStyle="Formula"/>
    <tableColumn id="7" xr3:uid="{6AEDCEB8-4CC8-49D8-A999-CE44ED244989}" name="Allocated works under construction|_x000a_($000)" dataDxfId="511" dataCellStyle="Data_Entry"/>
  </tableColumns>
  <tableStyleInfo name="cc_TableSty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ED96A3D1-888D-4C5E-AB49-435D50DEA40C}" name="tb_4c_4civ_4.34_2" displayName="tb_4c_4civ_4.34_2" ref="A64:F65" totalsRowShown="0" headerRowDxfId="510" dataDxfId="509" tableBorderDxfId="508" headerRowCellStyle="table_headers">
  <autoFilter ref="A64:F65" xr:uid="{ED96A3D1-888D-4C5E-AB49-435D50DEA40C}"/>
  <tableColumns count="6">
    <tableColumn id="1" xr3:uid="{17FE4B36-D701-4C3F-AC50-D97161274900}" name="Section" dataDxfId="507"/>
    <tableColumn id="2" xr3:uid="{1734C0D5-5B2E-48DC-A599-66DA2940013B}" name="Row" dataDxfId="506">
      <calculatedColumnFormula>ROW()</calculatedColumnFormula>
    </tableColumn>
    <tableColumn id="3" xr3:uid="{7621C369-C139-4599-B349-A09AAB315DFA}" name="Context" dataDxfId="505"/>
    <tableColumn id="4" xr3:uid="{8AD2ACF1-83CD-4864-AB43-A58BC3AEBFE7}" name="Category1" dataDxfId="504"/>
    <tableColumn id="5" xr3:uid="{7CF10745-3E20-44B3-85C0-C37F7A9AFE6B}" name="Category2"/>
    <tableColumn id="6" xr3:uid="{44B0BBB6-7ADE-4F5A-AED7-184B65A31578}" name="%" dataDxfId="503" dataCellStyle="Data_Entry"/>
  </tableColumns>
  <tableStyleInfo name="cc_TableSty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C59ECFCC-18DC-43D1-A42B-147060EF7BDA}" name="tb_4c_4cv_4.35_1" displayName="tb_4c_4cv_4.35_1" ref="A69:G72" totalsRowShown="0" headerRowDxfId="502" headerRowCellStyle="table_headers">
  <autoFilter ref="A69:G72" xr:uid="{C59ECFCC-18DC-43D1-A42B-147060EF7BDA}"/>
  <tableColumns count="7">
    <tableColumn id="1" xr3:uid="{932679B6-0D3B-4884-BB71-9B77B01E0813}" name="Section"/>
    <tableColumn id="2" xr3:uid="{4645CC8E-924E-41A6-8934-7101CD326147}" name="Row" dataDxfId="501">
      <calculatedColumnFormula>ROW()</calculatedColumnFormula>
    </tableColumn>
    <tableColumn id="3" xr3:uid="{4CB08C9F-0086-43B5-BD5A-82C305EDFF8C}" name="Context"/>
    <tableColumn id="4" xr3:uid="{34C220B9-B60C-417F-B183-BC0BB6880529}" name="Category1"/>
    <tableColumn id="5" xr3:uid="{8DF3F11F-F3B8-47FC-ADED-E5C669ADFF02}" name="Category2"/>
    <tableColumn id="6" xr3:uid="{23C2A645-AAA6-47AA-9B01-3FD595865D43}" name="Unallocated RAB *|_x000a_($000)" dataDxfId="500" dataCellStyle="Data_Entry"/>
    <tableColumn id="7" xr3:uid="{09389061-9111-45C1-A1C4-8C655AE933F0}" name="RAB|_x000a_($000)" dataDxfId="499" dataCellStyle="Data_Entry"/>
  </tableColumns>
  <tableStyleInfo name="cc_TableSty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E2CAD415-F467-4367-A946-98E33C50F28A}" name="tb_4c_4cvi_4.36_1" displayName="tb_4c_4cvi_4.36_1" ref="A75:I83" totalsRowShown="0" headerRowDxfId="498" headerRowCellStyle="table_headers">
  <autoFilter ref="A75:I83" xr:uid="{E2CAD415-F467-4367-A946-98E33C50F28A}"/>
  <tableColumns count="9">
    <tableColumn id="1" xr3:uid="{F230E3E9-6C0B-49BF-B0D9-3FCB78123933}" name="Section"/>
    <tableColumn id="2" xr3:uid="{E788203B-1EB5-455B-B23B-C13A7A886CEB}" name="Row" dataDxfId="497">
      <calculatedColumnFormula>ROW()</calculatedColumnFormula>
    </tableColumn>
    <tableColumn id="3" xr3:uid="{DC499D28-EF14-4A38-AE74-CECBF679A829}" name="Context"/>
    <tableColumn id="4" xr3:uid="{518E4189-96A3-4D8C-BCC0-EED7B7D60CE4}" name="Category1" dataCellStyle="Data_Entry"/>
    <tableColumn id="5" xr3:uid="{6BCC1F00-AA76-4060-B5EC-27D6008EC202}" name="Category2"/>
    <tableColumn id="6" xr3:uid="{0A64EAC6-53EA-4F5E-8510-E935107493E2}" name="Reason for change of method (text entry)|_x000a_($000)" dataCellStyle="Data_Entry"/>
    <tableColumn id="7" xr3:uid="{2061A7FC-6474-4584-A948-6F57938839E7}" name="Depreciation charge for the period (RAB)|_x000a_($000)" dataCellStyle="Data_Entry"/>
    <tableColumn id="8" xr3:uid="{987C70D4-6CCA-4C3E-9960-12FB4280E18D}" name="Closing RAB value under 'alternative method' depreciation|_x000a_($000)" dataCellStyle="Data_Entry"/>
    <tableColumn id="9" xr3:uid="{5A1074BC-BA7F-4318-9571-0148D81EAC9E}" name="Closing RAB value under 'GAAP' depreciation|_x000a_($000)" dataCellStyle="Data_Entry"/>
  </tableColumns>
  <tableStyleInfo name="cc_TableSty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D5C14AE-7AD5-444F-8528-40A92A2BD862}" name="tb_4c_4ciii_4.33_3" displayName="tb_4c_4ciii_4.33_3" ref="A41:F42" totalsRowShown="0" headerRowDxfId="496" tableBorderDxfId="495" headerRowCellStyle="table_headers">
  <autoFilter ref="A41:F42" xr:uid="{2D5C14AE-7AD5-444F-8528-40A92A2BD862}"/>
  <tableColumns count="6">
    <tableColumn id="1" xr3:uid="{E5745A3D-DFF4-4F6D-8F3A-14B607E26CA1}" name="Section"/>
    <tableColumn id="2" xr3:uid="{CF953D55-1779-4F6B-B5D1-E504B199E97E}" name="Row" dataDxfId="494">
      <calculatedColumnFormula>ROW()</calculatedColumnFormula>
    </tableColumn>
    <tableColumn id="3" xr3:uid="{EE365087-C872-4487-8DAC-D31656AB2B8B}" name="Context"/>
    <tableColumn id="4" xr3:uid="{039FF738-4B0D-432C-918F-8628D07B6433}" name="Category1"/>
    <tableColumn id="5" xr3:uid="{F93FC3F6-1B41-46AA-920D-7732A566248E}" name="Category2"/>
    <tableColumn id="7" xr3:uid="{54A2C1DA-B2B8-4845-A3CA-262444D7BAE8}" name="%" dataDxfId="493" dataCellStyle="Formula">
      <calculatedColumnFormula>IF(F36&lt;&gt;0,F36/F37-1, 0)</calculatedColumnFormula>
    </tableColumn>
  </tableColumns>
  <tableStyleInfo name="cc_TableSty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465B2F92-4033-4C73-8BEA-135079958010}" name="tb_4c_4cvii_4.37_1" displayName="tb_4c_4cvii_4.37_1" ref="A89:O113" totalsRowShown="0" headerRowDxfId="492" headerRowCellStyle="table_headers">
  <autoFilter ref="A89:O113" xr:uid="{465B2F92-4033-4C73-8BEA-135079958010}"/>
  <tableColumns count="15">
    <tableColumn id="1" xr3:uid="{A1B38A71-FF46-4D47-9268-668DD2B7B74E}" name="Section"/>
    <tableColumn id="2" xr3:uid="{281B2CFA-C791-4AEC-971F-A4FD3C75BA1A}" name="Row" dataDxfId="491">
      <calculatedColumnFormula>ROW()</calculatedColumnFormula>
    </tableColumn>
    <tableColumn id="3" xr3:uid="{8AD8679D-ABC7-49A9-83CD-D941DDAD3DB8}" name="Context"/>
    <tableColumn id="4" xr3:uid="{B5269D71-9B5D-4BA2-BA81-CC9A7CE83ADB}" name="Category1"/>
    <tableColumn id="5" xr3:uid="{46258EED-051A-4EAA-916C-36983015C4D8}" name="Category2"/>
    <tableColumn id="6" xr3:uid="{011F6850-DDDB-4850-95FC-DD0896A3A5F7}" name="Opening RAB value" dataDxfId="490" dataCellStyle="Comma"/>
    <tableColumn id="7" xr3:uid="{74C9A72F-7621-40DE-A34D-F97B97E8F6C8}" name="Less depreciation" dataDxfId="489" dataCellStyle="Comma"/>
    <tableColumn id="8" xr3:uid="{B426046A-40AA-445D-8E30-6E6CD4A0A487}" name="Plus revaluations" dataDxfId="488" dataCellStyle="Comma"/>
    <tableColumn id="9" xr3:uid="{AD3DBCFF-47CA-46BA-B977-32643302810D}" name="Plus assets commissioned" dataDxfId="487" dataCellStyle="Comma"/>
    <tableColumn id="10" xr3:uid="{2EEEE23B-CFE7-4948-8B48-C7DEC6CBE7EA}" name="Less asset disposals" dataDxfId="486" dataCellStyle="Comma"/>
    <tableColumn id="11" xr3:uid="{13625DA9-F64A-43CE-8547-0DD9883C4B5D}" name="Plus asset allocation adjustment" dataDxfId="485" dataCellStyle="Comma"/>
    <tableColumn id="12" xr3:uid="{E2427082-52D5-459D-A9C8-BF6861AAA27C}" name="Plus asset category transfers" dataDxfId="484" dataCellStyle="Comma"/>
    <tableColumn id="13" xr3:uid="{241DA10C-25AA-40B7-ACD6-638A12927A1E}" name="Total" dataDxfId="483" dataCellStyle="Formula">
      <calculatedColumnFormula>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calculatedColumnFormula>
    </tableColumn>
    <tableColumn id="14" xr3:uid="{1284A533-1C48-434A-81F9-AA80D211AB03}" name="Weighted average remaining asset life"/>
    <tableColumn id="15" xr3:uid="{DCBD517B-1228-4861-9451-2869A9FB0AC1}" name="Weighted average expected total life"/>
  </tableColumns>
  <tableStyleInfo name="cc_TableSty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95171E92-0D59-4987-BC13-D6EE8DB3223E}" name="tb_4c_4ci_4.31_1" displayName="tb_4c_4ci_4.31_1" ref="A3:J11" totalsRowShown="0" headerRowDxfId="482" headerRowCellStyle="table_headers">
  <autoFilter ref="A3:J11" xr:uid="{95171E92-0D59-4987-BC13-D6EE8DB3223E}"/>
  <tableColumns count="10">
    <tableColumn id="1" xr3:uid="{EB1CA0BF-CB23-4E19-B99A-FDEB946380AA}" name="Section"/>
    <tableColumn id="2" xr3:uid="{E25D0C19-D10D-4F66-B6DB-F7D67B3CB118}" name="Row" dataDxfId="481">
      <calculatedColumnFormula>ROW()</calculatedColumnFormula>
    </tableColumn>
    <tableColumn id="10" xr3:uid="{EA100C5B-256C-45FC-8E4C-C00A308C2DC4}" name="Context"/>
    <tableColumn id="3" xr3:uid="{64D15C7A-893C-40A7-B3F1-55C6D79AEC00}" name="Category1" dataDxfId="480"/>
    <tableColumn id="4" xr3:uid="{2F78F4C0-F3BC-484D-922F-DCDAEEE72767}" name="Category2"/>
    <tableColumn id="5" xr3:uid="{55778F78-BA74-48B3-AC27-DEDB88CB357C}" name="RAB|_x000a_CY-4|_x000a_($000)" dataDxfId="479" dataCellStyle="Formula"/>
    <tableColumn id="6" xr3:uid="{2DE6847F-81EE-48D2-B0EA-B5B412187713}" name="RAB|_x000a_CY-3|_x000a_($000)" dataDxfId="478" dataCellStyle="Formula"/>
    <tableColumn id="7" xr3:uid="{168A9D97-42FB-4A05-B2F7-ADC2D324C55A}" name="RAB|_x000a_CY-2|_x000a_($000)" dataDxfId="477" dataCellStyle="Formula"/>
    <tableColumn id="8" xr3:uid="{986AF762-BFC5-4626-A16A-7805C1E82BD6}" name="RAB|_x000a_CY-1|_x000a_($000)" dataDxfId="476" dataCellStyle="Formula"/>
    <tableColumn id="9" xr3:uid="{F4219D38-D7FA-4006-A749-B6648B176C59}" name="RAB|_x000a_CY|_x000a_($000)" dataDxfId="475" dataCellStyle="Formula"/>
  </tableColumns>
  <tableStyleInfo name="cc_TableSty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4201CD57-8F4E-4343-93C3-6172ECA1E86E}" name="tb_4d_4di_4.41_1" displayName="tb_4d_4di_4.41_1" ref="A3:J10" totalsRowShown="0" headerRowDxfId="474" headerRowCellStyle="table_headers">
  <autoFilter ref="A3:J10" xr:uid="{4201CD57-8F4E-4343-93C3-6172ECA1E86E}"/>
  <tableColumns count="10">
    <tableColumn id="1" xr3:uid="{EF36BBCB-82F9-40D2-ADB8-D167AE67018F}" name="Section"/>
    <tableColumn id="2" xr3:uid="{C9F23A69-DE52-4F52-B54D-B9FD43D6E556}" name="Row" dataDxfId="473">
      <calculatedColumnFormula>ROW()</calculatedColumnFormula>
    </tableColumn>
    <tableColumn id="10" xr3:uid="{B56218B3-9E6E-41A8-BD82-08CA0276C63D}" name="Context"/>
    <tableColumn id="3" xr3:uid="{8B4838C4-8896-4DEB-810C-3F7D67C27A93}" name="Category1" dataDxfId="472"/>
    <tableColumn id="4" xr3:uid="{91BCC846-924A-407A-9E74-A7B468A25CDF}" name="Category2"/>
    <tableColumn id="5" xr3:uid="{8AE38526-9F18-4E00-9640-F324FC51FDAB}" name="RAB|_x000a_CY-4|_x000a_($000)" dataDxfId="471" dataCellStyle="Data_Entry"/>
    <tableColumn id="6" xr3:uid="{56E59FA6-3684-4C57-B1FE-F2F6CBD72320}" name="RAB|_x000a_CY-3|_x000a_($000)" dataDxfId="470" dataCellStyle="Data_Entry"/>
    <tableColumn id="7" xr3:uid="{314C365A-2F37-4EBF-B3D6-40356EBE36EE}" name="RAB|_x000a_CY-2|_x000a_($000)" dataDxfId="469" dataCellStyle="Data_Entry"/>
    <tableColumn id="8" xr3:uid="{B6EE2D8E-72DA-4260-BCD1-9B5B494A30BC}" name="RAB|_x000a_CY-1|_x000a_($000)" dataDxfId="468" dataCellStyle="Data_Entry"/>
    <tableColumn id="9" xr3:uid="{3A2617A8-B88D-47C5-AE41-C4CEE35053BC}" name="RAB|_x000a_CY|_x000a_($000)" dataDxfId="467" dataCellStyle="Formula"/>
  </tableColumns>
  <tableStyleInfo name="cc_TableSty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24B09A7-01D5-4601-9A55-5CC45DFD8B26}" name="tb_4d_4dii_4.42_1" displayName="tb_4d_4dii_4.42_1" ref="A15:G28" totalsRowShown="0" headerRowDxfId="466" headerRowCellStyle="table_headers">
  <autoFilter ref="A15:G28" xr:uid="{324B09A7-01D5-4601-9A55-5CC45DFD8B26}"/>
  <tableColumns count="7">
    <tableColumn id="1" xr3:uid="{4F44216F-C81A-421D-BCED-2F236CCB1B32}" name="Section"/>
    <tableColumn id="2" xr3:uid="{04DB595C-0DA9-4761-98D4-2B3777DC1571}" name="Row" dataDxfId="465">
      <calculatedColumnFormula>ROW()</calculatedColumnFormula>
    </tableColumn>
    <tableColumn id="10" xr3:uid="{560C8511-0E24-48A9-AAFA-3755FE022BB7}" name="Context" dataDxfId="464"/>
    <tableColumn id="3" xr3:uid="{EE557C14-0BD6-4FEE-9EEA-6F5211F611A5}" name="Category1"/>
    <tableColumn id="4" xr3:uid="{CDCCFB9D-55EF-4D75-8F10-BF0CFD583F98}" name="Category2"/>
    <tableColumn id="5" xr3:uid="{AA489A66-D7B5-4E2D-9B9D-B61B3BC43E17}" name="Unallocated RAB *|_x000a_($000)" dataDxfId="463" dataCellStyle="Blank"/>
    <tableColumn id="6" xr3:uid="{962759C1-2714-4B22-842B-65ED78379C22}" name="RAB|_x000a_($000)" dataDxfId="462" dataCellStyle="Formula"/>
  </tableColumns>
  <tableStyleInfo name="cc_TableSty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C4477564-FCBF-43C2-9202-1685A395EA0B}" name="tb_4d_4diii_4.43_1" displayName="tb_4d_4diii_4.43_1" ref="A35:F37" totalsRowShown="0" headerRowDxfId="461" tableBorderDxfId="460" headerRowCellStyle="table_headers">
  <autoFilter ref="A35:F37" xr:uid="{C4477564-FCBF-43C2-9202-1685A395EA0B}"/>
  <tableColumns count="6">
    <tableColumn id="1" xr3:uid="{04871C8C-C4E7-49D7-95D6-E002DA160AAC}" name="Section"/>
    <tableColumn id="2" xr3:uid="{D6DE81EE-B666-44A5-B1DC-456CEAB9E8B9}" name="Row" dataDxfId="459">
      <calculatedColumnFormula>ROW()</calculatedColumnFormula>
    </tableColumn>
    <tableColumn id="3" xr3:uid="{9A5DFF15-EB30-4F31-AD0E-326CF6286B74}" name="Context"/>
    <tableColumn id="4" xr3:uid="{782081E8-1C6B-48D9-B000-47D739A15F15}" name="Category1"/>
    <tableColumn id="5" xr3:uid="{7D852232-CB68-4737-8C4D-87DB37FDD0DE}" name="Category2"/>
    <tableColumn id="6" xr3:uid="{133EB104-3658-4BF2-A3CB-1BE0C3551660}" name="Index" dataCellStyle="Data_Entry"/>
  </tableColumns>
  <tableStyleInfo name="cc_TableSty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565703F3-CA0D-4AFD-A78F-022E998EB0E4}" name="tb_4d_4diii_4.43_2" displayName="tb_4d_4diii_4.43_2" ref="A46:G50" totalsRowShown="0" headerRowDxfId="458" tableBorderDxfId="457" headerRowCellStyle="table_headers">
  <autoFilter ref="A46:G50" xr:uid="{565703F3-CA0D-4AFD-A78F-022E998EB0E4}"/>
  <tableColumns count="7">
    <tableColumn id="1" xr3:uid="{E99D3332-E571-45A0-939C-EEFC3DEAEABA}" name="Section"/>
    <tableColumn id="2" xr3:uid="{53B2464D-7BE0-4859-8D0B-FCC3E1D50D53}" name="Row" dataDxfId="456">
      <calculatedColumnFormula>ROW()</calculatedColumnFormula>
    </tableColumn>
    <tableColumn id="3" xr3:uid="{FC7921D3-3DB3-474E-BA05-6E6464B8915C}" name="Context"/>
    <tableColumn id="4" xr3:uid="{E95B8151-BF62-4496-8C07-229EF704D8AE}" name="Category1"/>
    <tableColumn id="5" xr3:uid="{98425AFF-2FE6-4A65-8A93-16BA88327974}" name="Category2"/>
    <tableColumn id="6" xr3:uid="{A5BDF4CD-B8DE-4C36-80D2-916DFC8B25B0}" name="Unallocated RAB *|_x000a_($000)" dataDxfId="455"/>
    <tableColumn id="7" xr3:uid="{4296D603-C309-4AD7-AA34-20D5C214EFA7}" name="RAB|_x000a_($000)" dataDxfId="454"/>
  </tableColumns>
  <tableStyleInfo name="cc_TableSty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D92EF131-32D0-4358-9E11-A67A409DE58F}" name="tb_4d_4div_4.44_1" displayName="tb_4d_4div_4.44_1" ref="A55:G60" totalsRowShown="0" headerRowDxfId="453" headerRowCellStyle="table_headers">
  <autoFilter ref="A55:G60" xr:uid="{D92EF131-32D0-4358-9E11-A67A409DE58F}"/>
  <tableColumns count="7">
    <tableColumn id="1" xr3:uid="{7236E48D-62EE-4FA7-BD28-F11D10BA9982}" name="Section"/>
    <tableColumn id="2" xr3:uid="{109DEA5C-41F5-454B-AF87-97B6821E1BB7}" name="Row" dataDxfId="452">
      <calculatedColumnFormula>ROW()</calculatedColumnFormula>
    </tableColumn>
    <tableColumn id="3" xr3:uid="{0F059B26-4802-4D74-AC16-4EA4B5C317CE}" name="Context"/>
    <tableColumn id="4" xr3:uid="{99EF57D6-686D-4620-9199-E6E7C67975E8}" name="Category1"/>
    <tableColumn id="5" xr3:uid="{FB092E8B-04A6-45E7-B0A0-F7021822DD3E}" name="Category2"/>
    <tableColumn id="6" xr3:uid="{3A5245B6-2F0A-4908-93AB-EF70E97C6D3F}" name="Unallocated works under construction|_x000a_($000)" dataDxfId="451"/>
    <tableColumn id="7" xr3:uid="{077E0A94-9F45-4DE8-A9FD-B9C487D109EA}" name="Allocated works under construction|_x000a_($000)" dataDxfId="450"/>
  </tableColumns>
  <tableStyleInfo name="cc_TableSty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F8CCC7C0-A1E1-42A1-A7FE-0AF5E2190B2C}" name="tb_4d_4div_4.44_2" displayName="tb_4d_4div_4.44_2" ref="A64:F65" totalsRowShown="0" headerRowDxfId="449" dataDxfId="448" tableBorderDxfId="447" headerRowCellStyle="table_headers">
  <autoFilter ref="A64:F65" xr:uid="{F8CCC7C0-A1E1-42A1-A7FE-0AF5E2190B2C}"/>
  <tableColumns count="6">
    <tableColumn id="1" xr3:uid="{D4E9669E-9165-4AF3-909F-4D7A563228C3}" name="Section" dataDxfId="446"/>
    <tableColumn id="2" xr3:uid="{B9514518-E127-4271-B296-A7B59788917E}" name="Row" dataDxfId="445">
      <calculatedColumnFormula>ROW()</calculatedColumnFormula>
    </tableColumn>
    <tableColumn id="3" xr3:uid="{6C16C7DD-4732-4BC3-A529-799E32AF809A}" name="Context" dataDxfId="444"/>
    <tableColumn id="4" xr3:uid="{127573FB-010F-4EA0-9360-1EE0136518C4}" name="Category1" dataDxfId="443"/>
    <tableColumn id="5" xr3:uid="{99C4478F-582E-48EB-A140-F5311A3DC392}" name="Category2"/>
    <tableColumn id="6" xr3:uid="{C220D2AF-3578-49DC-95D4-7EED150D8276}" name="%" dataDxfId="442" dataCellStyle="Data_Entry"/>
  </tableColumns>
  <tableStyleInfo name="cc_TableSty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B98A9C7C-953C-467E-BBFE-F83A93F4D52C}" name="tb_4d_4dv_4.45_1" displayName="tb_4d_4dv_4.45_1" ref="A69:G72" totalsRowShown="0" headerRowDxfId="441" headerRowCellStyle="table_headers">
  <autoFilter ref="A69:G72" xr:uid="{B98A9C7C-953C-467E-BBFE-F83A93F4D52C}"/>
  <tableColumns count="7">
    <tableColumn id="1" xr3:uid="{4877A4AC-19B1-4D23-9DF4-A9174F32D51D}" name="Section"/>
    <tableColumn id="2" xr3:uid="{682C4311-4BBB-4A24-A0F4-360695D8039B}" name="Row" dataDxfId="440">
      <calculatedColumnFormula>ROW()</calculatedColumnFormula>
    </tableColumn>
    <tableColumn id="3" xr3:uid="{71576641-74C3-4E2C-A043-94302C3C65AA}" name="Context"/>
    <tableColumn id="4" xr3:uid="{EBE6070B-1CB6-4D42-9224-7EBFC852396A}" name="Category1"/>
    <tableColumn id="5" xr3:uid="{BFB8D0AA-491B-41C5-9BB7-5293E758EEB0}" name="Category2"/>
    <tableColumn id="6" xr3:uid="{CB35868E-D194-4FFD-8E19-210CC1B0AFAC}" name="Unallocated RAB *|_x000a_($000)" dataDxfId="439" dataCellStyle="Data_Entry"/>
    <tableColumn id="7" xr3:uid="{3C5DC3DE-9BDF-4AF0-9E8E-F1073F7BC48B}" name="RAB|_x000a_($000)" dataDxfId="438" dataCellStyle="Data_Entry"/>
  </tableColumns>
  <tableStyleInfo name="cc_TableSty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2C651758-C372-47B7-8FD9-EC9CF64AAE80}" name="tb_4d_4dvi_4.46_1" displayName="tb_4d_4dvi_4.46_1" ref="A76:I84" totalsRowShown="0" headerRowDxfId="437" headerRowCellStyle="table_headers">
  <autoFilter ref="A76:I84" xr:uid="{2C651758-C372-47B7-8FD9-EC9CF64AAE80}"/>
  <tableColumns count="9">
    <tableColumn id="1" xr3:uid="{3491448D-0A45-467D-88C6-B4DD79EE622F}" name="Section"/>
    <tableColumn id="2" xr3:uid="{0147EC74-13E9-4C8E-8761-DEECAEC9ECB1}" name="Row" dataDxfId="436">
      <calculatedColumnFormula>ROW()</calculatedColumnFormula>
    </tableColumn>
    <tableColumn id="3" xr3:uid="{0DC2ED56-EE85-4DB7-9368-90FF494791D4}" name="Context"/>
    <tableColumn id="4" xr3:uid="{93F341E8-A820-4B93-88EB-60F5E0F58ACE}" name="Category1" dataCellStyle="Data_Entry"/>
    <tableColumn id="5" xr3:uid="{0F9B10F2-0DCD-4950-8F56-D9505256B25D}" name="Category2"/>
    <tableColumn id="6" xr3:uid="{EB8C081C-F5A6-4CB3-BCB7-DF0A4AE69993}" name="Reason for change of method (text entry)|_x000a_($000)" dataCellStyle="Data_Entry"/>
    <tableColumn id="7" xr3:uid="{417903A1-A09C-4E2C-BE73-A196ED9E43A3}" name="Depreciation charge for the period (RAB)|_x000a_($000)" dataCellStyle="Data_Entry"/>
    <tableColumn id="8" xr3:uid="{E7666778-90E0-479D-AA51-B4372CEEABA6}" name="Closing RAB value under 'alternative method' depreciation|_x000a_($000)" dataCellStyle="Data_Entry"/>
    <tableColumn id="9" xr3:uid="{713D1FD7-5C01-4376-87BE-0E6D862396E3}" name="Closing RAB value under 'GAAP' depreciation|_x000a_($000)" dataCellStyle="Data_Entry"/>
  </tableColumns>
  <tableStyleInfo name="cc_TableSty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B345DD28-4A89-422E-B022-61E0416D50D0}" name="tb_4d_4diii_4.43_3" displayName="tb_4d_4diii_4.43_3" ref="A41:F42" totalsRowShown="0" headerRowDxfId="435" tableBorderDxfId="434" headerRowCellStyle="table_headers">
  <autoFilter ref="A41:F42" xr:uid="{B345DD28-4A89-422E-B022-61E0416D50D0}"/>
  <tableColumns count="6">
    <tableColumn id="1" xr3:uid="{B7745DE8-1D57-4814-8966-4090913EB990}" name="Section"/>
    <tableColumn id="2" xr3:uid="{10CFCDCE-C62B-432D-93A5-2176EB084CFD}" name="Row" dataDxfId="433">
      <calculatedColumnFormula>ROW()</calculatedColumnFormula>
    </tableColumn>
    <tableColumn id="3" xr3:uid="{13C6D868-E568-455D-8973-F3F08A31CA85}" name="Context"/>
    <tableColumn id="4" xr3:uid="{E9046EE3-EACE-4F37-A993-1611D2DB0161}" name="Category1"/>
    <tableColumn id="5" xr3:uid="{4A1DD1BA-F029-468A-A471-9D50D71B0237}" name="Category2"/>
    <tableColumn id="7" xr3:uid="{6E3DBCDA-A0E5-4919-8D70-7A51B7FB66B9}" name="%" dataDxfId="432" dataCellStyle="Formula">
      <calculatedColumnFormula>IF(F36&lt;&gt;0,F36/F37-1, 0)</calculatedColumnFormula>
    </tableColumn>
  </tableColumns>
  <tableStyleInfo name="cc_TableSty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E1B10D6-1541-407C-825F-43A511835443}" name="tb_4d_4dvii_4.47_1" displayName="tb_4d_4dvii_4.47_1" ref="A89:N112" totalsRowShown="0" headerRowDxfId="431" headerRowCellStyle="table_headers">
  <autoFilter ref="A89:N112" xr:uid="{0E1B10D6-1541-407C-825F-43A511835443}"/>
  <tableColumns count="14">
    <tableColumn id="1" xr3:uid="{73FD6082-640A-4C01-B316-97418F654FA2}" name="Section"/>
    <tableColumn id="2" xr3:uid="{50329B05-1764-44D1-A19A-E6E2E358192E}" name="Row" dataDxfId="430">
      <calculatedColumnFormula>ROW()</calculatedColumnFormula>
    </tableColumn>
    <tableColumn id="4" xr3:uid="{E00A5040-A510-4BD0-BF8B-71510CD56BB5}" name="Category1"/>
    <tableColumn id="5" xr3:uid="{46CEE41C-4D21-46A5-9658-2C37D98BD75E}" name="Category2"/>
    <tableColumn id="6" xr3:uid="{5F84CE7B-633C-4AFF-881F-283FE5C1199F}" name="Opening RAB value" dataDxfId="429" dataCellStyle="Comma"/>
    <tableColumn id="7" xr3:uid="{79A0CB2A-94BD-446F-8DB6-45A075C1CBCD}" name="Less depreciation" dataDxfId="428" dataCellStyle="Comma"/>
    <tableColumn id="8" xr3:uid="{261F694B-1D9F-48E9-9FB6-2087FFBC6383}" name="Plus revaluations" dataDxfId="427" dataCellStyle="Comma"/>
    <tableColumn id="9" xr3:uid="{1A4755CA-6D80-4B0D-8DE4-2FEB8B683FE8}" name="Plus assets commissioned" dataDxfId="426" dataCellStyle="Comma"/>
    <tableColumn id="10" xr3:uid="{98CC37DF-69C3-40BF-B1A2-1EEDC18AE94F}" name="Less asset disposals" dataDxfId="425" dataCellStyle="Comma"/>
    <tableColumn id="11" xr3:uid="{D34FA853-AE10-407E-A368-FE4EE5D8C2C1}" name="Plus asset allocation adjustment" dataDxfId="424" dataCellStyle="Comma"/>
    <tableColumn id="12" xr3:uid="{2DE696F7-5D49-488D-B98E-455F484A2DDF}" name="Plus asset category transfers" dataDxfId="423" dataCellStyle="Comma"/>
    <tableColumn id="13" xr3:uid="{4E9C4D9B-E982-462B-AC64-1BD6C5BA5BE3}" name="Total" dataDxfId="422" dataCellStyle="Formula">
      <calculatedColumnFormula>#N/A</calculatedColumnFormula>
    </tableColumn>
    <tableColumn id="14" xr3:uid="{50FA28F3-6587-41F4-858C-D715204EA512}" name="Weighted average remaining asset life"/>
    <tableColumn id="15" xr3:uid="{4A685730-E28B-49F6-BD79-07C8BFA0397D}" name="Weighted average expected total life"/>
  </tableColumns>
  <tableStyleInfo name="cc_TableSty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F1682C1-61CB-41C1-B3AF-38F4606D415B}" name="tb_5_5i_5.01_1" displayName="tb_5_5i_5.01_1" ref="A3:G15" totalsRowShown="0" headerRowDxfId="421" tableBorderDxfId="420" headerRowCellStyle="table_headers">
  <autoFilter ref="A3:G15" xr:uid="{DF1682C1-61CB-41C1-B3AF-38F4606D415B}"/>
  <tableColumns count="7">
    <tableColumn id="1" xr3:uid="{2930B069-A1BE-4085-9B72-D7D3DED731C3}" name="Section"/>
    <tableColumn id="2" xr3:uid="{87A3F77F-4916-4E3A-939F-7258DF942204}" name="Row" dataDxfId="419">
      <calculatedColumnFormula>ROW()</calculatedColumnFormula>
    </tableColumn>
    <tableColumn id="3" xr3:uid="{56B73E31-DD54-485D-9DC6-9D4EFE158D3A}" name="Category1" dataDxfId="418"/>
    <tableColumn id="4" xr3:uid="{6224DDE0-85D3-4137-80CA-E693588E5A2F}" name="Category2" dataDxfId="417"/>
    <tableColumn id="5" xr3:uid="{0E8D11F5-2A79-4069-AA3B-F898D8325D26}" name="PQ FFLAS|_x000a_($000)" dataDxfId="416" dataCellStyle="Comma"/>
    <tableColumn id="6" xr3:uid="{87ECA552-EF03-4CA7-B56C-20068D68F4B1}" name="ID-only FFLAS|_x000a_($000)" dataDxfId="415" dataCellStyle="Comma"/>
    <tableColumn id="7" xr3:uid="{220A9303-8F51-41CC-B856-27D50BCB11D6}" name="ID FFLAS|_x000a_($000)" dataDxfId="414" dataCellStyle="Formula"/>
  </tableColumns>
  <tableStyleInfo name="cc_TableSty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BA73661-4908-4DF6-83BB-FAC72B26C810}" name="tb_5_5ii_5.02_1" displayName="tb_5_5ii_5.02_1" ref="A19:G21" totalsRowShown="0" headerRowDxfId="413" tableBorderDxfId="412" headerRowCellStyle="table_headers">
  <autoFilter ref="A19:G21" xr:uid="{6BA73661-4908-4DF6-83BB-FAC72B26C810}"/>
  <tableColumns count="7">
    <tableColumn id="1" xr3:uid="{6BBDF23C-135F-404D-850F-7329E7E3648C}" name="Section"/>
    <tableColumn id="2" xr3:uid="{FB935602-390B-4C17-919F-5A8251D691C9}" name="Row" dataDxfId="411">
      <calculatedColumnFormula>ROW()</calculatedColumnFormula>
    </tableColumn>
    <tableColumn id="3" xr3:uid="{F3BEC20C-59A8-405B-A9D0-26F05C17219E}" name="Category1" dataDxfId="410"/>
    <tableColumn id="4" xr3:uid="{39B565FD-7F49-4773-9719-3CDEE142843B}" name="Category2" dataDxfId="409"/>
    <tableColumn id="5" xr3:uid="{B2123E8B-FC3A-4F76-AA7D-16F585281297}" name="PQ FFLAS|_x000a_($000)" dataDxfId="408" dataCellStyle="Data_Entry"/>
    <tableColumn id="6" xr3:uid="{3D422C98-0DDC-4EF0-9F3C-5044CBC4D041}" name="ID-only FFLAS|_x000a_($000)" dataDxfId="407" dataCellStyle="Data_Entry"/>
    <tableColumn id="7" xr3:uid="{794DB09B-5DE9-4148-8B76-221D3F42FC00}" name="ID FFLAS|_x000a_($000)" dataDxfId="406" dataCellStyle="Formula">
      <calculatedColumnFormula>SUM(tb_5_5ii_5.02_1[[#This Row],[PQ FFLAS|
($000)]:[ID-only FFLAS|
($000)]])</calculatedColumnFormula>
    </tableColumn>
  </tableColumns>
  <tableStyleInfo name="cc_TableStyl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046A3C7-D047-4C52-8CC1-9A8C8D23203C}" name="tb_5a_5ai_5.11_1" displayName="tb_5a_5ai_5.11_1" ref="A3:H30" totalsRowShown="0" headerRowDxfId="405" tableBorderDxfId="404" headerRowCellStyle="table_headers">
  <autoFilter ref="A3:H30" xr:uid="{E046A3C7-D047-4C52-8CC1-9A8C8D23203C}"/>
  <tableColumns count="8">
    <tableColumn id="1" xr3:uid="{CE61477D-529A-406D-8FC4-521D1B6FE291}" name="Section"/>
    <tableColumn id="2" xr3:uid="{B2A7DDB0-33B0-43E4-A70D-B813674F3C9E}" name="Row" dataDxfId="403">
      <calculatedColumnFormula>ROW()</calculatedColumnFormula>
    </tableColumn>
    <tableColumn id="3" xr3:uid="{A6EFD0AC-006E-4D68-A5FA-E3A70B2E1A99}" name="Category1"/>
    <tableColumn id="4" xr3:uid="{75720A31-E184-4D56-90B0-0CEB906FDEFF}" name="Category2"/>
    <tableColumn id="5" xr3:uid="{10F93670-405D-4599-82BA-67AFE509149B}" name="PQ FFLAS|_x000a_($000)" dataDxfId="402" dataCellStyle="Comma">
      <calculatedColumnFormula>SUM(E2:E3)</calculatedColumnFormula>
    </tableColumn>
    <tableColumn id="6" xr3:uid="{6B08FA8C-CD35-4F26-8E20-24260BFDAF77}" name="ID-only FFLAS|_x000a_($000)" dataDxfId="401" dataCellStyle="Comma"/>
    <tableColumn id="7" xr3:uid="{AF04C669-99D8-4591-B83C-921064ADC7D4}" name="Non-FFLAS|_x000a_($000)" dataDxfId="400" dataCellStyle="Comma"/>
    <tableColumn id="8" xr3:uid="{8D1454F9-4479-4956-B9FD-4292DDA1A3B8}" name="Total Shared Costs|_x000a_($000)" dataDxfId="399" dataCellStyle="Comma"/>
  </tableColumns>
  <tableStyleInfo name="cc_TableStyl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6F0D6D6-8BBA-4BA2-A2B4-A5B2BD9CBCD8}" name="tb_5a_5aii_5.12_1" displayName="tb_5a_5aii_5.12_1" ref="A34:E37" totalsRowShown="0" headerRowDxfId="398" headerRowCellStyle="table_headers">
  <autoFilter ref="A34:E37" xr:uid="{66F0D6D6-8BBA-4BA2-A2B4-A5B2BD9CBCD8}"/>
  <tableColumns count="5">
    <tableColumn id="1" xr3:uid="{D47CA249-A1D7-4CF6-B7F4-3628B9E1F7FC}" name="Section"/>
    <tableColumn id="2" xr3:uid="{5F3A5ADA-C85E-45E4-BCB1-54DB357EFAD3}" name="Row" dataDxfId="397">
      <calculatedColumnFormula>ROW()</calculatedColumnFormula>
    </tableColumn>
    <tableColumn id="3" xr3:uid="{B2CB518E-C46C-4C8A-B188-5363B534147E}" name="Category1"/>
    <tableColumn id="4" xr3:uid="{517064AF-451F-4DC7-BCE6-267A9A087738}" name="Category2"/>
    <tableColumn id="5" xr3:uid="{7402C6B0-B181-45B6-B7C3-0D3A6F1AF87B}" name="($000)" dataDxfId="396"/>
  </tableColumns>
  <tableStyleInfo name="cc_TableStyl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A144690D-FD82-4249-A0F8-26E935BA7857}" name="tb_5a_5aiii_5.13_1" displayName="tb_5a_5aiii_5.13_1" ref="A41:N52" totalsRowShown="0" headerRowDxfId="395" headerRowCellStyle="table_headers">
  <autoFilter ref="A41:N52" xr:uid="{A144690D-FD82-4249-A0F8-26E935BA7857}"/>
  <tableColumns count="14">
    <tableColumn id="1" xr3:uid="{6DE0305E-69A8-40FD-BC8E-ABB625D598E9}" name="Section"/>
    <tableColumn id="2" xr3:uid="{221AC822-F5F5-4202-912A-62711AA13578}" name="Row" dataDxfId="394">
      <calculatedColumnFormula>ROW()</calculatedColumnFormula>
    </tableColumn>
    <tableColumn id="3" xr3:uid="{A8777E0C-5AD7-4B5D-AC02-CDEF0610D281}" name="Category1"/>
    <tableColumn id="4" xr3:uid="{6382E2E8-1928-4936-813C-A2AE3B19046E}" name="Category2" dataDxfId="393"/>
    <tableColumn id="5" xr3:uid="{49718494-7280-4509-8FA0-1EB36761A74F}" name="Cost category" dataDxfId="392" dataCellStyle="Data_Entry"/>
    <tableColumn id="6" xr3:uid="{DFF0E96D-6E9D-4605-9289-E7D44CD2465E}" name="Original allocation or line items" dataDxfId="391" dataCellStyle="Data_Entry"/>
    <tableColumn id="10" xr3:uid="{54F7B345-AC0F-4EA2-8ABF-3BAD3A073B36}" name="New allocation or line items" dataDxfId="390" dataCellStyle="Data_Entry"/>
    <tableColumn id="11" xr3:uid="{4BE7838F-556E-4E87-82BB-1514844E4209}" name="Rationale for change" dataDxfId="389" dataCellStyle="Data_Entry"/>
    <tableColumn id="7" xr3:uid="{4243C785-5659-4C87-8A4F-C6181623E9F6}" name="Original allocation|_x000a_CY-1|_x000a_($000)" dataDxfId="388" dataCellStyle="Data_Entry"/>
    <tableColumn id="8" xr3:uid="{893147B6-89E2-400D-9E7F-E895BCE3095E}" name="Original allocation|_x000a_Current Year (CY)|_x000a_($000)" dataDxfId="387" dataCellStyle="Data_Entry"/>
    <tableColumn id="9" xr3:uid="{09845050-8B38-4482-A806-A60D1E934E05}" name="New allocation|_x000a_CY-1|_x000a_($000)" dataDxfId="386" dataCellStyle="Data_Entry"/>
    <tableColumn id="12" xr3:uid="{7347038A-6DB8-48B8-AEAE-4724F31FB732}" name="New allocation|_x000a_Current Year (CY)|_x000a_($000)" dataDxfId="385" dataCellStyle="Data_Entry"/>
    <tableColumn id="13" xr3:uid="{06C0FCBF-2E5A-449F-81E5-A67B89750E04}" name="Difference|_x000a_CY-1|_x000a_($000)" dataDxfId="384" dataCellStyle="Data_Entry">
      <calculatedColumnFormula>IF(L42&lt;&gt;"",J42-L42,"")</calculatedColumnFormula>
    </tableColumn>
    <tableColumn id="14" xr3:uid="{F2D6FD12-8A3B-4D47-9E14-CE857D48CC5E}" name="Difference|_x000a_Current Year (CY)|_x000a_($000)" dataDxfId="383" dataCellStyle="Data_Entry">
      <calculatedColumnFormula>IF(M42&lt;&gt;"",K42-M42,"")</calculatedColumnFormula>
    </tableColumn>
  </tableColumns>
  <tableStyleInfo name="cc_TableStyl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AA7FB73-C6AB-4041-97BB-E268839E55BE}" name="tb_6_6i_6.01_1" displayName="tb_6_6i_6.01_1" ref="A3:H28" totalsRowShown="0" headerRowDxfId="382" dataDxfId="381" headerRowCellStyle="table_headers">
  <autoFilter ref="A3:H28" xr:uid="{7AA7FB73-C6AB-4041-97BB-E268839E55BE}"/>
  <tableColumns count="8">
    <tableColumn id="1" xr3:uid="{096C2D17-1817-49CE-8A99-642D2E1930AE}" name="Section" dataDxfId="380"/>
    <tableColumn id="2" xr3:uid="{7F201563-86AF-419C-8CD7-E53ACB516F16}" name="Row" dataDxfId="379">
      <calculatedColumnFormula>ROW()</calculatedColumnFormula>
    </tableColumn>
    <tableColumn id="7" xr3:uid="{EA9039E1-2178-4680-92C0-00984CE2965A}" name="Context" dataDxfId="378"/>
    <tableColumn id="3" xr3:uid="{721F8E09-B7FA-481C-B020-1BAD8A6086E2}" name="Category1" dataDxfId="377"/>
    <tableColumn id="11" xr3:uid="{AC2A1928-ADB5-4C91-8D11-B12979B220B3}" name="Category2" dataDxfId="376"/>
    <tableColumn id="4" xr3:uid="{28FD6806-7171-486E-9CC8-FB1ECCF5C188}" name="($000) PQ FFLAS" dataDxfId="375" dataCellStyle="Comma"/>
    <tableColumn id="5" xr3:uid="{C66AA8A4-0096-4173-A3CF-899E09E64C3A}" name="($000) ID-only FFLAS" dataDxfId="374" dataCellStyle="Comma"/>
    <tableColumn id="6" xr3:uid="{03E4117B-886F-4B24-836A-F6103BB9454A}" name="($000) ID FFLAS" dataDxfId="373" dataCellStyle="Formula"/>
  </tableColumns>
  <tableStyleInfo name="cc_TableStyl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2828DAD-BD7A-4E50-883A-5FA8D670360F}" name="tb_6_6ii_6.02_1" displayName="tb_6_6ii_6.02_1" ref="A32:H38" totalsRowShown="0" headerRowDxfId="372" tableBorderDxfId="371" totalsRowBorderDxfId="370" headerRowCellStyle="table_headers">
  <autoFilter ref="A32:H38" xr:uid="{32828DAD-BD7A-4E50-883A-5FA8D670360F}"/>
  <tableColumns count="8">
    <tableColumn id="1" xr3:uid="{66087E30-C7EC-4DD5-8DB1-9731D652986B}" name="Section" dataDxfId="369"/>
    <tableColumn id="2" xr3:uid="{0D6B1AD5-0C26-480B-92A8-A369FD3D00CE}" name="Row" dataDxfId="368">
      <calculatedColumnFormula>ROW()</calculatedColumnFormula>
    </tableColumn>
    <tableColumn id="8" xr3:uid="{BA7F3AC1-6380-4B8B-B7B8-B11481A77245}" name="Context" dataDxfId="367"/>
    <tableColumn id="3" xr3:uid="{E9DB2BC9-1980-448E-85EE-04364747899F}" name="Category1" dataDxfId="366"/>
    <tableColumn id="4" xr3:uid="{4E727C31-5EBF-42BF-8AF7-CFEF1CB18317}" name="Category2" dataDxfId="365"/>
    <tableColumn id="5" xr3:uid="{65FAFCB2-2E5C-4908-AEEB-976D973811BF}" name="($000) PQ FFLAS" dataDxfId="364" dataCellStyle="Comma"/>
    <tableColumn id="6" xr3:uid="{7D27C489-EAB2-4481-8A1E-17D36F7975FD}" name="($000) ID-only FFLAS" dataDxfId="363" dataCellStyle="Comma"/>
    <tableColumn id="7" xr3:uid="{96401527-6DAE-402F-96C9-5888D4071D2A}" name="($000) ID FFLAS" dataDxfId="362" dataCellStyle="Formula"/>
  </tableColumns>
  <tableStyleInfo name="cc_TableStyl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A27EE8F7-C7BF-4AF1-8BFC-EA0D7185E695}" name="tb_6_6iii_6.03_1" displayName="tb_6_6iii_6.03_1" ref="A42:H43" totalsRowShown="0" headerRowDxfId="361" tableBorderDxfId="360" totalsRowBorderDxfId="359" headerRowCellStyle="table_headers">
  <autoFilter ref="A42:H43" xr:uid="{A27EE8F7-C7BF-4AF1-8BFC-EA0D7185E695}"/>
  <tableColumns count="8">
    <tableColumn id="1" xr3:uid="{5AF1110B-D17F-4E44-88CA-2373C26DB82F}" name="Section" dataDxfId="358"/>
    <tableColumn id="2" xr3:uid="{C836C21F-B102-4F67-B7FA-33A0108974F5}" name="Row" dataDxfId="357">
      <calculatedColumnFormula>ROW()</calculatedColumnFormula>
    </tableColumn>
    <tableColumn id="8" xr3:uid="{F6233E80-6580-47A1-88A8-1F3DD9095981}" name="Context" dataDxfId="356"/>
    <tableColumn id="3" xr3:uid="{A41F6775-ADDA-48F9-883E-89F2B5C6BDBB}" name="Category1" dataDxfId="355"/>
    <tableColumn id="4" xr3:uid="{3C12351A-F6D2-47F6-B538-7B8A79AC0F15}" name="Category2" dataDxfId="354"/>
    <tableColumn id="5" xr3:uid="{75E3A53D-7C89-41C4-8D26-D6128FEC72DA}" name="($000) PQ FFLAS" dataDxfId="353" dataCellStyle="Data_Entry"/>
    <tableColumn id="6" xr3:uid="{1A543700-C3E0-4901-A54B-D074E4C2E457}" name="($000) ID-only FFLAS" dataDxfId="352" dataCellStyle="Data_Entry"/>
    <tableColumn id="7" xr3:uid="{B5D25E2E-ECB7-42F5-831D-B78D5EA9DC55}" name="($000) ID FFLAS" dataDxfId="351" dataCellStyle="Formula">
      <calculatedColumnFormula>F43+G43</calculatedColumnFormula>
    </tableColumn>
  </tableColumns>
  <tableStyleInfo name="cc_TableStyl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13508F2-51FD-49E4-BF96-899AB6941DF9}" name="tb_7_7i_7.01_1" displayName="tb_7_7i_7.01_1" ref="A3:J9" totalsRowShown="0" headerRowDxfId="350" dataDxfId="349" headerRowCellStyle="table_headers">
  <autoFilter ref="A3:J9" xr:uid="{D13508F2-51FD-49E4-BF96-899AB6941DF9}"/>
  <tableColumns count="10">
    <tableColumn id="1" xr3:uid="{9A09C655-7470-4066-B9C1-F1B5C716B696}" name="Section" dataDxfId="348"/>
    <tableColumn id="2" xr3:uid="{1654CEA6-B0DA-4D32-A62F-525DF7514A49}" name="Row" dataDxfId="347">
      <calculatedColumnFormula>ROW()</calculatedColumnFormula>
    </tableColumn>
    <tableColumn id="3" xr3:uid="{78033F11-E496-4E4A-B6B2-0544631B89D5}" name="Category1" dataDxfId="346"/>
    <tableColumn id="11" xr3:uid="{A42771E0-868A-475F-BF08-98D965E3E433}" name="Category2" dataDxfId="345"/>
    <tableColumn id="4" xr3:uid="{1D8017ED-00EC-4110-97D1-126A3F4E2CBA}" name="PQ-FFLAS|_x000a_Target ($000) ¹" dataDxfId="344" dataCellStyle="Comma">
      <calculatedColumnFormula>#REF!-#REF!</calculatedColumnFormula>
    </tableColumn>
    <tableColumn id="5" xr3:uid="{989D7EAE-EB78-410E-82C5-ECB4DEF05662}" name="PQ-FFLAS|_x000a_Actual ($000)" dataDxfId="343" dataCellStyle="Comma"/>
    <tableColumn id="6" xr3:uid="{B791810D-B4A5-445F-82DA-06F65D1B13B8}" name="PQ-FFLAS|_x000a_% variance" dataDxfId="342" dataCellStyle="Formula">
      <calculatedColumnFormula>IFERROR((E4-F4)/E4,"")</calculatedColumnFormula>
    </tableColumn>
    <tableColumn id="7" xr3:uid="{2C7ED4AF-386C-4A9E-861B-A4BAA8BD161D}" name="ID-Only|_x000a_Target ($000) ¹" dataDxfId="341" dataCellStyle="Comma"/>
    <tableColumn id="10" xr3:uid="{120424F9-4A7D-46D2-808B-50CF3B6F7638}" name="ID-Only|_x000a_Actual ($000)" dataDxfId="340" dataCellStyle="Comma"/>
    <tableColumn id="8" xr3:uid="{E7F3C3B7-B9BB-4E02-AD8E-5632E480993D}" name="ID-Only|_x000a_% variance" dataDxfId="339">
      <calculatedColumnFormula>IFERROR((H4-I4)/H4,"")</calculatedColumnFormula>
    </tableColumn>
  </tableColumns>
  <tableStyleInfo name="cc_TableStyl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46A6C07-91C3-4F6B-926F-3D97FA2A6C0D}" name="tb_7_7ii_7.02_1" displayName="tb_7_7ii_7.02_1" ref="A13:J35" totalsRowShown="0" headerRowDxfId="338" dataDxfId="337" headerRowCellStyle="table_headers">
  <autoFilter ref="A13:J35" xr:uid="{946A6C07-91C3-4F6B-926F-3D97FA2A6C0D}"/>
  <tableColumns count="10">
    <tableColumn id="1" xr3:uid="{3B8444FD-A759-40A8-B79D-6644FCF229E2}" name="Section" dataDxfId="336"/>
    <tableColumn id="2" xr3:uid="{AE06156B-FCD4-4F34-B721-220BFE202D35}" name="Row" dataDxfId="335">
      <calculatedColumnFormula>ROW()</calculatedColumnFormula>
    </tableColumn>
    <tableColumn id="3" xr3:uid="{67F9ED2A-6B88-41CE-A302-C58EED4669AB}" name="Category1" dataDxfId="334"/>
    <tableColumn id="11" xr3:uid="{564FD4C2-F6D1-4600-849C-DB51C294132A}" name="Category2" dataDxfId="333"/>
    <tableColumn id="4" xr3:uid="{031298E2-02A3-4126-A67C-EDA538455CEB}" name="PQ-FFLAS|_x000a_Forecast ($000)2" dataDxfId="332" dataCellStyle="Formula"/>
    <tableColumn id="5" xr3:uid="{962EF228-C4B5-462B-B6F0-F61AD4BFECE5}" name="PQ-FFLAS|_x000a_Actual ($000)" dataDxfId="331" dataCellStyle="Formula"/>
    <tableColumn id="6" xr3:uid="{D4DC636C-2933-496D-B0D0-3CE2A6F7B2DA}" name="PQ-FFLAS|_x000a_% variance" dataDxfId="330" dataCellStyle="Formula">
      <calculatedColumnFormula>IFERROR((E14-F14)/E14,"")</calculatedColumnFormula>
    </tableColumn>
    <tableColumn id="7" xr3:uid="{E13EFC22-1966-451C-98FB-BA00F9456F9B}" name="ID-Only|_x000a_Forecast ($000)2" dataDxfId="329" dataCellStyle="Formula"/>
    <tableColumn id="10" xr3:uid="{83EB2CFE-8F86-44A7-95E9-F34710933564}" name="ID-Only|_x000a_Actual ($000)" dataDxfId="328" dataCellStyle="Formula"/>
    <tableColumn id="8" xr3:uid="{3831C1B3-9A23-4C93-A816-F964498A8C02}" name="ID-Only|_x000a_% variance" dataDxfId="327" dataCellStyle="Formula">
      <calculatedColumnFormula>IFERROR((H14-I14)/H14,"")</calculatedColumnFormula>
    </tableColumn>
  </tableColumns>
  <tableStyleInfo name="cc_TableStyl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EA70788-F4F6-4049-A226-9F81EBD8DB7D}" name="tb_7_7iii_7.03_1" displayName="tb_7_7iii_7.03_1" ref="A39:J51" totalsRowShown="0" headerRowDxfId="326" tableBorderDxfId="325" totalsRowBorderDxfId="324" headerRowCellStyle="table_headers">
  <autoFilter ref="A39:J51" xr:uid="{2EA70788-F4F6-4049-A226-9F81EBD8DB7D}"/>
  <tableColumns count="10">
    <tableColumn id="1" xr3:uid="{20F327F1-598F-47D1-9DA6-20000505CDDD}" name="Section" dataDxfId="323"/>
    <tableColumn id="2" xr3:uid="{5C4BCAD2-C690-4A77-ADB4-D3D9B4E6A58C}" name="Row" dataDxfId="322">
      <calculatedColumnFormula>ROW()</calculatedColumnFormula>
    </tableColumn>
    <tableColumn id="3" xr3:uid="{3F6F4248-E943-4EA6-B46B-3FAED104A680}" name="Category1" dataDxfId="321"/>
    <tableColumn id="4" xr3:uid="{42406888-EA9D-40CF-A9CB-B3D14E743718}" name="Category2" dataDxfId="320"/>
    <tableColumn id="5" xr3:uid="{B90CFB39-6931-4E76-AD5D-78B652DFE798}" name="PQ-FFLAS|_x000a_Forecast ($000)2" dataDxfId="319" dataCellStyle="Data_Entry"/>
    <tableColumn id="6" xr3:uid="{110CBDCF-4136-461F-B81D-81455D406E77}" name="PQ-FFLAS|_x000a_Actual ($000)" dataDxfId="318" dataCellStyle="Formula"/>
    <tableColumn id="7" xr3:uid="{425107E5-7020-4803-9AB7-CC6088BD0B59}" name="PQ-FFLAS|_x000a_% variance" dataDxfId="317" dataCellStyle="Formula">
      <calculatedColumnFormula>IFERROR((E40-F40)/E40,"")</calculatedColumnFormula>
    </tableColumn>
    <tableColumn id="8" xr3:uid="{737CCC4A-D4D5-42BC-B8F1-0C1A6CB5FCD1}" name="ID-Only|_x000a_Forecast ($000)2" dataDxfId="316" dataCellStyle="Data_Entry"/>
    <tableColumn id="9" xr3:uid="{2597E060-82EB-43E4-B179-82E7B084FC05}" name="ID-Only|_x000a_Actual ($000)" dataDxfId="315" dataCellStyle="Formula"/>
    <tableColumn id="10" xr3:uid="{6D67FC75-CBC6-4774-B99A-D0EA87C74D74}" name="ID-Only|_x000a_% variance" dataDxfId="314" dataCellStyle="Formula">
      <calculatedColumnFormula>IFERROR((H40-I40)/H40,"")</calculatedColumnFormula>
    </tableColumn>
  </tableColumns>
  <tableStyleInfo name="cc_TableStyl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E0829AB4-467C-4AEB-BF3F-84B7F27BCEA7}" name="tb_7_7iv_7.04_1" displayName="tb_7_7iv_7.04_1" ref="A55:J57" totalsRowShown="0" headerRowDxfId="313" tableBorderDxfId="312" totalsRowBorderDxfId="311" headerRowCellStyle="table_headers">
  <autoFilter ref="A55:J57" xr:uid="{E0829AB4-467C-4AEB-BF3F-84B7F27BCEA7}"/>
  <tableColumns count="10">
    <tableColumn id="1" xr3:uid="{D8ADB8F5-9E01-4D9E-BC9A-C972CDE059E8}" name="Section" dataDxfId="310"/>
    <tableColumn id="2" xr3:uid="{651599B0-3E49-4EC1-BDEB-D6A04A5BBA1E}" name="Row" dataDxfId="309">
      <calculatedColumnFormula>ROW()</calculatedColumnFormula>
    </tableColumn>
    <tableColumn id="3" xr3:uid="{30F92DF8-F944-410C-A348-B28440CB4895}" name="Category1" dataDxfId="308"/>
    <tableColumn id="4" xr3:uid="{333B330C-8FBF-4AFC-9483-00C9BB03FD40}" name="Category2" dataDxfId="307"/>
    <tableColumn id="5" xr3:uid="{A15D224C-2EF7-46C1-8ED8-015D2B51DBA6}" name="PQ-FFLAS|_x000a_Forecast ($000)2" dataDxfId="306" dataCellStyle="Data_Entry"/>
    <tableColumn id="6" xr3:uid="{8C10B31E-1F63-4F5D-B451-5E62337455DB}" name="PQ-FFLAS|_x000a_Actual ($000)" dataDxfId="305" dataCellStyle="Formula"/>
    <tableColumn id="7" xr3:uid="{F8BBE7AF-FE7A-4A8F-8C66-C7DD5D4F6BD6}" name="PQ-FFLAS|_x000a_% variance" dataDxfId="304" dataCellStyle="Formula">
      <calculatedColumnFormula>IFERROR((E56-F56)/H56,"")</calculatedColumnFormula>
    </tableColumn>
    <tableColumn id="8" xr3:uid="{7973F380-D769-4D77-8457-F3C928C07F1A}" name="ID-Only|_x000a_Forecast ($000)2"/>
    <tableColumn id="9" xr3:uid="{9DA26277-3BAB-4211-A42E-6ABB1DD11CD0}" name="ID-Only|_x000a_Actual ($000)" dataDxfId="303" dataCellStyle="Formula"/>
    <tableColumn id="10" xr3:uid="{EB3AC751-1BCD-4D8E-ACD2-0A586F5C7AA0}" name="ID-Only|_x000a_% variance" dataDxfId="302" dataCellStyle="Formula">
      <calculatedColumnFormula>IFERROR((H56-I56)/H56,"")</calculatedColumnFormula>
    </tableColumn>
  </tableColumns>
  <tableStyleInfo name="cc_TableStyl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F98A078-F035-4357-82B2-274F6D0E8CE2}" name="tb_8a_8ai_8.11_1" displayName="tb_8a_8ai_8.11_1" ref="A3:M10" totalsRowShown="0" headerRowDxfId="301" tableBorderDxfId="300" headerRowCellStyle="table_headers">
  <autoFilter ref="A3:M10" xr:uid="{BF98A078-F035-4357-82B2-274F6D0E8CE2}"/>
  <tableColumns count="13">
    <tableColumn id="1" xr3:uid="{C39EC0DE-3815-4648-B4B8-6C6A4C6494C3}" name="Section" dataDxfId="299"/>
    <tableColumn id="2" xr3:uid="{E3CF46E1-0754-416F-BCA7-F2917D9CF98C}" name="Row" dataDxfId="298">
      <calculatedColumnFormula>ROW()</calculatedColumnFormula>
    </tableColumn>
    <tableColumn id="13" xr3:uid="{B9DCA608-CDDD-441B-ACCF-67AC659BD1F1}" name="Context" dataDxfId="297"/>
    <tableColumn id="3" xr3:uid="{2E0147B0-2526-405D-A62F-A18BD994937F}" name="Category1" dataCellStyle="Data_Entry"/>
    <tableColumn id="4" xr3:uid="{5069D7E6-37EA-424F-A361-C2EC9A37C19E}" name="Category2" dataDxfId="296"/>
    <tableColumn id="5" xr3:uid="{7F571D59-7F1B-459A-8DA3-5EDE8BAF6028}" name="Issue date" dataDxfId="295"/>
    <tableColumn id="6" xr3:uid="{60D558EE-44DD-44E7-A7A0-20D01F89E2E2}" name="Pricing date" dataDxfId="294"/>
    <tableColumn id="7" xr3:uid="{8F2B3877-36D8-49E9-9996-63242647DD13}" name="Original tenor (in years)" dataDxfId="293"/>
    <tableColumn id="8" xr3:uid="{7FDE4756-A936-44EC-B818-E469D166589D}" name="Coupon rate (%)" dataDxfId="292"/>
    <tableColumn id="9" xr3:uid="{4A86909A-ABD1-4DCB-B471-EEB648CBD0F5}" name="Book value at issue date (NZD)" dataDxfId="291" dataCellStyle="Comma"/>
    <tableColumn id="10" xr3:uid="{7492EF48-E70E-4084-8149-101746296C35}" name="Book value at date of financial statement (NZD)" dataDxfId="290" dataCellStyle="Comma [0]"/>
    <tableColumn id="11" xr3:uid="{60342B0A-6EC5-4345-85D4-D3F817EBBE14}" name="Term Credit Spread Difference" dataDxfId="289" dataCellStyle="Comma [0]"/>
    <tableColumn id="12" xr3:uid="{302E881B-11A6-422D-9D55-25763FC61CD3}" name="Debt issue cost readjustment" dataDxfId="288" dataCellStyle="Comma [0]"/>
  </tableColumns>
  <tableStyleInfo name="cc_TableStyl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D06E012-B32A-4BC7-AC55-5068ACBEABB8}" name="tb_8a_8aii_8.12_1" displayName="tb_8a_8aii_8.12_1" ref="A14:G19" totalsRowShown="0" headerRowDxfId="287" tableBorderDxfId="286" headerRowCellStyle="table_headers">
  <autoFilter ref="A14:G19" xr:uid="{3D06E012-B32A-4BC7-AC55-5068ACBEABB8}"/>
  <tableColumns count="7">
    <tableColumn id="1" xr3:uid="{D13926D6-F295-4900-8595-D1236DBC0BAB}" name="Section" dataDxfId="285"/>
    <tableColumn id="2" xr3:uid="{90E09B1F-DB1E-4352-A02F-BB50571826DC}" name="Row" dataDxfId="284">
      <calculatedColumnFormula>ROW()</calculatedColumnFormula>
    </tableColumn>
    <tableColumn id="5" xr3:uid="{F8E0199B-A51E-4077-A10C-46942598B383}" name="Context" dataDxfId="283"/>
    <tableColumn id="3" xr3:uid="{8BC0D667-8E71-42D3-A31E-1FC6F4826174}" name="Category1" dataCellStyle="Data_Entry"/>
    <tableColumn id="4" xr3:uid="{99EB5049-1287-4036-9C39-B422AF974BDC}" name="Category2" dataDxfId="282"/>
    <tableColumn id="6" xr3:uid="{B412EA46-A578-42A2-9FA4-6C667239FADC}" name="($)" dataDxfId="281" dataCellStyle="Data_Entry">
      <calculatedColumnFormula>K9</calculatedColumnFormula>
    </tableColumn>
    <tableColumn id="7" xr3:uid="{07E98D18-F8FC-45DC-9471-3B9E12D7F94C}" name="%" dataCellStyle="Data_Entry"/>
  </tableColumns>
  <tableStyleInfo name="cc_TableStyl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BA6A3B43-45A5-4965-9DCC-A3EE5A035558}" name="tb_8a_8aii_8.12_2" displayName="tb_8a_8aii_8.12_2" ref="A23:H24" totalsRowShown="0" headerRowDxfId="280" tableBorderDxfId="279" headerRowCellStyle="table_headers">
  <autoFilter ref="A23:H24" xr:uid="{BA6A3B43-45A5-4965-9DCC-A3EE5A035558}"/>
  <tableColumns count="8">
    <tableColumn id="1" xr3:uid="{077657B6-2E43-48BD-A480-202F21ED04C8}" name="Section" dataDxfId="278"/>
    <tableColumn id="2" xr3:uid="{A05AEC43-B089-48E1-B5E7-CD2E60DABF37}" name="Row" dataDxfId="277">
      <calculatedColumnFormula>ROW()</calculatedColumnFormula>
    </tableColumn>
    <tableColumn id="8" xr3:uid="{8D0EE00A-D5E8-43D8-BF34-ED9B8DF8D736}" name="Context" dataDxfId="276"/>
    <tableColumn id="3" xr3:uid="{418FDD82-8E8B-44D3-A734-401162A55F8C}" name="Category1" dataDxfId="275" dataCellStyle="Data_Entry"/>
    <tableColumn id="4" xr3:uid="{0FBBEA58-7FA9-46F1-9163-0784ADFF62DA}" name="Category2" dataDxfId="274"/>
    <tableColumn id="5" xr3:uid="{344B67E5-4A0F-4AD8-9272-38D5F4F7D37F}" name="($)" dataDxfId="273" dataCellStyle="Formula">
      <calculatedColumnFormula>IF(G19="not defined",0,MAX(G19*F15,0))</calculatedColumnFormula>
    </tableColumn>
    <tableColumn id="6" xr3:uid="{84A95102-F55D-4A70-80DA-82DB7CD5CEC1}" name="PQ FFLAS" dataDxfId="272" dataCellStyle="Formula">
      <calculatedColumnFormula>AVERAGE('S4c.PQ RAB Value Rolled F.'!G16,'S4c.PQ RAB Value Rolled F.'!G29)/F18*tb_8a_8aii_8.12_2[[#This Row],[($)]]</calculatedColumnFormula>
    </tableColumn>
    <tableColumn id="7" xr3:uid="{025270FA-E00F-4A28-9EC8-FD1225C0A62A}" name="ID-only FFLAS" dataDxfId="271" dataCellStyle="Formula">
      <calculatedColumnFormula>AVERAGE('S4d.ID-only RAB Value Rolled F'!G16,'S4d.ID-only RAB Value Rolled F'!G28)/F18*tb_8a_8aii_8.12_2[[#This Row],[($)]]</calculatedColumnFormula>
    </tableColumn>
  </tableColumns>
  <tableStyleInfo name="cc_TableStyl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5D26C39-F92B-464F-87B8-DF8BC4FE8EF1}" name="tb_8b_8bii_8.22_1" displayName="tb_8b_8bii_8.22_1" ref="A31:F37" totalsRowShown="0" headerRowDxfId="270" headerRowCellStyle="table_headers">
  <autoFilter ref="A31:F37" xr:uid="{25D26C39-F92B-464F-87B8-DF8BC4FE8EF1}"/>
  <tableColumns count="6">
    <tableColumn id="1" xr3:uid="{68C1D983-9905-4FA9-938E-712BCFD00EBA}" name="Section"/>
    <tableColumn id="2" xr3:uid="{C5CDC872-7513-458D-A2A9-05C6C9168624}" name="Row" dataDxfId="269">
      <calculatedColumnFormula>ROW()</calculatedColumnFormula>
    </tableColumn>
    <tableColumn id="3" xr3:uid="{830A3AC9-5934-4F98-AA96-0BC134D6DD01}" name="Category1"/>
    <tableColumn id="4" xr3:uid="{2A0C529B-D667-4565-96FD-328A299C9B83}" name="Category2"/>
    <tableColumn id="6" xr3:uid="{A0288096-A600-4D78-A885-E378022CD452}" name="PQ FFLAS|_x000a_Actual  (NZD 000)" dataDxfId="268">
      <calculatedColumnFormula>#REF!-E31</calculatedColumnFormula>
    </tableColumn>
    <tableColumn id="7" xr3:uid="{B592CAF1-4289-464D-AAAE-2F5F5434384D}" name="PQ FFLAS|_x000a_Forecast (NZD 000)" dataDxfId="267">
      <calculatedColumnFormula>#REF!</calculatedColumnFormula>
    </tableColumn>
  </tableColumns>
  <tableStyleInfo name="cc_TableStyl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C8DF6FFD-E899-4831-A683-586270D459A9}" name="tb_8b_8bi_8.21_1" displayName="tb_8b_8bi_8.21_1" ref="A3:H27" totalsRowShown="0" headerRowDxfId="266" tableBorderDxfId="265" headerRowCellStyle="table_headers">
  <autoFilter ref="A3:H27" xr:uid="{C8DF6FFD-E899-4831-A683-586270D459A9}"/>
  <tableColumns count="8">
    <tableColumn id="1" xr3:uid="{8248BF7B-DFB6-4DB2-B188-AF92A03EF76E}" name="Section" dataDxfId="264"/>
    <tableColumn id="2" xr3:uid="{0B760BAC-78FB-46AC-9BE6-27F48211779A}" name="Row" dataDxfId="263">
      <calculatedColumnFormula>ROW()</calculatedColumnFormula>
    </tableColumn>
    <tableColumn id="3" xr3:uid="{7662D837-48B6-4670-A9CC-DF7A03A1DB60}" name="Category1" dataDxfId="262"/>
    <tableColumn id="4" xr3:uid="{9136D6E7-516C-4625-ABE3-7282DD6E9757}" name="Category2" dataDxfId="261"/>
    <tableColumn id="5" xr3:uid="{D13F38CA-191D-4724-B807-A88B2F0960F6}" name="PQ FFLAS|_x000a_Actual  (NZD 000)"/>
    <tableColumn id="6" xr3:uid="{67490131-5F5E-40D3-8D01-0032F45AB1F7}" name="PQ FFLAS|_x000a_Forecast (NZD 000)"/>
    <tableColumn id="7" xr3:uid="{610FC6C9-C56F-4CA6-A8BC-AF0C4C6A3832}" name="PQ FFLAS|_x000a_Actual (%)" dataCellStyle="Blank"/>
    <tableColumn id="8" xr3:uid="{B78CC578-E899-4783-9352-DC2371381DD4}" name="PQ FFLAS|_x000a_Forecast (%)" dataCellStyle="Blank"/>
  </tableColumns>
  <tableStyleInfo name="cc_TableStyl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709F08F4-F936-47CB-ACE9-4863E00D445D}" name="tb_9_9i_9.01_1" displayName="tb_9_9i_9.01_1" ref="A3:E6" totalsRowShown="0" headerRowDxfId="260" dataDxfId="259" headerRowCellStyle="table_headers">
  <autoFilter ref="A3:E6" xr:uid="{709F08F4-F936-47CB-ACE9-4863E00D445D}"/>
  <tableColumns count="5">
    <tableColumn id="1" xr3:uid="{0A81B8B1-30C5-4585-8DE7-378B2EB8AF35}" name="Section" dataDxfId="258"/>
    <tableColumn id="2" xr3:uid="{305BA943-D5A3-418C-A735-055CA952D11E}" name="Row" dataDxfId="257">
      <calculatedColumnFormula>ROW()</calculatedColumnFormula>
    </tableColumn>
    <tableColumn id="3" xr3:uid="{4202AAC0-03A5-440A-A9FC-9E9DA8A597A2}" name="Category1" dataDxfId="256"/>
    <tableColumn id="11" xr3:uid="{06006FC5-1390-4F68-A4C2-048BE94D5227}" name="Category2" dataDxfId="255"/>
    <tableColumn id="5" xr3:uid="{87757A4A-2B74-4ABA-B31D-93F5C216E363}" name="($000)" dataDxfId="254" dataCellStyle="Comma">
      <calculatedColumnFormula>E45</calculatedColumnFormula>
    </tableColumn>
  </tableColumns>
  <tableStyleInfo name="cc_TableStyl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EA2BD21-202F-45FE-9CDE-DA37215784B0}" name="tb_9_9iii_9.03_1" displayName="tb_9_9iii_9.03_1" ref="A49:E65" totalsRowShown="0" headerRowDxfId="253" headerRowCellStyle="table_headers">
  <autoFilter ref="A49:E65" xr:uid="{CEA2BD21-202F-45FE-9CDE-DA37215784B0}"/>
  <tableColumns count="5">
    <tableColumn id="1" xr3:uid="{7894C878-D1CB-42F0-B769-58152C3A99C2}" name="Section"/>
    <tableColumn id="2" xr3:uid="{C027889B-4A99-4F67-BADB-31DE02675BBB}" name="Row" dataDxfId="252">
      <calculatedColumnFormula>ROW()</calculatedColumnFormula>
    </tableColumn>
    <tableColumn id="3" xr3:uid="{B9C75834-B008-45EF-9B41-F368791B290E}" name="Category1|_x000a_Name of related party"/>
    <tableColumn id="8" xr3:uid="{2BAA050A-6E81-442C-B955-DF3E588D5AEC}" name="Nature of opex or capex" dataCellStyle="Data_Entry"/>
    <tableColumn id="5" xr3:uid="{20614217-5BE3-4F4D-B953-D135D6F4E55D}" name="Total value of related party transactions ($000)" dataDxfId="251" dataCellStyle="Formula">
      <calculatedColumnFormula>SUM(G7:G49)</calculatedColumnFormula>
    </tableColumn>
  </tableColumns>
  <tableStyleInfo name="cc_TableStyl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23B78671-95C8-4B0B-AD9F-74381563E479}" name="tb_9_9ii_9.02_1" displayName="tb_9_9ii_9.02_1" ref="A40:E45" totalsRowShown="0" headerRowDxfId="250" tableBorderDxfId="249" totalsRowBorderDxfId="248" headerRowCellStyle="table_headers">
  <autoFilter ref="A40:E45" xr:uid="{23B78671-95C8-4B0B-AD9F-74381563E479}"/>
  <tableColumns count="5">
    <tableColumn id="1" xr3:uid="{70C4EDA1-07A2-4E49-BE76-5302023DE8BD}" name="Section" dataDxfId="247"/>
    <tableColumn id="2" xr3:uid="{E2FA4E63-0B70-46F7-8E08-036EE024F3EC}" name="Row" dataDxfId="246">
      <calculatedColumnFormula>ROW()</calculatedColumnFormula>
    </tableColumn>
    <tableColumn id="5" xr3:uid="{538344E0-5381-4C7B-B87D-A66C0DD600A5}" name="Category1|_x000a_Name of related party" dataDxfId="245" dataCellStyle="Data_Entry"/>
    <tableColumn id="6" xr3:uid="{A4798ADB-45D4-403A-BB9D-DDFD526B56E0}" name="Category2|_x000a_Nature of service" dataDxfId="244" dataCellStyle="Data_Entry"/>
    <tableColumn id="7" xr3:uid="{613A0D58-5A7B-4D2F-9A00-828FF8056F26}" name="Total value of related party transactions ($000)" dataCellStyle="Data_Entry"/>
  </tableColumns>
  <tableStyleInfo name="cc_TableStyl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8C3288B-A763-493E-BEBC-6E5C723D9A71}" name="tb_9_9i_9.01_2" displayName="tb_9_9i_9.01_2" ref="A10:E34" totalsRowShown="0" headerRowDxfId="243" dataDxfId="242" headerRowCellStyle="table_headers">
  <autoFilter ref="A10:E34" xr:uid="{08C3288B-A763-493E-BEBC-6E5C723D9A71}"/>
  <tableColumns count="5">
    <tableColumn id="1" xr3:uid="{FC5A6891-EB08-4CA7-911F-CA921839F24C}" name="Section" dataDxfId="241"/>
    <tableColumn id="2" xr3:uid="{A3C530C4-B337-43C5-91BD-9A3B5AAB42A8}" name="Row" dataDxfId="240">
      <calculatedColumnFormula>ROW()</calculatedColumnFormula>
    </tableColumn>
    <tableColumn id="3" xr3:uid="{772F92B2-FFAA-4D10-B0F9-EAACBCE83687}" name="Category1|_x000a_Level 1 category" dataDxfId="239"/>
    <tableColumn id="11" xr3:uid="{CA6DE69F-3138-4C98-9447-EC4EDB519FCA}" name="Category2|_x000a_Level 2 category" dataDxfId="238"/>
    <tableColumn id="5" xr3:uid="{0F7CD169-6AEA-439A-B5C3-B4C3FAE08C89}" name="($000)" dataDxfId="237" dataCellStyle="Comma">
      <calculatedColumnFormula>G87</calculatedColumnFormula>
    </tableColumn>
  </tableColumns>
  <tableStyleInfo name="cc_TableStyl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14E63A7-A34A-4F0B-B833-DE9053223EBA}" name="tb_10a_10a_10.10_1" displayName="tb_10a_10a_10.10_1" ref="A3:AP33" totalsRowShown="0" headerRowDxfId="236" headerRowCellStyle="table_headers">
  <autoFilter ref="A3:AP33" xr:uid="{F14E63A7-A34A-4F0B-B833-DE9053223EBA}"/>
  <tableColumns count="42">
    <tableColumn id="1" xr3:uid="{DFBDE617-F519-4022-826A-C86500CBC2EA}" name="Section"/>
    <tableColumn id="2" xr3:uid="{A8D180FD-99EC-4D14-8313-F9C9F279267D}" name="Row">
      <calculatedColumnFormula>ROW()</calculatedColumnFormula>
    </tableColumn>
    <tableColumn id="43" xr3:uid="{AC34C98F-F103-4CB0-A747-36A9E2826AA6}" name="Context"/>
    <tableColumn id="3" xr3:uid="{39EB4D64-BFCA-4D41-B165-33D232C68A6C}" name="Category1"/>
    <tableColumn id="4" xr3:uid="{A5E91B50-E101-4883-94AC-720C4A94FE0B}" name="Category2"/>
    <tableColumn id="5" xr3:uid="{8D0B6013-05E1-48AC-BDC4-143B1B54CD95}" name="Category3"/>
    <tableColumn id="6" xr3:uid="{677BB0F9-9506-423A-917F-0D93620294DB}" name="Category4"/>
    <tableColumn id="7" xr3:uid="{28D1644F-768E-4F43-8EE4-44186020EF1F}" name="Volumes for new fibre investment|_x000a_Opening volume" dataCellStyle="Data_Entry"/>
    <tableColumn id="8" xr3:uid="{625D66C0-C0C0-46EF-BD0F-533BD28AB9D5}" name="Volumes for new fibre investment|_x000a_Net additional volume" dataDxfId="235" dataCellStyle="Data_Entry"/>
    <tableColumn id="9" xr3:uid="{6A856A2C-1408-40E4-9D7E-11F6DC878890}" name="Volumes for new fibre investment|_x000a_Closing Volume" dataDxfId="234" dataCellStyle="Data_Entry"/>
    <tableColumn id="10" xr3:uid="{9A0C2E34-EB9B-467F-ADFB-500EDC99B95E}" name="Volumes for new fibre investment|_x000a_Data Accuracy(1 to 4)" dataDxfId="233" dataCellStyle="Data_Entry"/>
    <tableColumn id="11" xr3:uid="{9CC80CA5-3707-4D84-B0AA-3CE6501404EB}" name="Asset condition at start of planning period|_x000a_(percentage of units by grade)|_x000a_H1%"/>
    <tableColumn id="12" xr3:uid="{C2634234-7766-4A96-AD51-6315939FCB57}" name="Asset condition at start of planning period|_x000a_(percentage of units by grade)|_x000a_H2%"/>
    <tableColumn id="13" xr3:uid="{E1E81CF4-A88A-44A8-A10F-96C784215A10}" name="Asset condition at start of planning period|_x000a_(percentage of units by grade)|_x000a_H3%"/>
    <tableColumn id="14" xr3:uid="{8A2F1410-3EFD-4811-97CC-4650C8659F17}" name="Asset condition at start of planning period|_x000a_(percentage of units by grade)|_x000a_H4%"/>
    <tableColumn id="15" xr3:uid="{4AA3A362-58C6-4CC0-90F4-C984B34920C0}" name="Asset condition at start of planning period|_x000a_(percentage of units by grade)|_x000a_H5%"/>
    <tableColumn id="16" xr3:uid="{7A584AEA-DC0C-4113-A90F-D4C22F5CD7EB}" name="Asset condition at start of planning period|_x000a_(percentage of units by grade)|_x000a_Data Accuracy(1 to 4)"/>
    <tableColumn id="17" xr3:uid="{696E49D3-8212-495B-A0BC-4AB3FEFB9CC1}" name="% forecast to be replaced in next 5 years" dataDxfId="232" dataCellStyle="Data_Entry"/>
    <tableColumn id="18" xr3:uid="{D7EDF198-D58A-4A66-9A76-BC9072D88D72}" name="Forecast cost of assets to be replaced in next 5 years $000|_x000a_Commission only" dataDxfId="231" dataCellStyle="Data_entry_commission_only"/>
    <tableColumn id="20" xr3:uid="{E4DA5E66-ACF2-4256-AFBC-5AFBD4413E43}" name="Asset Age Profile|_x000a_CY-50+" dataDxfId="230" dataCellStyle="Data_Entry"/>
    <tableColumn id="21" xr3:uid="{8E849526-69FB-4E62-937A-40BD1414A7E5}" name="Asset Age Profile|_x000a_CY-46 to -50" dataDxfId="229" dataCellStyle="Data_Entry"/>
    <tableColumn id="22" xr3:uid="{E8C4DC96-2FF0-4662-A778-1F65371F0DDD}" name="Asset Age Profile|_x000a_CY-41 to -45" dataDxfId="228" dataCellStyle="Data_Entry"/>
    <tableColumn id="23" xr3:uid="{40FEF1F4-898C-4F34-B490-A21D0ECDEEC1}" name="Asset Age Profile|_x000a_CY-36 to -40" dataDxfId="227" dataCellStyle="Data_Entry"/>
    <tableColumn id="24" xr3:uid="{3C3C1028-36E0-4ED1-94E5-3E86E947A587}" name="Asset Age Profile|_x000a_CY-31 to -35" dataDxfId="226" dataCellStyle="Data_Entry"/>
    <tableColumn id="25" xr3:uid="{8001872C-2BC2-4015-9DC7-917E0156DFA4}" name="Asset Age Profile|_x000a_CY-26 to -30" dataDxfId="225" dataCellStyle="Data_Entry"/>
    <tableColumn id="26" xr3:uid="{00BA2FFC-12D8-4941-BF25-3EA3A15540D8}" name="Asset Age Profile|_x000a_CY-21 to -25" dataDxfId="224" dataCellStyle="Data_Entry"/>
    <tableColumn id="27" xr3:uid="{0C102ADC-1F72-48B4-BC57-91A28905D028}" name="Asset Age Profile|_x000a_CY-16 to -20" dataDxfId="223" dataCellStyle="Data_Entry"/>
    <tableColumn id="28" xr3:uid="{CE278019-BF94-4388-AF72-C6E2BFC243D9}" name="Asset Age Profile|_x000a_CY-11 to-15" dataDxfId="222" dataCellStyle="Data_Entry"/>
    <tableColumn id="29" xr3:uid="{62E33A7E-F17D-4B21-84BE-65FD8C7A0241}" name="Asset Age Profile|_x000a_CY-10" dataDxfId="221" dataCellStyle="Data_Entry"/>
    <tableColumn id="30" xr3:uid="{E93C45FA-7400-49D0-890A-11B6D629B6F8}" name="Asset Age Profile|_x000a_CY-9" dataDxfId="220" dataCellStyle="Data_Entry"/>
    <tableColumn id="31" xr3:uid="{0B60A6D7-AAB6-4DC9-9E37-BB21B18193FA}" name="Asset Age Profile|_x000a_CY-8" dataDxfId="219" dataCellStyle="Data_Entry"/>
    <tableColumn id="32" xr3:uid="{E6A6F07B-C12C-4C83-B7A0-B1170760851A}" name="Asset Age Profile|_x000a_CY-7" dataDxfId="218" dataCellStyle="Data_Entry"/>
    <tableColumn id="33" xr3:uid="{D8B85FA1-99D8-412C-A2C9-CDDFE32DE9F2}" name="Asset Age Profile|_x000a_CY-6" dataDxfId="217" dataCellStyle="Data_Entry"/>
    <tableColumn id="34" xr3:uid="{A67ABF66-69C5-42A6-827A-CBA5786160AE}" name="Asset Age Profile|_x000a_CY-5" dataDxfId="216" dataCellStyle="Data_Entry"/>
    <tableColumn id="35" xr3:uid="{030DE989-ADDA-49FF-B704-A53035775373}" name="Asset Age Profile|_x000a_CY-4" dataDxfId="215" dataCellStyle="Data_Entry"/>
    <tableColumn id="36" xr3:uid="{8DCE481B-D80C-4BCD-88B7-7EC603FE001A}" name="Asset Age Profile|_x000a_CY-3" dataDxfId="214" dataCellStyle="Data_Entry"/>
    <tableColumn id="37" xr3:uid="{106108DE-3001-4B8B-B8BA-44FAFA018B9C}" name="Asset Age Profile|_x000a_CY-2" dataDxfId="213" dataCellStyle="Data_Entry"/>
    <tableColumn id="38" xr3:uid="{C65620E9-5F1F-48AE-B620-1FF1519A667C}" name="Asset Age Profile|_x000a_CY-1" dataDxfId="212" dataCellStyle="Data_Entry"/>
    <tableColumn id="39" xr3:uid="{99E8A7D4-92EE-4015-AEAF-7100CDA2FE15}" name="Asset Age Profile|_x000a_CY" dataDxfId="211" dataCellStyle="Data_Entry"/>
    <tableColumn id="40" xr3:uid="{85BC5C84-9EAF-4C16-B061-D1E38A0F06BB}" name="Asset Age Profile|_x000a_No. with age unknown" dataDxfId="210" dataCellStyle="Data_Entry"/>
    <tableColumn id="41" xr3:uid="{B2102F21-90C9-44BB-9E13-4B638A23A57B}" name="Asset Age Profile|_x000a_No. with default dates" dataDxfId="209" dataCellStyle="Data_Entry"/>
    <tableColumn id="42" xr3:uid="{38A971BF-4440-4F2A-8DB6-9FE63619B21D}" name="Asset Age Profile|_x000a_Data accuracy(1–4)" dataDxfId="208" dataCellStyle="Data_Entry"/>
  </tableColumns>
  <tableStyleInfo name="cc_TableStyl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AADD2FDB-C205-45EF-8C9D-A6DFABEFE145}" name="tb_10b_10b_10.20_1" displayName="tb_10b_10b_10.20_1" ref="A3:AP22" totalsRowShown="0" headerRowDxfId="207" headerRowCellStyle="table_headers">
  <autoFilter ref="A3:AP22" xr:uid="{AADD2FDB-C205-45EF-8C9D-A6DFABEFE145}"/>
  <tableColumns count="42">
    <tableColumn id="1" xr3:uid="{3CF0348E-6400-4097-826E-B706B9F8B72E}" name="Section"/>
    <tableColumn id="2" xr3:uid="{33D81A9E-7C80-42D2-9CAF-A4CC87D7CCD2}" name="Row" dataDxfId="206">
      <calculatedColumnFormula>ROW()</calculatedColumnFormula>
    </tableColumn>
    <tableColumn id="43" xr3:uid="{A55113D0-98EC-4701-B859-3428F0FDF341}" name="Context"/>
    <tableColumn id="3" xr3:uid="{A2F1FA33-1B1C-4617-8C7E-5479EAFFE152}" name="Category1"/>
    <tableColumn id="4" xr3:uid="{57988742-02DC-435D-A397-95FE4D71930F}" name="Category2"/>
    <tableColumn id="5" xr3:uid="{483B4E30-1979-495D-B219-85E0374B5AB2}" name="Category3"/>
    <tableColumn id="6" xr3:uid="{9E29C5E4-84D2-4E41-A453-36429BE3B021}" name="Category4"/>
    <tableColumn id="7" xr3:uid="{109A4C0F-F75C-4B37-8E92-09EA370371CD}" name="Volumes for new fibre investment|_x000a_Opening volume" dataDxfId="205" dataCellStyle="Data_Entry"/>
    <tableColumn id="8" xr3:uid="{8F162995-EC89-4413-9B41-236D49C89ED6}" name="Volumes for new fibre investment|_x000a_Net additional volume" dataDxfId="204" dataCellStyle="Data_Entry"/>
    <tableColumn id="9" xr3:uid="{6995563D-75ED-4EA2-A259-F17F69D1A467}" name="Volumes for new fibre investment|_x000a_Closing Volume" dataDxfId="203" dataCellStyle="Data_Entry"/>
    <tableColumn id="10" xr3:uid="{70B2B07D-AF3E-4F78-A4B9-67AB0CD201D7}" name="Volumes for new fibre investment|_x000a_Data Accuracy(1 to 4)" dataDxfId="202" dataCellStyle="Data_Entry"/>
    <tableColumn id="11" xr3:uid="{4BDFC477-5D25-4588-9052-79B33531BE3F}" name="Asset condition at start of planning period|_x000a_(percentage of units by grade)|_x000a_H1%"/>
    <tableColumn id="12" xr3:uid="{61903280-F35E-4F20-88C9-4E15EC5AA156}" name="Asset condition at start of planning period|_x000a_(percentage of units by grade)|_x000a_H2%"/>
    <tableColumn id="13" xr3:uid="{0213B230-A610-451B-97C3-EAD13D1ADC68}" name="Asset condition at start of planning period|_x000a_(percentage of units by grade)|_x000a_H3%"/>
    <tableColumn id="14" xr3:uid="{4C5425A4-D637-4084-889F-63180ED3718F}" name="Asset condition at start of planning period|_x000a_(percentage of units by grade)|_x000a_H4%"/>
    <tableColumn id="15" xr3:uid="{E3DB7105-409E-4493-8407-CEF97C5D0639}" name="Asset condition at start of planning period|_x000a_(percentage of units by grade)|_x000a_H5%"/>
    <tableColumn id="16" xr3:uid="{2B98CDBB-0787-4689-828A-AAF3EC48CC64}" name="Asset condition at start of planning period|_x000a_(percentage of units by grade)|_x000a_Data Accuracy(1 to 4)"/>
    <tableColumn id="17" xr3:uid="{C8DA5B70-D727-414A-B2AC-ABB56A2B18A9}" name="% forecast to be replaced in next 5 years" dataDxfId="201" dataCellStyle="Data_entry_commission_only"/>
    <tableColumn id="18" xr3:uid="{D4E9E17A-2AA9-4450-BDBF-E91239A76A97}" name="Forecast cost of assets to be replaced in next 5 years $000" dataDxfId="200" dataCellStyle="Data_entry_commission_only"/>
    <tableColumn id="20" xr3:uid="{14B3E8BA-D652-4FB7-A5E0-835CF313A3D1}" name="Asset Age Profile|_x000a_CY-50+" dataDxfId="199" dataCellStyle="Data_entry_commission_only"/>
    <tableColumn id="21" xr3:uid="{8FA917EE-3545-4089-8C05-82ECF3E24501}" name="Asset Age Profile|_x000a_CY-46 to -50" dataDxfId="198" dataCellStyle="Data_entry_commission_only"/>
    <tableColumn id="22" xr3:uid="{E99235E8-D5B2-425E-A1EA-5C1936287712}" name="Asset Age Profile|_x000a_CY-41 to -45" dataDxfId="197" dataCellStyle="Data_entry_commission_only"/>
    <tableColumn id="23" xr3:uid="{E94AFD4F-25C5-4734-A657-32AA1BE2BB77}" name="Asset Age Profile|_x000a_CY-36 to -40" dataDxfId="196" dataCellStyle="Data_entry_commission_only"/>
    <tableColumn id="24" xr3:uid="{C3C29B6A-EF93-4E41-8BB3-A74CBB3AEB48}" name="Asset Age Profile|_x000a_CY-31 to -35" dataDxfId="195" dataCellStyle="Data_entry_commission_only"/>
    <tableColumn id="25" xr3:uid="{2E0E0B9F-048D-4B1A-9E9E-41AB687FD3FD}" name="Asset Age Profile|_x000a_CY-26 to -30" dataDxfId="194" dataCellStyle="Data_entry_commission_only"/>
    <tableColumn id="26" xr3:uid="{48B1E319-44C3-4208-A057-CC5B2777033D}" name="Asset Age Profile|_x000a_CY-21 to -25" dataDxfId="193" dataCellStyle="Data_entry_commission_only"/>
    <tableColumn id="27" xr3:uid="{2AC71123-CB75-4FB9-8097-4C81B6E7F535}" name="Asset Age Profile|_x000a_CY-16 to -20" dataDxfId="192" dataCellStyle="Data_entry_commission_only"/>
    <tableColumn id="28" xr3:uid="{08B7A19B-530C-4587-89B4-99FD56D85436}" name="Asset Age Profile|_x000a_CY-11 to-15" dataDxfId="191" dataCellStyle="Data_entry_commission_only"/>
    <tableColumn id="29" xr3:uid="{77E85709-7776-4E43-B413-3B3D75ADC1BF}" name="Asset Age Profile|_x000a_CY-10" dataDxfId="190" dataCellStyle="Data_entry_commission_only"/>
    <tableColumn id="30" xr3:uid="{5998E350-9137-4732-AA03-B70C697C540C}" name="Asset Age Profile|_x000a_CY-9" dataDxfId="189" dataCellStyle="Data_entry_commission_only"/>
    <tableColumn id="31" xr3:uid="{8C859BED-C34A-40F4-B00E-A59B7FEA24CD}" name="Asset Age Profile|_x000a_CY-8" dataDxfId="188" dataCellStyle="Data_entry_commission_only"/>
    <tableColumn id="32" xr3:uid="{0C1B315C-6B62-42B7-BD8F-215733E04747}" name="Asset Age Profile|_x000a_CY-7" dataDxfId="187" dataCellStyle="Data_entry_commission_only"/>
    <tableColumn id="33" xr3:uid="{5DFDE121-7C91-416D-A21E-F83FB0C9C892}" name="Asset Age Profile|_x000a_CY-6" dataDxfId="186" dataCellStyle="Data_entry_commission_only"/>
    <tableColumn id="34" xr3:uid="{EC5B9694-6988-4D26-9382-01B0342E6C7A}" name="Asset Age Profile|_x000a_CY-5" dataDxfId="185" dataCellStyle="Data_entry_commission_only"/>
    <tableColumn id="35" xr3:uid="{E6826A3A-588C-4644-B96B-AD7DDCEB561D}" name="Asset Age Profile|_x000a_CY-4" dataDxfId="184" dataCellStyle="Data_entry_commission_only"/>
    <tableColumn id="36" xr3:uid="{12422647-B5B4-4F59-A83D-5A26EABFAA9B}" name="Asset Age Profile|_x000a_CY-3" dataDxfId="183" dataCellStyle="Data_entry_commission_only"/>
    <tableColumn id="37" xr3:uid="{B5CDD436-AC63-499F-B03E-0BD48B97C75F}" name="Asset Age Profile|_x000a_CY-2" dataDxfId="182" dataCellStyle="Data_entry_commission_only"/>
    <tableColumn id="38" xr3:uid="{165C3AC2-E452-41C7-9FAB-2B5AD24C250D}" name="Asset Age Profile|_x000a_CY-1" dataDxfId="181" dataCellStyle="Data_entry_commission_only"/>
    <tableColumn id="39" xr3:uid="{547311A6-228C-4F72-82F1-D276CE68C2F3}" name="Asset Age Profile|_x000a_CY" dataDxfId="180" dataCellStyle="Data_entry_commission_only"/>
    <tableColumn id="40" xr3:uid="{6A3850FB-74EC-483D-9BAF-E42394FD6703}" name="Asset Age Profile|_x000a_No. with age unknown" dataDxfId="179" dataCellStyle="Data_entry_commission_only"/>
    <tableColumn id="41" xr3:uid="{773AE473-8898-45A4-8466-6249C80AA545}" name="Asset Age Profile|_x000a_No. with default dates" dataDxfId="178" dataCellStyle="Data_entry_commission_only"/>
    <tableColumn id="42" xr3:uid="{903FCD3D-6AE4-40C5-93DB-3263F7D829BB}" name="Asset Age Profile|_x000a_Data accuracy(1–4)" dataCellStyle="Data_entry_commission_only"/>
  </tableColumns>
  <tableStyleInfo name="cc_TableStyl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7966F7-6587-4DCC-8AF8-3ACBC49800B0}" name="tb_11_11i_11.01_1" displayName="tb_11_11i_11.01_1" ref="A3:J30" totalsRowShown="0" headerRowDxfId="177" dataDxfId="176" headerRowCellStyle="table_headers">
  <autoFilter ref="A3:J30" xr:uid="{477966F7-6587-4DCC-8AF8-3ACBC49800B0}"/>
  <tableColumns count="10">
    <tableColumn id="1" xr3:uid="{913344D7-DF62-4D61-8118-499A59A4CCFD}" name="Section" dataDxfId="175"/>
    <tableColumn id="2" xr3:uid="{3E3C5C9E-9EAE-48C9-B5CA-0DE5F343CEFA}" name="Row" dataDxfId="174">
      <calculatedColumnFormula>ROW()</calculatedColumnFormula>
    </tableColumn>
    <tableColumn id="3" xr3:uid="{6A489AEE-6D31-4CA9-BBE4-B59A020A3DFC}" name="Category1" dataDxfId="173"/>
    <tableColumn id="11" xr3:uid="{9E9ED0A2-A5DE-43BF-91E1-386DF7B8B380}" name="Category2" dataDxfId="172"/>
    <tableColumn id="4" xr3:uid="{A8A0DF2F-29A9-460A-B3BC-0346B23B40AA}" name="Current Year Actual|_x000a_$000 (in nominal dollars)" dataDxfId="171" dataCellStyle="Comma"/>
    <tableColumn id="5" xr3:uid="{5D2E90FD-3639-46FE-9CB2-32C0C04DC8D1}" name="CY+1|_x000a_$000 (in nominal dollars" dataDxfId="170" dataCellStyle="Comma"/>
    <tableColumn id="6" xr3:uid="{4E7F6958-D4D5-459C-A975-92D306FA360B}" name="CY+2|_x000a_$000 (in nominal dollars)" dataDxfId="169" dataCellStyle="Comma"/>
    <tableColumn id="7" xr3:uid="{C82F382C-AECC-4005-9C04-8F456C8E3D75}" name="CY+3|_x000a_$000 (in nominal dollars)" dataDxfId="168" dataCellStyle="Comma"/>
    <tableColumn id="10" xr3:uid="{7271276F-3771-455A-8171-06C659DC6613}" name="CY+4|_x000a_$000 (in nominal dollars)|_x000a_May be Commission only" dataDxfId="167" dataCellStyle="Comma"/>
    <tableColumn id="8" xr3:uid="{51002108-29FA-4BA8-BC20-382EC07D9E4A}" name="CY+5|_x000a_$000 (in nominal dollars)|_x000a_May be Commission only" dataDxfId="166" dataCellStyle="Comma"/>
  </tableColumns>
  <tableStyleInfo name="cc_TableStyl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4A08497-884F-4907-8E5C-51E88015E038}" name="tb_11_11i_11.01_2" displayName="tb_11_11i_11.01_2" ref="A34:J60" totalsRowShown="0" headerRowDxfId="165" dataDxfId="164" headerRowCellStyle="table_headers">
  <autoFilter ref="A34:J60" xr:uid="{54A08497-884F-4907-8E5C-51E88015E038}"/>
  <tableColumns count="10">
    <tableColumn id="1" xr3:uid="{C29AD100-C780-4123-A787-210B1F0839B1}" name="Section" dataDxfId="163"/>
    <tableColumn id="2" xr3:uid="{38637B0D-CE46-4898-8279-4DD96C5E531A}" name="Row" dataDxfId="162">
      <calculatedColumnFormula>ROW()</calculatedColumnFormula>
    </tableColumn>
    <tableColumn id="3" xr3:uid="{C0E50093-626E-4FC6-9070-06F958A34643}" name="Category1" dataDxfId="161"/>
    <tableColumn id="11" xr3:uid="{D0BF8EE0-869D-45C7-95C6-903F047F9E40}" name="Category2" dataDxfId="160"/>
    <tableColumn id="4" xr3:uid="{ADB56A29-D386-46F8-B4D3-12A7E1B7D6F6}" name="Current Year Actual|_x000a_$000 (in constant dollars)" dataDxfId="159" dataCellStyle="Comma"/>
    <tableColumn id="5" xr3:uid="{0AF9BEA9-33EB-4DE7-AD8F-865F3E55BBE1}" name="CY+1|_x000a_$000 (in constant dollars" dataDxfId="158" dataCellStyle="Comma"/>
    <tableColumn id="6" xr3:uid="{919DF10E-DA63-429C-9A53-C7885FDF9C87}" name="CY+2|_x000a_$000 (in constant dollars)" dataDxfId="157" dataCellStyle="Comma"/>
    <tableColumn id="7" xr3:uid="{07F29EED-E569-468D-AC0A-0FCFA1651C16}" name="CY+3|_x000a_$000 (in constant dollars)" dataDxfId="156" dataCellStyle="Comma"/>
    <tableColumn id="10" xr3:uid="{1BEB7CB4-9FB7-4DBC-B556-217AE4270172}" name="CY+4|_x000a_$000 (in constant dollars)|_x000a_May be Commission only" dataDxfId="155" dataCellStyle="Comma"/>
    <tableColumn id="8" xr3:uid="{CB948224-BDCA-451B-A516-C999325FA939}" name="CY+5|_x000a_$000 (in constant dollars)|_x000a_May be Commission only" dataDxfId="154" dataCellStyle="Comma"/>
  </tableColumns>
  <tableStyleInfo name="cc_TableStyl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970F7F1-DAC7-469C-AD21-333033258CFF}" name="tb_11_11i_11.01_3" displayName="tb_11_11i_11.01_3" ref="A64:J90" totalsRowShown="0" headerRowDxfId="153" dataDxfId="152" headerRowCellStyle="table_headers">
  <autoFilter ref="A64:J90" xr:uid="{6970F7F1-DAC7-469C-AD21-333033258CFF}"/>
  <tableColumns count="10">
    <tableColumn id="1" xr3:uid="{24459BCB-1100-400D-B9AC-A50AE7E5166F}" name="Section" dataDxfId="151"/>
    <tableColumn id="2" xr3:uid="{735E2D70-77C8-4260-8AE6-8DD3AA29C23F}" name="Row" dataDxfId="150">
      <calculatedColumnFormula>ROW()</calculatedColumnFormula>
    </tableColumn>
    <tableColumn id="3" xr3:uid="{1D4E69FD-1BDA-412D-BD3C-526453FA2FE6}" name="Category1" dataDxfId="149"/>
    <tableColumn id="11" xr3:uid="{C2A1C458-F9AA-4ED1-9C7C-E2D2AF76042F}" name="Category2" dataDxfId="148"/>
    <tableColumn id="4" xr3:uid="{5AEA5A04-09E9-4452-9291-A4449EB23290}" name="Current Year Actual|_x000a_$000 (Difference between nominal and constant price)" dataDxfId="147" dataCellStyle="Formula">
      <calculatedColumnFormula>SUM(E62:E64)</calculatedColumnFormula>
    </tableColumn>
    <tableColumn id="5" xr3:uid="{22772A1C-DA43-4A1B-B8F2-D2FDC1E0AFDA}" name="CY+1|_x000a_$000 (Difference between nominal and constant price)" dataDxfId="146" dataCellStyle="Formula"/>
    <tableColumn id="6" xr3:uid="{39DA1A71-5560-4B6D-B054-4187CABBCE87}" name="CY+2|_x000a_$000 (Difference between nominal and constant price)" dataDxfId="145" dataCellStyle="Formula"/>
    <tableColumn id="7" xr3:uid="{44ECFBB2-3322-436F-9945-3BF9C709140F}" name="CY+3|_x000a_$000 (Difference between nominal and constant price)" dataDxfId="144" dataCellStyle="Formula"/>
    <tableColumn id="10" xr3:uid="{17F7CD98-80F0-4F29-A672-98C770576306}" name="CY+4|_x000a_$000 (Difference between nominal and constant price)|_x000a_May be Commission only" dataDxfId="143" dataCellStyle="Formula"/>
    <tableColumn id="8" xr3:uid="{AB540D34-F725-4AFE-857A-909F53A4ECC0}" name="CY+5|_x000a_$000 (Difference between nominal and constant price)|_x000a_May be Commission only" dataDxfId="142" dataCellStyle="Formula"/>
  </tableColumns>
  <tableStyleInfo name="cc_TableStyl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58512F-26E1-45CF-A8FD-DDBF47B0D0BC}" name="tb_11_11ii_11.02_1" displayName="tb_11_11ii_11.02_1" ref="A94:J100" totalsRowShown="0" headerRowDxfId="141" dataDxfId="140" headerRowCellStyle="table_headers">
  <autoFilter ref="A94:J100" xr:uid="{7A58512F-26E1-45CF-A8FD-DDBF47B0D0BC}"/>
  <tableColumns count="10">
    <tableColumn id="1" xr3:uid="{639A249F-C67A-4CC9-9C9F-BD579EFCB372}" name="Section" dataDxfId="139"/>
    <tableColumn id="2" xr3:uid="{F73D81D5-3A55-40DF-98B8-CEA2AFD22A6C}" name="Row" dataDxfId="138">
      <calculatedColumnFormula>ROW()</calculatedColumnFormula>
    </tableColumn>
    <tableColumn id="3" xr3:uid="{BDE815D1-1AF9-4277-9163-D824334FE0B6}" name="Category1" dataDxfId="137"/>
    <tableColumn id="11" xr3:uid="{1C82A46F-BE2B-4EA3-AF4B-1AEA8DF4954F}" name="Category2" dataDxfId="136"/>
    <tableColumn id="4" xr3:uid="{BCF21B37-B7AB-4A22-899D-609AA32C2AA5}" name="Current Year Actual|_x000a_$000 (in constant dollars)" dataDxfId="135" dataCellStyle="Comma">
      <calculatedColumnFormula>SUM(E90:E94)</calculatedColumnFormula>
    </tableColumn>
    <tableColumn id="5" xr3:uid="{91F4ECF0-DE19-4B86-945A-BEA12C7AB510}" name="CY+1|_x000a_$000 (in constant dollars" dataDxfId="134" dataCellStyle="Comma"/>
    <tableColumn id="6" xr3:uid="{A2387F3E-4BCB-434D-8070-C7ED84D72200}" name="CY+2|_x000a_$000 (in constant dollars)" dataDxfId="133" dataCellStyle="Comma"/>
    <tableColumn id="7" xr3:uid="{A69487F3-85E7-4B9D-9555-4C6211DA7553}" name="CY+3|_x000a_$000 (in nominal dollars)" dataDxfId="132" dataCellStyle="Comma"/>
    <tableColumn id="10" xr3:uid="{CCEAED76-2895-4527-AFA1-1B31A96FBF2B}" name="CY+4|_x000a_$000 (in constant dollars)|_x000a_May be Commission only" dataDxfId="131" dataCellStyle="Comma"/>
    <tableColumn id="8" xr3:uid="{970C652E-667E-4D46-9687-F973E68EFE46}" name="CY+5|_x000a_$000 (in constant dollars)|_x000a_May be Commission only" dataDxfId="130" dataCellStyle="Comma"/>
  </tableColumns>
  <tableStyleInfo name="cc_TableStyl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AFE8BD5-A7D2-415F-8938-0CD36FDF18E3}" name="tb_11a_11ai_11.11_1" displayName="tb_11a_11ai_11.11_1" ref="A3:J17" totalsRowShown="0" headerRowDxfId="129" dataDxfId="128" headerRowCellStyle="table_headers">
  <autoFilter ref="A3:J17" xr:uid="{6AFE8BD5-A7D2-415F-8938-0CD36FDF18E3}"/>
  <tableColumns count="10">
    <tableColumn id="1" xr3:uid="{A29F6058-9C71-4F45-B6D1-7806BAC5E885}" name="Section" dataDxfId="127"/>
    <tableColumn id="2" xr3:uid="{E0BC522B-0C95-4C1B-A9C7-DFEF3DCEB041}" name="Row" dataDxfId="126">
      <calculatedColumnFormula>ROW()</calculatedColumnFormula>
    </tableColumn>
    <tableColumn id="3" xr3:uid="{5CAF0FEC-0D8A-4BB5-9B79-AC4A4E629D73}" name="Category1" dataDxfId="125"/>
    <tableColumn id="11" xr3:uid="{93D3CD0A-293E-4BC2-B9EB-BBFA2D0FCF72}" name="Category2" dataDxfId="124"/>
    <tableColumn id="4" xr3:uid="{54496B73-4035-46F3-B586-3D4660E8B6C5}" name="Current Year Actual|_x000a_$000 (in nominal dollars)" dataDxfId="123" dataCellStyle="Comma"/>
    <tableColumn id="5" xr3:uid="{6753F2FD-D9D8-4846-B397-E6AA20251198}" name="CY+1|_x000a_$000 (in nominal dollars" dataDxfId="122" dataCellStyle="Comma"/>
    <tableColumn id="6" xr3:uid="{938186B1-4989-43B7-A113-9C6D312D30C9}" name="CY+2|_x000a_$000 (in nominal dollars)" dataDxfId="121" dataCellStyle="Comma"/>
    <tableColumn id="7" xr3:uid="{75EA65E8-2908-4109-9025-8441951C7DE4}" name="CY+3|_x000a_$000 (in nominal dollars)" dataDxfId="120" dataCellStyle="Comma"/>
    <tableColumn id="10" xr3:uid="{C82904A2-CBCF-41B5-8AA6-B6B6C9E4BF7E}" name="CY+4|_x000a_$000 (in nominal dollars)|_x000a_May be Commission only" dataDxfId="119" dataCellStyle="Comma"/>
    <tableColumn id="8" xr3:uid="{C514C698-7D6B-4395-9376-D29324776DE1}" name="CY+5|_x000a_$000 (in nominal dollars)|_x000a_May be Commission only" dataDxfId="118" dataCellStyle="Comma"/>
  </tableColumns>
  <tableStyleInfo name="cc_TableStyl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4F4999-6602-4234-9C15-D63C0FB86D41}" name="tb_11a_11ai_11.11_2" displayName="tb_11a_11ai_11.11_2" ref="A21:J33" totalsRowShown="0" headerRowDxfId="117" dataDxfId="116" headerRowCellStyle="table_headers">
  <autoFilter ref="A21:J33" xr:uid="{4F4F4999-6602-4234-9C15-D63C0FB86D41}"/>
  <tableColumns count="10">
    <tableColumn id="1" xr3:uid="{22665676-F5EE-4AF7-BB85-62C1824BE9CE}" name="Section" dataDxfId="115"/>
    <tableColumn id="2" xr3:uid="{383B3B24-62FE-48DD-8200-E23AC48C54DA}" name="Row" dataDxfId="114">
      <calculatedColumnFormula>ROW()</calculatedColumnFormula>
    </tableColumn>
    <tableColumn id="3" xr3:uid="{445FB3AE-701E-4EC4-B13D-8DFEBB40BCA8}" name="Category1" dataDxfId="113"/>
    <tableColumn id="11" xr3:uid="{BED8484F-F5D6-4156-9622-9494D8F6EAF3}" name="Category2" dataDxfId="112"/>
    <tableColumn id="4" xr3:uid="{9332628B-5338-4748-BF6A-9391577FFEEF}" name="Current Year Actual|_x000a_$000 (in nominal dollars)" dataDxfId="111" dataCellStyle="Comma"/>
    <tableColumn id="5" xr3:uid="{1B35ED21-2FFF-47C0-851E-F6A170A9E80C}" name="CY+1|_x000a_$000 (in nominal dollars" dataDxfId="110" dataCellStyle="Comma"/>
    <tableColumn id="6" xr3:uid="{5CCB6965-5BF2-4205-BD84-BECD17C2BFFD}" name="CY+2|_x000a_$000 (in nominal dollars)" dataDxfId="109" dataCellStyle="Comma"/>
    <tableColumn id="7" xr3:uid="{7521055F-65EA-407F-9272-76600B0BCDA3}" name="CY+3|_x000a_$000 (in nominal dollars)" dataDxfId="108" dataCellStyle="Comma"/>
    <tableColumn id="10" xr3:uid="{DAD46889-E173-42A6-BCB4-C2DCEB6BC5CB}" name="CY+4|_x000a_$000 (in nominal dollars)|_x000a_May be Commission only" dataDxfId="107" dataCellStyle="Comma"/>
    <tableColumn id="8" xr3:uid="{0E9768F4-8016-4236-A5EF-09CFD1D47C20}" name="CY+5|_x000a_$000 (in nominal dollars)|_x000a_May be Commission only" dataDxfId="106" dataCellStyle="Comma"/>
  </tableColumns>
  <tableStyleInfo name="cc_TableStyl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68A226-D5C3-4B46-97A6-C7947A4E321D}" name="tb_11a_11ai_11.11_3" displayName="tb_11a_11ai_11.11_3" ref="A37:J49" totalsRowShown="0" headerRowDxfId="105" dataDxfId="104" headerRowCellStyle="table_headers">
  <autoFilter ref="A37:J49" xr:uid="{FB68A226-D5C3-4B46-97A6-C7947A4E321D}"/>
  <tableColumns count="10">
    <tableColumn id="1" xr3:uid="{96F3E61F-93C9-4659-A8C3-2D0AAF7703C4}" name="Section" dataDxfId="103"/>
    <tableColumn id="2" xr3:uid="{DBA70249-6315-4D62-AB19-773711834016}" name="Row" dataDxfId="102">
      <calculatedColumnFormula>ROW()</calculatedColumnFormula>
    </tableColumn>
    <tableColumn id="3" xr3:uid="{BEF0CB08-F581-419B-89B7-3F4D2B08A426}" name="Category1" dataDxfId="101"/>
    <tableColumn id="11" xr3:uid="{D915B126-4E12-431C-923B-43EF467B4D59}" name="Category2" dataDxfId="100"/>
    <tableColumn id="4" xr3:uid="{83F00EE6-7E4B-494B-ADE8-670254B35F8B}" name="Current Year Actual|_x000a_$000 (in nominal dollars)" dataDxfId="99" dataCellStyle="Formula">
      <calculatedColumnFormula>E4-E22</calculatedColumnFormula>
    </tableColumn>
    <tableColumn id="5" xr3:uid="{90EA00FF-5D92-4C1D-BCAE-D0A9890702F2}" name="CY+1|_x000a_$000 (in nominal dollars" dataDxfId="98" dataCellStyle="Formula"/>
    <tableColumn id="6" xr3:uid="{C795584F-C80B-46AE-A6CC-B3D3DBB7E4DB}" name="CY+2|_x000a_$000 (in nominal dollars)" dataDxfId="97" dataCellStyle="Formula"/>
    <tableColumn id="7" xr3:uid="{2984A12E-D9AE-4D09-A35D-86E5F793605A}" name="CY+3|_x000a_$000 (in nominal dollars)" dataDxfId="96" dataCellStyle="Formula"/>
    <tableColumn id="10" xr3:uid="{9713A7A6-AE19-4E25-9CDC-4EFC6F906067}" name="CY+4|_x000a_$000 (in nominal dollars)|_x000a_May be Commission only" dataDxfId="95" dataCellStyle="Formula"/>
    <tableColumn id="8" xr3:uid="{581A6080-309B-4DE8-9882-0E1F880A1F01}" name="CY+5|_x000a_$000 (in nominal dollars)|_x000a_May be Commission only" dataDxfId="94" dataCellStyle="Formula"/>
  </tableColumns>
  <tableStyleInfo name="cc_TableStyl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628FADF-6C1E-466E-A630-4948D4ED5571}" name="tb_12_12i_12.01_1" displayName="tb_12_12i_12.01_1" ref="A3:P30" totalsRowShown="0" headerRowDxfId="93" tableBorderDxfId="92" totalsRowBorderDxfId="91" headerRowCellStyle="table_headers" dataCellStyle="Formula">
  <autoFilter ref="A3:P30" xr:uid="{A628FADF-6C1E-466E-A630-4948D4ED5571}"/>
  <tableColumns count="16">
    <tableColumn id="1" xr3:uid="{833F94AB-BF4E-4B9C-965C-520672A0CB29}" name="Section" dataDxfId="90"/>
    <tableColumn id="2" xr3:uid="{1684EF76-252C-4A94-9F36-E8340A67C740}" name="Row" dataDxfId="89">
      <calculatedColumnFormula>ROW()</calculatedColumnFormula>
    </tableColumn>
    <tableColumn id="3" xr3:uid="{C7D56B16-F332-4487-BFF2-0420224EE619}" name="Category1|_x000a_POI Area" dataDxfId="88"/>
    <tableColumn id="4" xr3:uid="{126D3C8C-1302-4A28-9755-09600820F835}" name="Current year|_x000a_Number of COs" dataCellStyle="Data_Entry"/>
    <tableColumn id="5" xr3:uid="{27AF41D8-F9E3-4C0F-B1D3-C26ECE4A70B2}" name="Current Year|_x000a_Number of P2P end-user connections within POI area" dataDxfId="87" dataCellStyle="Data_Entry"/>
    <tableColumn id="6" xr3:uid="{6E1260FE-43AB-444E-B093-686C2EE1CB48}" name="3 Year Forecast|_x000a_Number of P2P end users within POI area|_x000a_Commission only" dataDxfId="86" dataCellStyle="Formula"/>
    <tableColumn id="7" xr3:uid="{ACEFE696-42D1-46FC-AE54-1497E58AA693}" name="5 Year Forecast|_x000a_Number of P2P end users within POI area|_x000a_Commission only" dataDxfId="85" dataCellStyle="Formula"/>
    <tableColumn id="8" xr3:uid="{C84C15EB-D84A-4078-9B08-968A1B61526C}" name="Current Year|_x000a_Number of PON end-users from CO" dataDxfId="84" dataCellStyle="Data_Entry"/>
    <tableColumn id="9" xr3:uid="{79103018-C966-4572-B97C-6C3546C35C00}" name="3 Year Forecast|_x000a_Number of PON end-users from CO|_x000a_Commission only" dataDxfId="83" dataCellStyle="Formula"/>
    <tableColumn id="10" xr3:uid="{357E2707-F5B5-4BF6-817E-31ABEC70347C}" name="5 Year Forecast|_x000a_Number of PON end-users from CO|_x000a_Commission only" dataDxfId="82" dataCellStyle="Formula"/>
    <tableColumn id="11" xr3:uid="{72C774EB-A5BF-45A9-A1DC-25DB6509FE01}" name="Current year central office (CO) to fibre flexibility point (FFPs), with percentage fill greater than 85%" dataDxfId="81" dataCellStyle="Data_Entry"/>
    <tableColumn id="12" xr3:uid="{F32606B5-9221-43A5-B01E-53391ADF3104}" name="3 Year Forecast Central office (CO) to fibre flexibility point (FFPs), with percentage fill greater than 85%|_x000a_Commission only" dataDxfId="80" dataCellStyle="Formula"/>
    <tableColumn id="13" xr3:uid="{28C4A3E0-9AED-4FB6-A02B-EC55753BED06}" name="5 Year Forecast Central office (CO) to fibre flexibility point (FFPs), with percentage fill greater than 85%|_x000a_Commission only" dataDxfId="79" dataCellStyle="Formula"/>
    <tableColumn id="14" xr3:uid="{258A5EFE-3B1B-4E22-B943-DDB476D3C521}" name="Current year Premises" dataDxfId="78" dataCellStyle="Data_Entry"/>
    <tableColumn id="15" xr3:uid="{A530BD49-DCFB-4FE8-A683-D83D925BF139}" name="3 Year Forecast Permises Passed|_x000a_Commission only" dataDxfId="77" dataCellStyle="Formula"/>
    <tableColumn id="16" xr3:uid="{03BF5C83-EA02-4D58-B0CA-6763DA810F26}" name="5 Year Forecast Permises Passed|_x000a_Commission only" dataDxfId="76" dataCellStyle="Formula"/>
  </tableColumns>
  <tableStyleInfo name="cc_TableStyl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31E9F81-E3D1-49A1-8E6D-C94AA273CEBA}" name="tb_12a_12ai_12.11_1" displayName="tb_12a_12ai_12.11_1" ref="A3:K26" totalsRowShown="0" headerRowDxfId="75" dataDxfId="74" headerRowCellStyle="table_headers">
  <autoFilter ref="A3:K26" xr:uid="{331E9F81-E3D1-49A1-8E6D-C94AA273CEBA}"/>
  <tableColumns count="11">
    <tableColumn id="1" xr3:uid="{877E2A23-CC93-4AF4-BE28-4B25B099D69E}" name="Section" dataDxfId="73"/>
    <tableColumn id="2" xr3:uid="{3E195AC2-AC56-47DE-9B07-F61589050A6B}" name="Row" dataDxfId="72">
      <calculatedColumnFormula>ROW()</calculatedColumnFormula>
    </tableColumn>
    <tableColumn id="9" xr3:uid="{364148F6-C1C3-4A9E-83F7-0D093FD73C92}" name="Context" dataDxfId="71"/>
    <tableColumn id="3" xr3:uid="{74270DE7-C460-4BDA-BC83-E7E52321AC41}" name="Category1" dataDxfId="70"/>
    <tableColumn id="11" xr3:uid="{2D86841A-E622-44A7-97E4-821CD484D3BA}" name="Category2" dataDxfId="69"/>
    <tableColumn id="4" xr3:uid="{522B3737-0CD8-4DE3-B97C-CC3AB62B3D20}" name="Number of connections|_x000a_Current Year CY|_x000a_Commission only" dataDxfId="68" dataCellStyle="Comma">
      <calculatedColumnFormula>#REF!-#REF!</calculatedColumnFormula>
    </tableColumn>
    <tableColumn id="5" xr3:uid="{1861E047-4B9B-4305-8047-8C131229B77D}" name="Number of connections|_x000a_CY+1|_x000a_Commission only" dataDxfId="67" dataCellStyle="Formula"/>
    <tableColumn id="6" xr3:uid="{C3CC95CE-D518-4F84-B52D-C95C9CD4EB80}" name="Number of connections|_x000a_CY+2|_x000a_Commission only" dataDxfId="66" dataCellStyle="Comma"/>
    <tableColumn id="7" xr3:uid="{C5607519-803A-409B-98D0-AAAB327596ED}" name="Number of connections|_x000a_CY+3|_x000a_Commission only" dataDxfId="65" dataCellStyle="Comma"/>
    <tableColumn id="10" xr3:uid="{30BDCE15-D00E-4EAA-98F9-DFA59D504F8E}" name="Number of connections|_x000a_CY+4|_x000a_Commission only" dataDxfId="64" dataCellStyle="Comma"/>
    <tableColumn id="8" xr3:uid="{92F4D139-2F12-42F9-B7F0-20C7395C40A1}" name="Number of connections|_x000a_CY+5|_x000a_Commission only" dataDxfId="63" dataCellStyle="Comma">
      <calculatedColumnFormula>#REF!-#REF!</calculatedColumnFormula>
    </tableColumn>
  </tableColumns>
  <tableStyleInfo name="cc_TableStyl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568D7AA-6256-4A03-8DEA-015E9BB69708}" name="tb_12a_12aii_12.12_1" displayName="tb_12a_12aii_12.12_1" ref="A30:K60" totalsRowShown="0" headerRowDxfId="62" dataDxfId="61" tableBorderDxfId="60" totalsRowBorderDxfId="59" headerRowCellStyle="table_headers" dataCellStyle="Data_entry_commission_only">
  <autoFilter ref="A30:K60" xr:uid="{5568D7AA-6256-4A03-8DEA-015E9BB69708}"/>
  <tableColumns count="11">
    <tableColumn id="1" xr3:uid="{D336062F-DEB6-4296-A862-113F48067C31}" name="Section" dataDxfId="58"/>
    <tableColumn id="2" xr3:uid="{0253405B-7B56-436C-82BA-2A2F7D1C0EB2}" name="Row" dataDxfId="57">
      <calculatedColumnFormula>ROW()</calculatedColumnFormula>
    </tableColumn>
    <tableColumn id="11" xr3:uid="{934A6968-B2D1-460C-AA05-84F4A1EE2AF5}" name="Context" dataDxfId="56"/>
    <tableColumn id="3" xr3:uid="{3DDB3F60-A06C-40CE-BEA9-39D51DB68BC9}" name="Category1" dataDxfId="55" dataCellStyle="Data_Entry"/>
    <tableColumn id="4" xr3:uid="{8CF10D2B-4AB6-43DD-84D5-D59B11E847CA}" name="Category2" dataDxfId="54"/>
    <tableColumn id="5" xr3:uid="{A6496B26-EFE9-45B4-9A2C-D627BE42C812}" name="Demand by POI area|_x000a_Current Year CY|_x000a_Commission only" dataDxfId="53" dataCellStyle="Data_entry_commission_only">
      <calculatedColumnFormula>SUM(E3:E30)</calculatedColumnFormula>
    </tableColumn>
    <tableColumn id="6" xr3:uid="{0011810E-C844-4EA3-9BEC-E4B6B96A5EEA}" name="Demand by POI area|_x000a_CY+1|_x000a_Commission only" dataDxfId="52" dataCellStyle="Data_entry_commission_only">
      <calculatedColumnFormula>SUM(F27:F30)</calculatedColumnFormula>
    </tableColumn>
    <tableColumn id="7" xr3:uid="{FF24E345-2737-4B17-AB85-D02A2DAF6D3F}" name="Demand by POI area|_x000a_CY+2|_x000a_Commission only" dataDxfId="51" dataCellStyle="Data_entry_commission_only">
      <calculatedColumnFormula>SUM(G3:G30)</calculatedColumnFormula>
    </tableColumn>
    <tableColumn id="8" xr3:uid="{B7A18847-4109-4C66-826C-39A68DA522D8}" name="Demand by POI area|_x000a_CY+3|_x000a_Commission only" dataDxfId="50" dataCellStyle="Data_entry_commission_only">
      <calculatedColumnFormula>SUM(H3:H30)</calculatedColumnFormula>
    </tableColumn>
    <tableColumn id="9" xr3:uid="{BEA21191-0AB2-41F3-9E21-74407C916B10}" name="Demand by POI area|_x000a_CY+4|_x000a_Commission only" dataDxfId="49" dataCellStyle="Data_entry_commission_only">
      <calculatedColumnFormula>SUM(I3:I30)</calculatedColumnFormula>
    </tableColumn>
    <tableColumn id="10" xr3:uid="{E5BE448E-5E90-44FB-8C8A-7227B29B7D65}" name="Demand by POI area|_x000a_CY+5|_x000a_Commission only" dataDxfId="48" dataCellStyle="Data_entry_commission_only">
      <calculatedColumnFormula>SUM(J3:J30)</calculatedColumnFormula>
    </tableColumn>
  </tableColumns>
  <tableStyleInfo name="cc_TableStyl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75EC89B-22ED-46A2-B9C9-8AED3307359A}" name="tb_12a_12aii_12.12_2" displayName="tb_12a_12aii_12.12_2" ref="A64:K91" totalsRowShown="0" headerRowDxfId="47" dataDxfId="46" tableBorderDxfId="45" totalsRowBorderDxfId="44" headerRowCellStyle="table_headers" dataCellStyle="Data_entry_commission_only">
  <autoFilter ref="A64:K91" xr:uid="{775EC89B-22ED-46A2-B9C9-8AED3307359A}"/>
  <tableColumns count="11">
    <tableColumn id="1" xr3:uid="{344CF7C3-3EB3-42BD-9FB1-302C875C81CE}" name="Section" dataDxfId="43"/>
    <tableColumn id="2" xr3:uid="{5662C4DE-523A-4E80-B690-DC8BFD345D3B}" name="Row" dataDxfId="42">
      <calculatedColumnFormula>ROW()</calculatedColumnFormula>
    </tableColumn>
    <tableColumn id="11" xr3:uid="{2713A19C-F005-42D4-BC0A-FA9EEF35CDA4}" name="Column1"/>
    <tableColumn id="3" xr3:uid="{8D31D0F4-05BE-4464-8DE1-7AAB93866774}" name="Category1" dataDxfId="41" dataCellStyle="Data_Entry"/>
    <tableColumn id="4" xr3:uid="{A3AD53BE-ABB0-4E90-A196-9714BBCF6D5D}" name="Category2" dataDxfId="40"/>
    <tableColumn id="5" xr3:uid="{2D3DC328-62DC-45B9-A290-B5671ECE1A19}" name="Demand by POI area|_x000a_Current Year CY|_x000a_Commission only" dataDxfId="39" dataCellStyle="Data_entry_commission_only">
      <calculatedColumnFormula>SUM(E39:E64)</calculatedColumnFormula>
    </tableColumn>
    <tableColumn id="6" xr3:uid="{A3B4150E-6C18-4CA9-8F2B-50AEB2FC87DC}" name="Demand by POI area|_x000a_CY+1|_x000a_Commission only" dataDxfId="38" dataCellStyle="Data_entry_commission_only">
      <calculatedColumnFormula>SUM(F39:F64)</calculatedColumnFormula>
    </tableColumn>
    <tableColumn id="7" xr3:uid="{1E78EB77-1A3E-4137-AFBA-32EB2F35931D}" name="Demand by POI area|_x000a_CY+2|_x000a_Commission only" dataDxfId="37" dataCellStyle="Data_entry_commission_only">
      <calculatedColumnFormula>SUM(G39:G64)</calculatedColumnFormula>
    </tableColumn>
    <tableColumn id="8" xr3:uid="{899DFC14-C1A3-4326-9725-0666BE865161}" name="Demand by POI area|_x000a_CY+3|_x000a_Commission only" dataDxfId="36" dataCellStyle="Data_entry_commission_only">
      <calculatedColumnFormula>SUM(H39:H64)</calculatedColumnFormula>
    </tableColumn>
    <tableColumn id="9" xr3:uid="{64FEEFC1-0546-4C22-A2EC-94F698D31B9E}" name="Demand by POI area|_x000a_CY+4|_x000a_Commission only" dataDxfId="35" dataCellStyle="Data_entry_commission_only">
      <calculatedColumnFormula>SUM(I39:I64)</calculatedColumnFormula>
    </tableColumn>
    <tableColumn id="10" xr3:uid="{648FF82E-48A9-4B6E-8218-B213A819708A}" name="Demand by POI area|_x000a_CY+5|_x000a_Commission only" dataDxfId="34" dataCellStyle="Data_entry_commission_only">
      <calculatedColumnFormula>SUM(J39:J64)</calculatedColumnFormula>
    </tableColumn>
  </tableColumns>
  <tableStyleInfo name="cc_TableStyl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E066D73-BF78-4A61-92B6-29665EC9E380}" name="tb_12a_12aii_12.12_3" displayName="tb_12a_12aii_12.12_3" ref="A95:K122" totalsRowShown="0" headerRowDxfId="33" dataDxfId="32" tableBorderDxfId="31" totalsRowBorderDxfId="30" headerRowCellStyle="table_headers" dataCellStyle="Data_entry_commission_only">
  <autoFilter ref="A95:K122" xr:uid="{0E066D73-BF78-4A61-92B6-29665EC9E380}"/>
  <tableColumns count="11">
    <tableColumn id="1" xr3:uid="{693CD67F-4E84-4E78-B7B9-7EA71593B79E}" name="Section"/>
    <tableColumn id="2" xr3:uid="{9460500B-DDE3-48A5-975A-78218E0B49C1}" name="Row">
      <calculatedColumnFormula>ROW()</calculatedColumnFormula>
    </tableColumn>
    <tableColumn id="11" xr3:uid="{453528E4-556D-447F-8565-0DA5AC6498C0}" name="Context"/>
    <tableColumn id="3" xr3:uid="{1943BCC2-4761-4F68-983F-CF21B27649FC}" name="Category1" dataDxfId="29" dataCellStyle="Data_Entry"/>
    <tableColumn id="4" xr3:uid="{251C9E17-9C5B-4CAF-87A9-0B8453E0985A}" name="Category2"/>
    <tableColumn id="5" xr3:uid="{CA29B79E-4299-4356-BE88-4C690300B5B3}" name="Average to Peak Ratio by POI area|_x000a_Current Year CY" dataDxfId="28" dataCellStyle="Formula">
      <calculatedColumnFormula>IFERROR(F65/F31,"")</calculatedColumnFormula>
    </tableColumn>
    <tableColumn id="6" xr3:uid="{49617D6F-EA49-488D-B92F-4C22760E3BD3}" name="Average to Peak Ratio by POI area|_x000a_CY+1" dataDxfId="27" dataCellStyle="Formula">
      <calculatedColumnFormula>IFERROR(G65/G31,"")</calculatedColumnFormula>
    </tableColumn>
    <tableColumn id="7" xr3:uid="{05F16DF5-F897-4766-8B6D-487BE5910FB8}" name="Average to Peak Ratio by POI area|_x000a_CY+2" dataDxfId="26" dataCellStyle="Formula">
      <calculatedColumnFormula>IFERROR(H65/H31,"")</calculatedColumnFormula>
    </tableColumn>
    <tableColumn id="8" xr3:uid="{23D5E126-32AA-4A60-843B-F1EDA3EBE317}" name="Average to Peak Ratio by POI area|_x000a_CY+3" dataDxfId="25" dataCellStyle="Formula">
      <calculatedColumnFormula>IFERROR(I65/I31,"")</calculatedColumnFormula>
    </tableColumn>
    <tableColumn id="9" xr3:uid="{EBA9F94A-79F6-4EC2-9DFF-843DFA23A61B}" name="Average to Peak Ratio by POI area|_x000a_CY+4" dataDxfId="24" dataCellStyle="Formula">
      <calculatedColumnFormula>IFERROR(J65/J31,"")</calculatedColumnFormula>
    </tableColumn>
    <tableColumn id="10" xr3:uid="{5A656EB3-B18F-42D7-BE46-252065003497}" name="Average to Peak Ratio by POI area|_x000a_CY+5" dataDxfId="23" dataCellStyle="Formula">
      <calculatedColumnFormula>IFERROR(K65/K31,"")</calculatedColumnFormula>
    </tableColumn>
  </tableColumns>
  <tableStyleInfo name="cc_TableStyl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375417AA-8FE3-4095-892D-D52765C1EB96}" name="tb_13_13i_13.01_1" displayName="tb_13_13i_13.01_1" ref="A3:P34" totalsRowShown="0" headerRowDxfId="22" dataDxfId="21" tableBorderDxfId="20" totalsRowBorderDxfId="19" headerRowCellStyle="table_headers">
  <autoFilter ref="A3:P34" xr:uid="{375417AA-8FE3-4095-892D-D52765C1EB96}"/>
  <tableColumns count="16">
    <tableColumn id="10" xr3:uid="{E03D017A-7E8A-4778-93E2-5B80A5B88D77}" name="Section" dataDxfId="18"/>
    <tableColumn id="1" xr3:uid="{499B6F21-4DE7-49FC-83FC-E48A94BA0868}" name="Question No." dataDxfId="17"/>
    <tableColumn id="2" xr3:uid="{194C60F4-5E53-4759-8051-56954833AEF3}" name="Function" dataDxfId="16"/>
    <tableColumn id="4" xr3:uid="{9C4A2442-CB12-4454-BB3F-FA28D6923BF2}" name="Question" dataDxfId="15"/>
    <tableColumn id="5" xr3:uid="{58423665-606B-4285-A3B4-E3476FBC08DB}" name="Maturity Level Score" dataCellStyle="Data_Entry"/>
    <tableColumn id="6" xr3:uid="{70F91724-E432-4270-9B6A-1739B4A21AE0}" name="Evidence - Summary" dataCellStyle="Data_Entry"/>
    <tableColumn id="7" xr3:uid="{BBB93FC1-18A6-48F4-8914-E8659043F0AC}" name="Target Score CY+3" dataCellStyle="Data_Entry"/>
    <tableColumn id="8" xr3:uid="{9AD8E74B-4B27-4158-9B5E-BF4783CCDCDB}" name="Initiatives planned to achieve target score" dataCellStyle="Data_Entry"/>
    <tableColumn id="9" xr3:uid="{11ACA161-5503-4038-A6C9-6E79A0B3B53C}" name="Why" dataDxfId="14"/>
    <tableColumn id="11" xr3:uid="{0713E474-B98F-4E7B-9EE4-B8E5F320076E}" name="Who" dataDxfId="13" dataCellStyle="Data_Entry"/>
    <tableColumn id="12" xr3:uid="{9AA3015D-4407-4184-977A-E89385314F17}" name="Record/documented Information" dataDxfId="12" dataCellStyle="Data_Entry"/>
    <tableColumn id="13" xr3:uid="{FA8664AB-F42E-4B59-8CE4-6D31AD4BC89D}" name="Maturity Level 0" dataDxfId="11" dataCellStyle="Data_Entry"/>
    <tableColumn id="14" xr3:uid="{E39FA243-7991-48BA-B77B-5E3AEADEF9A6}" name="Maturity Level 1" dataDxfId="10" dataCellStyle="Data_Entry"/>
    <tableColumn id="15" xr3:uid="{F470E68C-22B9-49B2-A5EA-FC9C21C3FE8B}" name="Maturity Level 2" dataDxfId="9" dataCellStyle="Data_Entry"/>
    <tableColumn id="16" xr3:uid="{C28A45AD-47A9-4989-AA9F-DE64918D019D}" name="Maturity Level 3" dataDxfId="8" dataCellStyle="Data_Entry"/>
    <tableColumn id="17" xr3:uid="{BFFC6115-25B3-43AB-95BB-72B71DA2812A}" name="Maturity Level 4" dataDxfId="7" dataCellStyle="Data_Entry"/>
  </tableColumns>
  <tableStyleInfo name="cc_TableStyl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C0782D3-03A2-4303-98F6-F194263EBDCA}" name="tb_13_13ii_13.02_1" displayName="tb_13_13ii_13.02_1" ref="A3:H15" totalsRowShown="0" headerRowDxfId="6" dataDxfId="5" headerRowCellStyle="table_headers">
  <autoFilter ref="A3:H15" xr:uid="{CC0782D3-03A2-4303-98F6-F194263EBDCA}"/>
  <tableColumns count="8">
    <tableColumn id="9" xr3:uid="{B512DD64-A6EF-45C7-9DF0-60C795ABF16C}" name="Section" dataDxfId="4"/>
    <tableColumn id="1" xr3:uid="{21F767D4-2E0C-4A87-8572-F8BE404A03AF}" name="Question No." dataDxfId="3"/>
    <tableColumn id="2" xr3:uid="{783312FD-A0BC-4310-AD14-FD5CDD53257D}" name="Function" dataDxfId="2"/>
    <tableColumn id="3" xr3:uid="{06D4D741-CA72-479A-B7A0-ED618D793599}" name="Standard Ref. (For guidance only)" dataDxfId="1"/>
    <tableColumn id="4" xr3:uid="{4EFAB0C8-CA23-4794-B40D-60A1EF594035}" name="Scope/purpose of description" dataDxfId="0"/>
    <tableColumn id="6" xr3:uid="{578B82A1-3030-4308-AA3B-FD7FC07EED04}" name="Evidence - Summary" dataCellStyle="Data_Entry"/>
    <tableColumn id="7" xr3:uid="{1A9D4FD3-59B5-49F5-B475-08985E4CC621}" name="User Guidance" dataCellStyle="Data_Entry"/>
    <tableColumn id="8" xr3:uid="{B9F27057-8313-47CC-AACE-746E04537994}" name="Description of Practices" dataCellStyle="Data_Entry"/>
  </tableColumns>
  <tableStyleInfo name="cc_Table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7.bin"/><Relationship Id="rId4"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8.bin"/><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9.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0.bin"/><Relationship Id="rId5" Type="http://schemas.openxmlformats.org/officeDocument/2006/relationships/table" Target="../tables/table22.xml"/><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table" Target="../tables/table31.xml"/><Relationship Id="rId3" Type="http://schemas.openxmlformats.org/officeDocument/2006/relationships/table" Target="../tables/table26.xml"/><Relationship Id="rId7" Type="http://schemas.openxmlformats.org/officeDocument/2006/relationships/table" Target="../tables/table30.xml"/><Relationship Id="rId2" Type="http://schemas.openxmlformats.org/officeDocument/2006/relationships/table" Target="../tables/table25.xml"/><Relationship Id="rId1" Type="http://schemas.openxmlformats.org/officeDocument/2006/relationships/printerSettings" Target="../printerSettings/printerSettings12.bin"/><Relationship Id="rId6" Type="http://schemas.openxmlformats.org/officeDocument/2006/relationships/table" Target="../tables/table29.xml"/><Relationship Id="rId11" Type="http://schemas.openxmlformats.org/officeDocument/2006/relationships/table" Target="../tables/table34.xml"/><Relationship Id="rId5" Type="http://schemas.openxmlformats.org/officeDocument/2006/relationships/table" Target="../tables/table28.xml"/><Relationship Id="rId10" Type="http://schemas.openxmlformats.org/officeDocument/2006/relationships/table" Target="../tables/table33.xml"/><Relationship Id="rId4" Type="http://schemas.openxmlformats.org/officeDocument/2006/relationships/table" Target="../tables/table27.xml"/><Relationship Id="rId9" Type="http://schemas.openxmlformats.org/officeDocument/2006/relationships/table" Target="../tables/table32.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table" Target="../tables/table35.xml"/><Relationship Id="rId1" Type="http://schemas.openxmlformats.org/officeDocument/2006/relationships/printerSettings" Target="../printerSettings/printerSettings13.bin"/><Relationship Id="rId6" Type="http://schemas.openxmlformats.org/officeDocument/2006/relationships/table" Target="../tables/table39.xml"/><Relationship Id="rId11" Type="http://schemas.openxmlformats.org/officeDocument/2006/relationships/table" Target="../tables/table44.xml"/><Relationship Id="rId5" Type="http://schemas.openxmlformats.org/officeDocument/2006/relationships/table" Target="../tables/table38.xml"/><Relationship Id="rId10" Type="http://schemas.openxmlformats.org/officeDocument/2006/relationships/table" Target="../tables/table43.xml"/><Relationship Id="rId4" Type="http://schemas.openxmlformats.org/officeDocument/2006/relationships/table" Target="../tables/table37.xml"/><Relationship Id="rId9" Type="http://schemas.openxmlformats.org/officeDocument/2006/relationships/table" Target="../tables/table42.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51.xml"/><Relationship Id="rId3" Type="http://schemas.openxmlformats.org/officeDocument/2006/relationships/table" Target="../tables/table46.xml"/><Relationship Id="rId7" Type="http://schemas.openxmlformats.org/officeDocument/2006/relationships/table" Target="../tables/table50.xml"/><Relationship Id="rId2" Type="http://schemas.openxmlformats.org/officeDocument/2006/relationships/table" Target="../tables/table45.xml"/><Relationship Id="rId1" Type="http://schemas.openxmlformats.org/officeDocument/2006/relationships/printerSettings" Target="../printerSettings/printerSettings14.bin"/><Relationship Id="rId6" Type="http://schemas.openxmlformats.org/officeDocument/2006/relationships/table" Target="../tables/table49.xml"/><Relationship Id="rId11" Type="http://schemas.openxmlformats.org/officeDocument/2006/relationships/table" Target="../tables/table54.xml"/><Relationship Id="rId5" Type="http://schemas.openxmlformats.org/officeDocument/2006/relationships/table" Target="../tables/table48.xml"/><Relationship Id="rId10" Type="http://schemas.openxmlformats.org/officeDocument/2006/relationships/table" Target="../tables/table53.xml"/><Relationship Id="rId4" Type="http://schemas.openxmlformats.org/officeDocument/2006/relationships/table" Target="../tables/table47.xml"/><Relationship Id="rId9" Type="http://schemas.openxmlformats.org/officeDocument/2006/relationships/table" Target="../tables/table5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table" Target="../tables/table57.xml"/><Relationship Id="rId1" Type="http://schemas.openxmlformats.org/officeDocument/2006/relationships/printerSettings" Target="../printerSettings/printerSettings16.bin"/><Relationship Id="rId4" Type="http://schemas.openxmlformats.org/officeDocument/2006/relationships/table" Target="../tables/table59.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table" Target="../tables/table60.xml"/><Relationship Id="rId1" Type="http://schemas.openxmlformats.org/officeDocument/2006/relationships/printerSettings" Target="../printerSettings/printerSettings17.bin"/><Relationship Id="rId4" Type="http://schemas.openxmlformats.org/officeDocument/2006/relationships/table" Target="../tables/table62.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table" Target="../tables/table63.xml"/><Relationship Id="rId1" Type="http://schemas.openxmlformats.org/officeDocument/2006/relationships/printerSettings" Target="../printerSettings/printerSettings18.bin"/><Relationship Id="rId5" Type="http://schemas.openxmlformats.org/officeDocument/2006/relationships/table" Target="../tables/table66.xml"/><Relationship Id="rId4" Type="http://schemas.openxmlformats.org/officeDocument/2006/relationships/table" Target="../tables/table65.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68.xml"/><Relationship Id="rId2" Type="http://schemas.openxmlformats.org/officeDocument/2006/relationships/table" Target="../tables/table67.xml"/><Relationship Id="rId1" Type="http://schemas.openxmlformats.org/officeDocument/2006/relationships/printerSettings" Target="../printerSettings/printerSettings19.bin"/><Relationship Id="rId4" Type="http://schemas.openxmlformats.org/officeDocument/2006/relationships/table" Target="../tables/table69.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table" Target="../tables/table7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73.xml"/><Relationship Id="rId2" Type="http://schemas.openxmlformats.org/officeDocument/2006/relationships/table" Target="../tables/table72.xml"/><Relationship Id="rId1" Type="http://schemas.openxmlformats.org/officeDocument/2006/relationships/printerSettings" Target="../printerSettings/printerSettings21.bin"/><Relationship Id="rId5" Type="http://schemas.openxmlformats.org/officeDocument/2006/relationships/table" Target="../tables/table75.xml"/><Relationship Id="rId4" Type="http://schemas.openxmlformats.org/officeDocument/2006/relationships/table" Target="../tables/table74.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7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79.xml"/><Relationship Id="rId2" Type="http://schemas.openxmlformats.org/officeDocument/2006/relationships/table" Target="../tables/table78.xml"/><Relationship Id="rId1" Type="http://schemas.openxmlformats.org/officeDocument/2006/relationships/printerSettings" Target="../printerSettings/printerSettings24.bin"/><Relationship Id="rId5" Type="http://schemas.openxmlformats.org/officeDocument/2006/relationships/table" Target="../tables/table81.xml"/><Relationship Id="rId4" Type="http://schemas.openxmlformats.org/officeDocument/2006/relationships/table" Target="../tables/table80.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83.xml"/><Relationship Id="rId2" Type="http://schemas.openxmlformats.org/officeDocument/2006/relationships/table" Target="../tables/table82.xml"/><Relationship Id="rId1" Type="http://schemas.openxmlformats.org/officeDocument/2006/relationships/printerSettings" Target="../printerSettings/printerSettings25.bin"/><Relationship Id="rId4" Type="http://schemas.openxmlformats.org/officeDocument/2006/relationships/table" Target="../tables/table84.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8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87.xml"/><Relationship Id="rId2" Type="http://schemas.openxmlformats.org/officeDocument/2006/relationships/table" Target="../tables/table86.xml"/><Relationship Id="rId1" Type="http://schemas.openxmlformats.org/officeDocument/2006/relationships/printerSettings" Target="../printerSettings/printerSettings27.bin"/><Relationship Id="rId5" Type="http://schemas.openxmlformats.org/officeDocument/2006/relationships/table" Target="../tables/table89.xml"/><Relationship Id="rId4" Type="http://schemas.openxmlformats.org/officeDocument/2006/relationships/table" Target="../tables/table88.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9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9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D3D1-D812-45F4-9439-CE6C7BA5161B}">
  <sheetPr codeName="Sheet1">
    <tabColor indexed="10"/>
    <pageSetUpPr fitToPage="1"/>
  </sheetPr>
  <dimension ref="A1:C24"/>
  <sheetViews>
    <sheetView showGridLines="0" tabSelected="1" zoomScaleNormal="100" zoomScaleSheetLayoutView="100" workbookViewId="0"/>
  </sheetViews>
  <sheetFormatPr defaultColWidth="9.73046875" defaultRowHeight="14.45" customHeight="1" x14ac:dyDescent="0.45"/>
  <cols>
    <col min="1" max="1" width="28.3984375" customWidth="1"/>
    <col min="2" max="2" width="46.1328125" customWidth="1"/>
    <col min="3" max="3" width="48.265625" customWidth="1"/>
    <col min="4" max="4" width="9.73046875" customWidth="1"/>
  </cols>
  <sheetData>
    <row r="1" spans="1:3" ht="14.25" x14ac:dyDescent="0.45">
      <c r="A1" s="79"/>
      <c r="B1" s="1"/>
      <c r="C1" s="1"/>
    </row>
    <row r="2" spans="1:3" ht="131.25" customHeight="1" x14ac:dyDescent="0.45">
      <c r="A2" s="2"/>
      <c r="B2" s="3"/>
      <c r="C2" s="3"/>
    </row>
    <row r="3" spans="1:3" ht="23.25" x14ac:dyDescent="0.7">
      <c r="A3" s="4" t="s">
        <v>0</v>
      </c>
      <c r="B3" s="5"/>
      <c r="C3" s="5"/>
    </row>
    <row r="4" spans="1:3" ht="27.75" customHeight="1" x14ac:dyDescent="0.7">
      <c r="A4" s="4" t="s">
        <v>785</v>
      </c>
      <c r="B4" s="5"/>
      <c r="C4" s="5"/>
    </row>
    <row r="5" spans="1:3" ht="27.75" customHeight="1" x14ac:dyDescent="0.7">
      <c r="A5" s="4" t="s">
        <v>1</v>
      </c>
      <c r="B5" s="5"/>
      <c r="C5" s="5"/>
    </row>
    <row r="6" spans="1:3" ht="21" x14ac:dyDescent="0.65">
      <c r="A6" s="6" t="s">
        <v>2</v>
      </c>
      <c r="B6" s="5"/>
      <c r="C6" s="5"/>
    </row>
    <row r="7" spans="1:3" ht="42" customHeight="1" x14ac:dyDescent="0.45">
      <c r="A7" s="7"/>
      <c r="B7" s="150" t="s">
        <v>1175</v>
      </c>
      <c r="C7" s="149"/>
    </row>
    <row r="8" spans="1:3" ht="3" customHeight="1" x14ac:dyDescent="0.45">
      <c r="A8" s="2"/>
      <c r="B8" s="3"/>
      <c r="C8" s="3"/>
    </row>
    <row r="9" spans="1:3" ht="15" customHeight="1" x14ac:dyDescent="0.45">
      <c r="A9" s="2"/>
      <c r="B9" s="8" t="s">
        <v>3</v>
      </c>
      <c r="C9" s="9" t="s">
        <v>4</v>
      </c>
    </row>
    <row r="10" spans="1:3" ht="3.75" customHeight="1" x14ac:dyDescent="0.45">
      <c r="A10" s="2"/>
      <c r="B10" s="3"/>
      <c r="C10" s="3"/>
    </row>
    <row r="11" spans="1:3" ht="15" customHeight="1" x14ac:dyDescent="0.45">
      <c r="A11" s="2"/>
      <c r="B11" s="8" t="s">
        <v>5</v>
      </c>
      <c r="C11" s="9"/>
    </row>
    <row r="12" spans="1:3" ht="3" customHeight="1" x14ac:dyDescent="0.45">
      <c r="A12" s="2"/>
      <c r="B12" s="3"/>
      <c r="C12" s="3"/>
    </row>
    <row r="13" spans="1:3" ht="15" customHeight="1" x14ac:dyDescent="0.45">
      <c r="A13" s="2"/>
      <c r="B13" s="8" t="s">
        <v>6</v>
      </c>
      <c r="C13" s="9"/>
    </row>
    <row r="14" spans="1:3" ht="14.25" x14ac:dyDescent="0.45">
      <c r="A14" s="2"/>
      <c r="B14" s="10"/>
      <c r="C14" s="10"/>
    </row>
    <row r="15" spans="1:3" ht="15" customHeight="1" x14ac:dyDescent="0.45">
      <c r="A15" s="2"/>
      <c r="B15" s="10"/>
      <c r="C15" s="10"/>
    </row>
    <row r="16" spans="1:3" ht="15" customHeight="1" x14ac:dyDescent="0.45">
      <c r="A16" s="11" t="s">
        <v>7</v>
      </c>
      <c r="B16" s="12"/>
      <c r="C16" s="5"/>
    </row>
    <row r="17" spans="1:3" ht="15" customHeight="1" x14ac:dyDescent="0.45">
      <c r="A17" s="13" t="s">
        <v>782</v>
      </c>
      <c r="B17" s="5"/>
      <c r="C17" s="5"/>
    </row>
    <row r="18" spans="1:3" ht="15" customHeight="1" x14ac:dyDescent="0.45">
      <c r="A18" s="13"/>
      <c r="B18" s="5"/>
      <c r="C18" s="5"/>
    </row>
    <row r="19" spans="1:3" ht="15" customHeight="1" x14ac:dyDescent="0.45">
      <c r="A19" s="13"/>
      <c r="B19" s="14" t="s">
        <v>8</v>
      </c>
      <c r="C19" s="5"/>
    </row>
    <row r="20" spans="1:3" ht="15" customHeight="1" x14ac:dyDescent="0.45">
      <c r="A20" s="13"/>
      <c r="B20" s="5"/>
      <c r="C20" s="5"/>
    </row>
    <row r="21" spans="1:3" ht="15" customHeight="1" x14ac:dyDescent="0.45">
      <c r="A21" s="13"/>
      <c r="B21" s="15" t="s">
        <v>9</v>
      </c>
      <c r="C21" s="15" t="s">
        <v>10</v>
      </c>
    </row>
    <row r="22" spans="1:3" ht="15" customHeight="1" x14ac:dyDescent="0.45">
      <c r="A22" s="13"/>
      <c r="B22" s="16" t="s">
        <v>11</v>
      </c>
      <c r="C22" s="16" t="s">
        <v>12</v>
      </c>
    </row>
    <row r="23" spans="1:3" ht="15" customHeight="1" x14ac:dyDescent="0.45">
      <c r="A23" s="13"/>
      <c r="B23" s="16" t="s">
        <v>13</v>
      </c>
      <c r="C23" s="16" t="s">
        <v>14</v>
      </c>
    </row>
    <row r="24" spans="1:3" ht="15" customHeight="1" x14ac:dyDescent="0.45">
      <c r="A24" s="13"/>
      <c r="B24" s="17" t="s">
        <v>1177</v>
      </c>
      <c r="C24" s="17" t="s">
        <v>1176</v>
      </c>
    </row>
  </sheetData>
  <sheetProtection formatRows="0" insertRows="0"/>
  <dataValidations count="2">
    <dataValidation operator="greaterThan" allowBlank="1" showInputMessage="1" showErrorMessage="1" errorTitle="Date entry" error="Dates after 1 January 2011 accepted" promptTitle="Company entry" prompt=" " sqref="C9" xr:uid="{E87FC90D-AE59-439A-B4BD-77699B9DB344}"/>
    <dataValidation type="date" operator="greaterThan" allowBlank="1" showInputMessage="1" showErrorMessage="1" errorTitle="Date entry" error="Dates after 1 January 2011 accepted" promptTitle="Date entry" prompt=" " sqref="C11 C13" xr:uid="{2828C676-FE18-4D5A-B5AF-2FCCDF96A34D}">
      <formula1>40544</formula1>
    </dataValidation>
  </dataValidations>
  <pageMargins left="0.25" right="0.25" top="0.75" bottom="0.75" header="0.3" footer="0.3"/>
  <pageSetup paperSize="8" fitToHeight="0" orientation="landscape" r:id="rId1"/>
  <headerFooter alignWithMargins="0">
    <oddHeader>&amp;CCommerce Commission Information Disclosure Template</oddHeader>
    <oddFooter>Page &amp;P&amp;R</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7200-3E5A-436E-9D84-3BB855BE6CE9}">
  <sheetPr codeName="Sheet29">
    <tabColor rgb="FFFF0000"/>
  </sheetPr>
  <dimension ref="A1:H98"/>
  <sheetViews>
    <sheetView workbookViewId="0">
      <selection activeCell="D12" sqref="D12"/>
    </sheetView>
  </sheetViews>
  <sheetFormatPr defaultRowHeight="14.45" customHeight="1" x14ac:dyDescent="0.45"/>
  <cols>
    <col min="1" max="1" width="27" bestFit="1" customWidth="1"/>
    <col min="2" max="2" width="18.53125" bestFit="1" customWidth="1"/>
    <col min="3" max="3" width="11.9296875" customWidth="1"/>
    <col min="4" max="4" width="11.3984375" customWidth="1"/>
    <col min="5" max="5" width="12.6640625" bestFit="1" customWidth="1"/>
    <col min="6" max="7" width="143.73046875" bestFit="1" customWidth="1"/>
    <col min="8" max="8" width="13.796875" customWidth="1"/>
  </cols>
  <sheetData>
    <row r="1" spans="1:8" ht="14.25" x14ac:dyDescent="0.45">
      <c r="A1" s="30" t="s">
        <v>815</v>
      </c>
      <c r="B1" s="30" t="s">
        <v>816</v>
      </c>
      <c r="C1" s="30" t="s">
        <v>817</v>
      </c>
      <c r="D1" s="30" t="s">
        <v>818</v>
      </c>
      <c r="E1" s="30" t="s">
        <v>819</v>
      </c>
      <c r="F1" s="30" t="s">
        <v>78</v>
      </c>
      <c r="G1" s="30" t="s">
        <v>820</v>
      </c>
      <c r="H1" s="30" t="s">
        <v>1178</v>
      </c>
    </row>
    <row r="2" spans="1:8" ht="14.25" x14ac:dyDescent="0.45">
      <c r="A2" t="s">
        <v>821</v>
      </c>
      <c r="B2" t="s">
        <v>1179</v>
      </c>
      <c r="C2">
        <v>4</v>
      </c>
      <c r="D2">
        <v>0</v>
      </c>
      <c r="E2" t="s">
        <v>822</v>
      </c>
      <c r="H2" t="e">
        <f>LEFT(Table_List[[#This Row],[Title]],SEARCH(":",Table_List[[#This Row],[Title]]) - 1)</f>
        <v>#VALUE!</v>
      </c>
    </row>
    <row r="3" spans="1:8" ht="14.25" x14ac:dyDescent="0.45">
      <c r="A3" t="s">
        <v>823</v>
      </c>
      <c r="B3" t="s">
        <v>1180</v>
      </c>
      <c r="C3">
        <v>24</v>
      </c>
      <c r="D3">
        <v>36</v>
      </c>
      <c r="E3" t="s">
        <v>1121</v>
      </c>
      <c r="G3" t="s">
        <v>15</v>
      </c>
      <c r="H3" t="e">
        <f>LEFT(Table_List[[#This Row],[Title]],SEARCH(":",Table_List[[#This Row],[Title]]) - 1)</f>
        <v>#VALUE!</v>
      </c>
    </row>
    <row r="4" spans="1:8" ht="14.25" x14ac:dyDescent="0.45">
      <c r="A4" t="s">
        <v>824</v>
      </c>
      <c r="B4" t="s">
        <v>1258</v>
      </c>
      <c r="C4">
        <v>7</v>
      </c>
      <c r="D4">
        <v>0</v>
      </c>
      <c r="E4" t="s">
        <v>825</v>
      </c>
      <c r="H4" t="e">
        <f>LEFT(Table_List[[#This Row],[Title]],SEARCH(":",Table_List[[#This Row],[Title]]) - 1)</f>
        <v>#VALUE!</v>
      </c>
    </row>
    <row r="5" spans="1:8" ht="14.25" x14ac:dyDescent="0.45">
      <c r="A5" t="s">
        <v>826</v>
      </c>
      <c r="B5" t="s">
        <v>869</v>
      </c>
      <c r="C5">
        <v>7</v>
      </c>
      <c r="E5" t="s">
        <v>1181</v>
      </c>
      <c r="F5" t="s">
        <v>81</v>
      </c>
      <c r="G5" t="s">
        <v>81</v>
      </c>
      <c r="H5" t="str">
        <f>LEFT(Table_List[[#This Row],[Title]],SEARCH(":",Table_List[[#This Row],[Title]]) - 1)</f>
        <v>1a(i)</v>
      </c>
    </row>
    <row r="6" spans="1:8" ht="14.25" x14ac:dyDescent="0.45">
      <c r="A6" t="s">
        <v>826</v>
      </c>
      <c r="B6" t="s">
        <v>870</v>
      </c>
      <c r="C6">
        <v>12</v>
      </c>
      <c r="D6">
        <v>0</v>
      </c>
      <c r="E6" t="s">
        <v>1182</v>
      </c>
      <c r="F6" t="s">
        <v>91</v>
      </c>
      <c r="G6" t="s">
        <v>91</v>
      </c>
      <c r="H6" t="str">
        <f>LEFT(Table_List[[#This Row],[Title]],SEARCH(":",Table_List[[#This Row],[Title]]) - 1)</f>
        <v>1a(ii)</v>
      </c>
    </row>
    <row r="7" spans="1:8" ht="14.25" x14ac:dyDescent="0.45">
      <c r="A7" t="s">
        <v>826</v>
      </c>
      <c r="B7" t="s">
        <v>871</v>
      </c>
      <c r="C7">
        <v>7</v>
      </c>
      <c r="E7" t="s">
        <v>1183</v>
      </c>
      <c r="F7" t="s">
        <v>91</v>
      </c>
      <c r="G7" t="s">
        <v>91</v>
      </c>
      <c r="H7" t="str">
        <f>LEFT(Table_List[[#This Row],[Title]],SEARCH(":",Table_List[[#This Row],[Title]]) - 1)</f>
        <v>1a(ii)</v>
      </c>
    </row>
    <row r="8" spans="1:8" ht="14.25" x14ac:dyDescent="0.45">
      <c r="A8" t="s">
        <v>827</v>
      </c>
      <c r="B8" t="s">
        <v>872</v>
      </c>
      <c r="C8">
        <v>8</v>
      </c>
      <c r="E8" t="s">
        <v>1184</v>
      </c>
      <c r="F8" t="s">
        <v>802</v>
      </c>
      <c r="G8" t="s">
        <v>802</v>
      </c>
      <c r="H8" t="str">
        <f>LEFT(Table_List[[#This Row],[Title]],SEARCH(":",Table_List[[#This Row],[Title]]) - 1)</f>
        <v>1b(i)</v>
      </c>
    </row>
    <row r="9" spans="1:8" ht="14.25" x14ac:dyDescent="0.45">
      <c r="A9" t="s">
        <v>827</v>
      </c>
      <c r="B9" t="s">
        <v>874</v>
      </c>
      <c r="C9">
        <v>12</v>
      </c>
      <c r="E9" t="s">
        <v>1182</v>
      </c>
      <c r="F9" t="s">
        <v>803</v>
      </c>
      <c r="G9" t="s">
        <v>803</v>
      </c>
      <c r="H9" t="str">
        <f>LEFT(Table_List[[#This Row],[Title]],SEARCH(":",Table_List[[#This Row],[Title]]) - 1)</f>
        <v>1b(ii)</v>
      </c>
    </row>
    <row r="10" spans="1:8" ht="14.25" x14ac:dyDescent="0.45">
      <c r="A10" t="s">
        <v>827</v>
      </c>
      <c r="B10" t="s">
        <v>873</v>
      </c>
      <c r="C10">
        <v>7</v>
      </c>
      <c r="E10" t="s">
        <v>1183</v>
      </c>
      <c r="F10" t="s">
        <v>803</v>
      </c>
      <c r="G10" t="s">
        <v>803</v>
      </c>
      <c r="H10" t="str">
        <f>LEFT(Table_List[[#This Row],[Title]],SEARCH(":",Table_List[[#This Row],[Title]]) - 1)</f>
        <v>1b(ii)</v>
      </c>
    </row>
    <row r="11" spans="1:8" ht="14.25" x14ac:dyDescent="0.45">
      <c r="A11" t="s">
        <v>828</v>
      </c>
      <c r="B11" t="s">
        <v>875</v>
      </c>
      <c r="C11">
        <v>5</v>
      </c>
      <c r="E11" t="s">
        <v>1185</v>
      </c>
      <c r="F11" t="s">
        <v>804</v>
      </c>
      <c r="G11" t="s">
        <v>804</v>
      </c>
      <c r="H11" t="str">
        <f>LEFT(Table_List[[#This Row],[Title]],SEARCH(":",Table_List[[#This Row],[Title]]) - 1)</f>
        <v>1c(i)</v>
      </c>
    </row>
    <row r="12" spans="1:8" ht="14.25" x14ac:dyDescent="0.45">
      <c r="A12" t="s">
        <v>828</v>
      </c>
      <c r="B12" t="s">
        <v>877</v>
      </c>
      <c r="C12">
        <v>12</v>
      </c>
      <c r="E12" t="s">
        <v>1182</v>
      </c>
      <c r="F12" t="s">
        <v>805</v>
      </c>
      <c r="G12" t="s">
        <v>805</v>
      </c>
      <c r="H12" t="str">
        <f>LEFT(Table_List[[#This Row],[Title]],SEARCH(":",Table_List[[#This Row],[Title]]) - 1)</f>
        <v>1c(ii)</v>
      </c>
    </row>
    <row r="13" spans="1:8" ht="14.25" x14ac:dyDescent="0.45">
      <c r="A13" t="s">
        <v>828</v>
      </c>
      <c r="B13" t="s">
        <v>876</v>
      </c>
      <c r="C13">
        <v>5</v>
      </c>
      <c r="E13" t="s">
        <v>1186</v>
      </c>
      <c r="F13" t="s">
        <v>805</v>
      </c>
      <c r="G13" t="s">
        <v>805</v>
      </c>
      <c r="H13" t="str">
        <f>LEFT(Table_List[[#This Row],[Title]],SEARCH(":",Table_List[[#This Row],[Title]]) - 1)</f>
        <v>1c(ii)</v>
      </c>
    </row>
    <row r="14" spans="1:8" ht="14.25" x14ac:dyDescent="0.45">
      <c r="A14" t="s">
        <v>829</v>
      </c>
      <c r="B14" t="s">
        <v>878</v>
      </c>
      <c r="C14">
        <v>14</v>
      </c>
      <c r="E14" t="s">
        <v>1187</v>
      </c>
      <c r="F14" t="s">
        <v>136</v>
      </c>
      <c r="G14" t="s">
        <v>136</v>
      </c>
      <c r="H14" t="str">
        <f>LEFT(Table_List[[#This Row],[Title]],SEARCH(":",Table_List[[#This Row],[Title]]) - 1)</f>
        <v>2(i)</v>
      </c>
    </row>
    <row r="15" spans="1:8" ht="14.25" x14ac:dyDescent="0.45">
      <c r="A15" t="s">
        <v>829</v>
      </c>
      <c r="B15" t="s">
        <v>879</v>
      </c>
      <c r="C15">
        <v>5</v>
      </c>
      <c r="D15">
        <v>0</v>
      </c>
      <c r="E15" t="s">
        <v>1188</v>
      </c>
      <c r="F15" t="s">
        <v>148</v>
      </c>
      <c r="G15" t="s">
        <v>148</v>
      </c>
      <c r="H15" t="str">
        <f>LEFT(Table_List[[#This Row],[Title]],SEARCH(":",Table_List[[#This Row],[Title]]) - 1)</f>
        <v>2(ii)</v>
      </c>
    </row>
    <row r="16" spans="1:8" ht="14.25" x14ac:dyDescent="0.45">
      <c r="A16" t="s">
        <v>829</v>
      </c>
      <c r="B16" t="s">
        <v>880</v>
      </c>
      <c r="C16">
        <v>1</v>
      </c>
      <c r="D16">
        <v>0</v>
      </c>
      <c r="E16" t="s">
        <v>1189</v>
      </c>
      <c r="F16" t="s">
        <v>155</v>
      </c>
      <c r="G16" t="s">
        <v>155</v>
      </c>
      <c r="H16" t="str">
        <f>LEFT(Table_List[[#This Row],[Title]],SEARCH(":",Table_List[[#This Row],[Title]]) - 1)</f>
        <v>2(iii)</v>
      </c>
    </row>
    <row r="17" spans="1:8" ht="14.25" x14ac:dyDescent="0.45">
      <c r="A17" t="s">
        <v>829</v>
      </c>
      <c r="B17" t="s">
        <v>881</v>
      </c>
      <c r="C17">
        <v>1</v>
      </c>
      <c r="D17">
        <v>0</v>
      </c>
      <c r="E17" t="s">
        <v>1190</v>
      </c>
      <c r="F17" t="s">
        <v>158</v>
      </c>
      <c r="G17" t="s">
        <v>158</v>
      </c>
      <c r="H17" t="str">
        <f>LEFT(Table_List[[#This Row],[Title]],SEARCH(":",Table_List[[#This Row],[Title]]) - 1)</f>
        <v>2(iv)</v>
      </c>
    </row>
    <row r="18" spans="1:8" ht="14.25" x14ac:dyDescent="0.45">
      <c r="A18" t="s">
        <v>829</v>
      </c>
      <c r="B18" t="s">
        <v>882</v>
      </c>
      <c r="C18">
        <v>6</v>
      </c>
      <c r="D18">
        <v>0</v>
      </c>
      <c r="E18" t="s">
        <v>1191</v>
      </c>
      <c r="F18" t="s">
        <v>160</v>
      </c>
      <c r="G18" t="s">
        <v>160</v>
      </c>
      <c r="H18" t="str">
        <f>LEFT(Table_List[[#This Row],[Title]],SEARCH(":",Table_List[[#This Row],[Title]]) - 1)</f>
        <v>2(v)</v>
      </c>
    </row>
    <row r="19" spans="1:8" ht="14.25" x14ac:dyDescent="0.45">
      <c r="A19" t="s">
        <v>830</v>
      </c>
      <c r="B19" t="s">
        <v>883</v>
      </c>
      <c r="C19">
        <v>20</v>
      </c>
      <c r="D19">
        <v>0</v>
      </c>
      <c r="E19" t="s">
        <v>1192</v>
      </c>
      <c r="F19" t="s">
        <v>161</v>
      </c>
      <c r="G19" t="s">
        <v>161</v>
      </c>
      <c r="H19" t="str">
        <f>LEFT(Table_List[[#This Row],[Title]],SEARCH(":",Table_List[[#This Row],[Title]]) - 1)</f>
        <v>3(i)</v>
      </c>
    </row>
    <row r="20" spans="1:8" ht="14.25" x14ac:dyDescent="0.45">
      <c r="A20" t="s">
        <v>830</v>
      </c>
      <c r="B20" t="s">
        <v>884</v>
      </c>
      <c r="C20">
        <v>1</v>
      </c>
      <c r="D20">
        <v>0</v>
      </c>
      <c r="E20" t="s">
        <v>1122</v>
      </c>
      <c r="F20" t="s">
        <v>161</v>
      </c>
      <c r="G20" t="s">
        <v>161</v>
      </c>
      <c r="H20" t="str">
        <f>LEFT(Table_List[[#This Row],[Title]],SEARCH(":",Table_List[[#This Row],[Title]]) - 1)</f>
        <v>3(i)</v>
      </c>
    </row>
    <row r="21" spans="1:8" ht="14.25" x14ac:dyDescent="0.45">
      <c r="A21" t="s">
        <v>830</v>
      </c>
      <c r="B21" t="s">
        <v>885</v>
      </c>
      <c r="C21">
        <v>4</v>
      </c>
      <c r="D21">
        <v>0</v>
      </c>
      <c r="E21" t="s">
        <v>1193</v>
      </c>
      <c r="F21" t="s">
        <v>771</v>
      </c>
      <c r="G21" t="s">
        <v>771</v>
      </c>
      <c r="H21" t="str">
        <f>LEFT(Table_List[[#This Row],[Title]],SEARCH(":",Table_List[[#This Row],[Title]]) - 1)</f>
        <v>3(iii)</v>
      </c>
    </row>
    <row r="22" spans="1:8" ht="14.25" x14ac:dyDescent="0.45">
      <c r="A22" t="s">
        <v>830</v>
      </c>
      <c r="B22" t="s">
        <v>886</v>
      </c>
      <c r="C22">
        <v>7</v>
      </c>
      <c r="D22">
        <v>0</v>
      </c>
      <c r="E22" t="s">
        <v>1194</v>
      </c>
      <c r="F22" t="s">
        <v>175</v>
      </c>
      <c r="G22" t="s">
        <v>175</v>
      </c>
      <c r="H22" t="str">
        <f>LEFT(Table_List[[#This Row],[Title]],SEARCH(":",Table_List[[#This Row],[Title]]) - 1)</f>
        <v>3(iv)</v>
      </c>
    </row>
    <row r="23" spans="1:8" ht="14.25" x14ac:dyDescent="0.45">
      <c r="A23" t="s">
        <v>831</v>
      </c>
      <c r="B23" t="s">
        <v>888</v>
      </c>
      <c r="C23">
        <v>55</v>
      </c>
      <c r="D23">
        <v>0</v>
      </c>
      <c r="E23" t="s">
        <v>1195</v>
      </c>
      <c r="F23" t="s">
        <v>179</v>
      </c>
      <c r="G23" t="s">
        <v>179</v>
      </c>
      <c r="H23" t="str">
        <f>LEFT(Table_List[[#This Row],[Title]],SEARCH(":",Table_List[[#This Row],[Title]]) - 1)</f>
        <v>4a(i)</v>
      </c>
    </row>
    <row r="24" spans="1:8" ht="14.25" x14ac:dyDescent="0.45">
      <c r="A24" t="s">
        <v>831</v>
      </c>
      <c r="B24" t="s">
        <v>887</v>
      </c>
      <c r="C24">
        <v>11</v>
      </c>
      <c r="D24">
        <v>0</v>
      </c>
      <c r="E24" t="s">
        <v>1196</v>
      </c>
      <c r="F24" t="s">
        <v>966</v>
      </c>
      <c r="G24" t="s">
        <v>966</v>
      </c>
      <c r="H24" t="str">
        <f>LEFT(Table_List[[#This Row],[Title]],SEARCH(":",Table_List[[#This Row],[Title]]) - 1)</f>
        <v>4a(ii)</v>
      </c>
    </row>
    <row r="25" spans="1:8" ht="14.25" x14ac:dyDescent="0.45">
      <c r="A25" t="s">
        <v>832</v>
      </c>
      <c r="B25" t="s">
        <v>889</v>
      </c>
      <c r="C25">
        <v>8</v>
      </c>
      <c r="D25">
        <v>0</v>
      </c>
      <c r="E25" t="s">
        <v>1197</v>
      </c>
      <c r="F25" t="s">
        <v>209</v>
      </c>
      <c r="G25" t="s">
        <v>209</v>
      </c>
      <c r="H25" t="str">
        <f>LEFT(Table_List[[#This Row],[Title]],SEARCH(":",Table_List[[#This Row],[Title]]) - 1)</f>
        <v>4b(i)</v>
      </c>
    </row>
    <row r="26" spans="1:8" ht="14.25" x14ac:dyDescent="0.45">
      <c r="A26" t="s">
        <v>832</v>
      </c>
      <c r="B26" t="s">
        <v>890</v>
      </c>
      <c r="C26">
        <v>14</v>
      </c>
      <c r="D26">
        <v>0</v>
      </c>
      <c r="E26" t="s">
        <v>1198</v>
      </c>
      <c r="F26" t="s">
        <v>786</v>
      </c>
      <c r="G26" t="s">
        <v>786</v>
      </c>
      <c r="H26" t="str">
        <f>LEFT(Table_List[[#This Row],[Title]],SEARCH(":",Table_List[[#This Row],[Title]]) - 1)</f>
        <v>4b(ii)</v>
      </c>
    </row>
    <row r="27" spans="1:8" ht="14.25" x14ac:dyDescent="0.45">
      <c r="A27" t="s">
        <v>832</v>
      </c>
      <c r="B27" t="s">
        <v>891</v>
      </c>
      <c r="C27">
        <v>2</v>
      </c>
      <c r="D27">
        <v>0</v>
      </c>
      <c r="E27" t="s">
        <v>1199</v>
      </c>
      <c r="F27" t="s">
        <v>787</v>
      </c>
      <c r="G27" t="s">
        <v>787</v>
      </c>
      <c r="H27" t="str">
        <f>LEFT(Table_List[[#This Row],[Title]],SEARCH(":",Table_List[[#This Row],[Title]]) - 1)</f>
        <v>4b(iii)</v>
      </c>
    </row>
    <row r="28" spans="1:8" ht="14.25" x14ac:dyDescent="0.45">
      <c r="A28" t="s">
        <v>832</v>
      </c>
      <c r="B28" t="s">
        <v>892</v>
      </c>
      <c r="C28">
        <v>4</v>
      </c>
      <c r="D28">
        <v>0</v>
      </c>
      <c r="E28" t="s">
        <v>1200</v>
      </c>
      <c r="F28" t="s">
        <v>787</v>
      </c>
      <c r="G28" t="s">
        <v>787</v>
      </c>
      <c r="H28" t="str">
        <f>LEFT(Table_List[[#This Row],[Title]],SEARCH(":",Table_List[[#This Row],[Title]]) - 1)</f>
        <v>4b(iii)</v>
      </c>
    </row>
    <row r="29" spans="1:8" ht="14.25" x14ac:dyDescent="0.45">
      <c r="A29" t="s">
        <v>832</v>
      </c>
      <c r="B29" t="s">
        <v>893</v>
      </c>
      <c r="C29">
        <v>5</v>
      </c>
      <c r="D29">
        <v>0</v>
      </c>
      <c r="E29" t="s">
        <v>1201</v>
      </c>
      <c r="F29" t="s">
        <v>789</v>
      </c>
      <c r="G29" t="s">
        <v>789</v>
      </c>
      <c r="H29" t="str">
        <f>LEFT(Table_List[[#This Row],[Title]],SEARCH(":",Table_List[[#This Row],[Title]]) - 1)</f>
        <v>4b(iv)</v>
      </c>
    </row>
    <row r="30" spans="1:8" ht="14.25" x14ac:dyDescent="0.45">
      <c r="A30" t="s">
        <v>832</v>
      </c>
      <c r="B30" t="s">
        <v>894</v>
      </c>
      <c r="C30">
        <v>1</v>
      </c>
      <c r="D30">
        <v>0</v>
      </c>
      <c r="E30" t="s">
        <v>833</v>
      </c>
      <c r="F30" t="s">
        <v>789</v>
      </c>
      <c r="G30" t="s">
        <v>789</v>
      </c>
      <c r="H30" t="str">
        <f>LEFT(Table_List[[#This Row],[Title]],SEARCH(":",Table_List[[#This Row],[Title]]) - 1)</f>
        <v>4b(iv)</v>
      </c>
    </row>
    <row r="31" spans="1:8" ht="14.25" x14ac:dyDescent="0.45">
      <c r="A31" t="s">
        <v>832</v>
      </c>
      <c r="B31" t="s">
        <v>895</v>
      </c>
      <c r="C31">
        <v>3</v>
      </c>
      <c r="D31">
        <v>0</v>
      </c>
      <c r="E31" t="s">
        <v>834</v>
      </c>
      <c r="F31" t="s">
        <v>790</v>
      </c>
      <c r="G31" t="s">
        <v>790</v>
      </c>
      <c r="H31" t="str">
        <f>LEFT(Table_List[[#This Row],[Title]],SEARCH(":",Table_List[[#This Row],[Title]]) - 1)</f>
        <v>4b(v)</v>
      </c>
    </row>
    <row r="32" spans="1:8" ht="14.25" x14ac:dyDescent="0.45">
      <c r="A32" t="s">
        <v>832</v>
      </c>
      <c r="B32" t="s">
        <v>896</v>
      </c>
      <c r="C32">
        <v>8</v>
      </c>
      <c r="D32">
        <v>0</v>
      </c>
      <c r="E32" t="s">
        <v>835</v>
      </c>
      <c r="F32" t="s">
        <v>788</v>
      </c>
      <c r="G32" t="s">
        <v>788</v>
      </c>
      <c r="H32" t="str">
        <f>LEFT(Table_List[[#This Row],[Title]],SEARCH(":",Table_List[[#This Row],[Title]]) - 1)</f>
        <v>4b(vi)</v>
      </c>
    </row>
    <row r="33" spans="1:8" ht="14.25" x14ac:dyDescent="0.45">
      <c r="A33" t="s">
        <v>832</v>
      </c>
      <c r="B33" t="s">
        <v>897</v>
      </c>
      <c r="C33">
        <v>1</v>
      </c>
      <c r="D33">
        <v>0</v>
      </c>
      <c r="E33" t="s">
        <v>1202</v>
      </c>
      <c r="F33" t="s">
        <v>787</v>
      </c>
      <c r="G33" t="s">
        <v>787</v>
      </c>
      <c r="H33" t="str">
        <f>LEFT(Table_List[[#This Row],[Title]],SEARCH(":",Table_List[[#This Row],[Title]]) - 1)</f>
        <v>4b(iii)</v>
      </c>
    </row>
    <row r="34" spans="1:8" ht="14.25" x14ac:dyDescent="0.45">
      <c r="A34" t="s">
        <v>832</v>
      </c>
      <c r="B34" t="s">
        <v>898</v>
      </c>
      <c r="C34">
        <v>24</v>
      </c>
      <c r="D34">
        <v>0</v>
      </c>
      <c r="E34" t="s">
        <v>836</v>
      </c>
      <c r="F34" t="s">
        <v>791</v>
      </c>
      <c r="G34" t="s">
        <v>791</v>
      </c>
      <c r="H34" t="str">
        <f>LEFT(Table_List[[#This Row],[Title]],SEARCH(":",Table_List[[#This Row],[Title]]) - 1)</f>
        <v>4b(vii)</v>
      </c>
    </row>
    <row r="35" spans="1:8" ht="14.25" x14ac:dyDescent="0.45">
      <c r="A35" t="s">
        <v>837</v>
      </c>
      <c r="B35" t="s">
        <v>899</v>
      </c>
      <c r="C35">
        <v>14</v>
      </c>
      <c r="D35">
        <v>0</v>
      </c>
      <c r="E35" t="s">
        <v>1198</v>
      </c>
      <c r="F35" t="s">
        <v>218</v>
      </c>
      <c r="G35" t="s">
        <v>218</v>
      </c>
      <c r="H35" t="str">
        <f>LEFT(Table_List[[#This Row],[Title]],SEARCH(":",Table_List[[#This Row],[Title]]) - 1)</f>
        <v>4c(ii)</v>
      </c>
    </row>
    <row r="36" spans="1:8" ht="14.25" x14ac:dyDescent="0.45">
      <c r="A36" t="s">
        <v>837</v>
      </c>
      <c r="B36" t="s">
        <v>900</v>
      </c>
      <c r="C36">
        <v>2</v>
      </c>
      <c r="D36">
        <v>0</v>
      </c>
      <c r="E36" t="s">
        <v>1199</v>
      </c>
      <c r="F36" t="s">
        <v>228</v>
      </c>
      <c r="G36" t="s">
        <v>228</v>
      </c>
      <c r="H36" t="str">
        <f>LEFT(Table_List[[#This Row],[Title]],SEARCH(":",Table_List[[#This Row],[Title]]) - 1)</f>
        <v>4c(iii)</v>
      </c>
    </row>
    <row r="37" spans="1:8" ht="14.25" x14ac:dyDescent="0.45">
      <c r="A37" t="s">
        <v>837</v>
      </c>
      <c r="B37" t="s">
        <v>901</v>
      </c>
      <c r="C37">
        <v>4</v>
      </c>
      <c r="D37">
        <v>0</v>
      </c>
      <c r="E37" t="s">
        <v>1200</v>
      </c>
      <c r="F37" t="s">
        <v>228</v>
      </c>
      <c r="G37" t="s">
        <v>228</v>
      </c>
      <c r="H37" t="str">
        <f>LEFT(Table_List[[#This Row],[Title]],SEARCH(":",Table_List[[#This Row],[Title]]) - 1)</f>
        <v>4c(iii)</v>
      </c>
    </row>
    <row r="38" spans="1:8" ht="14.25" x14ac:dyDescent="0.45">
      <c r="A38" t="s">
        <v>837</v>
      </c>
      <c r="B38" t="s">
        <v>902</v>
      </c>
      <c r="C38">
        <v>5</v>
      </c>
      <c r="D38">
        <v>0</v>
      </c>
      <c r="E38" t="s">
        <v>1201</v>
      </c>
      <c r="F38" t="s">
        <v>235</v>
      </c>
      <c r="G38" t="s">
        <v>235</v>
      </c>
      <c r="H38" t="str">
        <f>LEFT(Table_List[[#This Row],[Title]],SEARCH(":",Table_List[[#This Row],[Title]]) - 1)</f>
        <v>4c(iv)</v>
      </c>
    </row>
    <row r="39" spans="1:8" ht="14.25" x14ac:dyDescent="0.45">
      <c r="A39" t="s">
        <v>837</v>
      </c>
      <c r="B39" t="s">
        <v>903</v>
      </c>
      <c r="C39">
        <v>1</v>
      </c>
      <c r="D39">
        <v>0</v>
      </c>
      <c r="E39" t="s">
        <v>1203</v>
      </c>
      <c r="F39" t="s">
        <v>235</v>
      </c>
      <c r="G39" t="s">
        <v>235</v>
      </c>
      <c r="H39" t="str">
        <f>LEFT(Table_List[[#This Row],[Title]],SEARCH(":",Table_List[[#This Row],[Title]]) - 1)</f>
        <v>4c(iv)</v>
      </c>
    </row>
    <row r="40" spans="1:8" ht="14.25" x14ac:dyDescent="0.45">
      <c r="A40" t="s">
        <v>837</v>
      </c>
      <c r="B40" t="s">
        <v>904</v>
      </c>
      <c r="C40">
        <v>3</v>
      </c>
      <c r="D40">
        <v>0</v>
      </c>
      <c r="E40" t="s">
        <v>969</v>
      </c>
      <c r="F40" t="s">
        <v>240</v>
      </c>
      <c r="G40" t="s">
        <v>240</v>
      </c>
      <c r="H40" t="str">
        <f>LEFT(Table_List[[#This Row],[Title]],SEARCH(":",Table_List[[#This Row],[Title]]) - 1)</f>
        <v>4c(v)</v>
      </c>
    </row>
    <row r="41" spans="1:8" ht="14.25" x14ac:dyDescent="0.45">
      <c r="A41" t="s">
        <v>837</v>
      </c>
      <c r="B41" t="s">
        <v>905</v>
      </c>
      <c r="C41">
        <v>8</v>
      </c>
      <c r="D41">
        <v>0</v>
      </c>
      <c r="E41" t="s">
        <v>835</v>
      </c>
      <c r="F41" t="s">
        <v>233</v>
      </c>
      <c r="G41" t="s">
        <v>233</v>
      </c>
      <c r="H41" t="str">
        <f>LEFT(Table_List[[#This Row],[Title]],SEARCH(":",Table_List[[#This Row],[Title]]) - 1)</f>
        <v>4c(vi)</v>
      </c>
    </row>
    <row r="42" spans="1:8" ht="14.25" x14ac:dyDescent="0.45">
      <c r="A42" t="s">
        <v>837</v>
      </c>
      <c r="B42" t="s">
        <v>906</v>
      </c>
      <c r="C42">
        <v>1</v>
      </c>
      <c r="D42">
        <v>0</v>
      </c>
      <c r="E42" t="s">
        <v>1202</v>
      </c>
      <c r="F42" t="s">
        <v>228</v>
      </c>
      <c r="G42" t="s">
        <v>228</v>
      </c>
      <c r="H42" t="str">
        <f>LEFT(Table_List[[#This Row],[Title]],SEARCH(":",Table_List[[#This Row],[Title]]) - 1)</f>
        <v>4c(iii)</v>
      </c>
    </row>
    <row r="43" spans="1:8" ht="14.25" x14ac:dyDescent="0.45">
      <c r="A43" t="s">
        <v>837</v>
      </c>
      <c r="B43" t="s">
        <v>907</v>
      </c>
      <c r="C43">
        <v>24</v>
      </c>
      <c r="D43">
        <v>0</v>
      </c>
      <c r="E43" t="s">
        <v>1123</v>
      </c>
      <c r="F43" t="s">
        <v>255</v>
      </c>
      <c r="G43" t="s">
        <v>255</v>
      </c>
      <c r="H43" t="str">
        <f>LEFT(Table_List[[#This Row],[Title]],SEARCH(":",Table_List[[#This Row],[Title]]) - 1)</f>
        <v>4c(vii)</v>
      </c>
    </row>
    <row r="44" spans="1:8" ht="14.25" x14ac:dyDescent="0.45">
      <c r="A44" t="s">
        <v>837</v>
      </c>
      <c r="B44" t="s">
        <v>908</v>
      </c>
      <c r="C44">
        <v>8</v>
      </c>
      <c r="D44">
        <v>0</v>
      </c>
      <c r="E44" t="s">
        <v>1197</v>
      </c>
      <c r="F44" t="s">
        <v>267</v>
      </c>
      <c r="G44" t="s">
        <v>267</v>
      </c>
      <c r="H44" t="str">
        <f>LEFT(Table_List[[#This Row],[Title]],SEARCH(":",Table_List[[#This Row],[Title]]) - 1)</f>
        <v>4c(i)</v>
      </c>
    </row>
    <row r="45" spans="1:8" ht="14.25" x14ac:dyDescent="0.45">
      <c r="A45" t="s">
        <v>1124</v>
      </c>
      <c r="B45" t="s">
        <v>909</v>
      </c>
      <c r="C45">
        <v>7</v>
      </c>
      <c r="D45">
        <v>0</v>
      </c>
      <c r="E45" t="s">
        <v>1204</v>
      </c>
      <c r="F45" t="s">
        <v>855</v>
      </c>
      <c r="G45" t="s">
        <v>855</v>
      </c>
      <c r="H45" t="str">
        <f>LEFT(Table_List[[#This Row],[Title]],SEARCH(":",Table_List[[#This Row],[Title]]) - 1)</f>
        <v>4d(i)</v>
      </c>
    </row>
    <row r="46" spans="1:8" ht="14.25" x14ac:dyDescent="0.45">
      <c r="A46" t="s">
        <v>1124</v>
      </c>
      <c r="B46" t="s">
        <v>910</v>
      </c>
      <c r="C46">
        <v>13</v>
      </c>
      <c r="D46">
        <v>0</v>
      </c>
      <c r="E46" t="s">
        <v>1205</v>
      </c>
      <c r="F46" t="s">
        <v>792</v>
      </c>
      <c r="G46" t="s">
        <v>792</v>
      </c>
      <c r="H46" t="str">
        <f>LEFT(Table_List[[#This Row],[Title]],SEARCH(":",Table_List[[#This Row],[Title]]) - 1)</f>
        <v>4d(ii)</v>
      </c>
    </row>
    <row r="47" spans="1:8" ht="14.25" x14ac:dyDescent="0.45">
      <c r="A47" t="s">
        <v>1124</v>
      </c>
      <c r="B47" t="s">
        <v>911</v>
      </c>
      <c r="C47">
        <v>2</v>
      </c>
      <c r="D47">
        <v>0</v>
      </c>
      <c r="E47" t="s">
        <v>1199</v>
      </c>
      <c r="F47" t="s">
        <v>793</v>
      </c>
      <c r="G47" t="s">
        <v>793</v>
      </c>
      <c r="H47" t="str">
        <f>LEFT(Table_List[[#This Row],[Title]],SEARCH(":",Table_List[[#This Row],[Title]]) - 1)</f>
        <v>4d(iii)</v>
      </c>
    </row>
    <row r="48" spans="1:8" ht="14.25" x14ac:dyDescent="0.45">
      <c r="A48" t="s">
        <v>1124</v>
      </c>
      <c r="B48" t="s">
        <v>912</v>
      </c>
      <c r="C48">
        <v>4</v>
      </c>
      <c r="D48">
        <v>0</v>
      </c>
      <c r="E48" t="s">
        <v>1200</v>
      </c>
      <c r="F48" t="s">
        <v>793</v>
      </c>
      <c r="G48" t="s">
        <v>793</v>
      </c>
      <c r="H48" t="str">
        <f>LEFT(Table_List[[#This Row],[Title]],SEARCH(":",Table_List[[#This Row],[Title]]) - 1)</f>
        <v>4d(iii)</v>
      </c>
    </row>
    <row r="49" spans="1:8" ht="14.25" x14ac:dyDescent="0.45">
      <c r="A49" t="s">
        <v>1124</v>
      </c>
      <c r="B49" t="s">
        <v>913</v>
      </c>
      <c r="C49">
        <v>5</v>
      </c>
      <c r="D49">
        <v>0</v>
      </c>
      <c r="E49" t="s">
        <v>1201</v>
      </c>
      <c r="F49" t="s">
        <v>795</v>
      </c>
      <c r="G49" t="s">
        <v>795</v>
      </c>
      <c r="H49" t="str">
        <f>LEFT(Table_List[[#This Row],[Title]],SEARCH(":",Table_List[[#This Row],[Title]]) - 1)</f>
        <v>4d(iv)</v>
      </c>
    </row>
    <row r="50" spans="1:8" ht="14.25" x14ac:dyDescent="0.45">
      <c r="A50" t="s">
        <v>1124</v>
      </c>
      <c r="B50" t="s">
        <v>914</v>
      </c>
      <c r="C50">
        <v>1</v>
      </c>
      <c r="D50">
        <v>0</v>
      </c>
      <c r="E50" t="s">
        <v>1203</v>
      </c>
      <c r="F50" t="s">
        <v>795</v>
      </c>
      <c r="G50" t="s">
        <v>795</v>
      </c>
      <c r="H50" t="str">
        <f>LEFT(Table_List[[#This Row],[Title]],SEARCH(":",Table_List[[#This Row],[Title]]) - 1)</f>
        <v>4d(iv)</v>
      </c>
    </row>
    <row r="51" spans="1:8" ht="14.25" x14ac:dyDescent="0.45">
      <c r="A51" t="s">
        <v>1124</v>
      </c>
      <c r="B51" t="s">
        <v>915</v>
      </c>
      <c r="C51">
        <v>3</v>
      </c>
      <c r="D51">
        <v>0</v>
      </c>
      <c r="E51" t="s">
        <v>969</v>
      </c>
      <c r="F51" t="s">
        <v>796</v>
      </c>
      <c r="G51" t="s">
        <v>796</v>
      </c>
      <c r="H51" t="str">
        <f>LEFT(Table_List[[#This Row],[Title]],SEARCH(":",Table_List[[#This Row],[Title]]) - 1)</f>
        <v>4d(v)</v>
      </c>
    </row>
    <row r="52" spans="1:8" ht="14.25" x14ac:dyDescent="0.45">
      <c r="A52" t="s">
        <v>1124</v>
      </c>
      <c r="B52" t="s">
        <v>916</v>
      </c>
      <c r="C52">
        <v>8</v>
      </c>
      <c r="D52">
        <v>0</v>
      </c>
      <c r="E52" t="s">
        <v>1206</v>
      </c>
      <c r="F52" t="s">
        <v>794</v>
      </c>
      <c r="G52" t="s">
        <v>794</v>
      </c>
      <c r="H52" t="str">
        <f>LEFT(Table_List[[#This Row],[Title]],SEARCH(":",Table_List[[#This Row],[Title]]) - 1)</f>
        <v>4d(vi)</v>
      </c>
    </row>
    <row r="53" spans="1:8" ht="14.25" x14ac:dyDescent="0.45">
      <c r="A53" t="s">
        <v>1124</v>
      </c>
      <c r="B53" t="s">
        <v>917</v>
      </c>
      <c r="C53">
        <v>1</v>
      </c>
      <c r="D53">
        <v>0</v>
      </c>
      <c r="E53" t="s">
        <v>1202</v>
      </c>
      <c r="F53" t="s">
        <v>793</v>
      </c>
      <c r="G53" t="s">
        <v>793</v>
      </c>
      <c r="H53" t="str">
        <f>LEFT(Table_List[[#This Row],[Title]],SEARCH(":",Table_List[[#This Row],[Title]]) - 1)</f>
        <v>4d(iii)</v>
      </c>
    </row>
    <row r="54" spans="1:8" ht="14.25" x14ac:dyDescent="0.45">
      <c r="A54" t="s">
        <v>1124</v>
      </c>
      <c r="B54" t="s">
        <v>918</v>
      </c>
      <c r="C54">
        <v>23</v>
      </c>
      <c r="D54">
        <v>0</v>
      </c>
      <c r="E54" t="s">
        <v>1302</v>
      </c>
      <c r="F54" t="s">
        <v>797</v>
      </c>
      <c r="G54" t="s">
        <v>797</v>
      </c>
      <c r="H54" t="str">
        <f>LEFT(Table_List[[#This Row],[Title]],SEARCH(":",Table_List[[#This Row],[Title]]) - 1)</f>
        <v>4d(vii)</v>
      </c>
    </row>
    <row r="55" spans="1:8" ht="14.25" x14ac:dyDescent="0.45">
      <c r="A55" t="s">
        <v>856</v>
      </c>
      <c r="B55" t="s">
        <v>919</v>
      </c>
      <c r="C55">
        <v>12</v>
      </c>
      <c r="D55">
        <v>0</v>
      </c>
      <c r="E55" t="s">
        <v>1207</v>
      </c>
      <c r="F55" t="s">
        <v>798</v>
      </c>
      <c r="G55" t="s">
        <v>798</v>
      </c>
      <c r="H55" t="str">
        <f>LEFT(Table_List[[#This Row],[Title]],SEARCH(":",Table_List[[#This Row],[Title]]) - 1)</f>
        <v>5(i)</v>
      </c>
    </row>
    <row r="56" spans="1:8" ht="14.25" x14ac:dyDescent="0.45">
      <c r="A56" t="s">
        <v>856</v>
      </c>
      <c r="B56" t="s">
        <v>920</v>
      </c>
      <c r="C56">
        <v>2</v>
      </c>
      <c r="D56">
        <v>0</v>
      </c>
      <c r="E56" t="s">
        <v>1208</v>
      </c>
      <c r="F56" t="s">
        <v>863</v>
      </c>
      <c r="G56" t="s">
        <v>863</v>
      </c>
      <c r="H56" t="str">
        <f>LEFT(Table_List[[#This Row],[Title]],SEARCH(":",Table_List[[#This Row],[Title]]) - 1)</f>
        <v>5(ii)</v>
      </c>
    </row>
    <row r="57" spans="1:8" ht="14.25" x14ac:dyDescent="0.45">
      <c r="A57" t="s">
        <v>840</v>
      </c>
      <c r="B57" t="s">
        <v>921</v>
      </c>
      <c r="C57">
        <v>27</v>
      </c>
      <c r="D57">
        <v>0</v>
      </c>
      <c r="E57" t="s">
        <v>1209</v>
      </c>
      <c r="F57" t="s">
        <v>271</v>
      </c>
      <c r="G57" t="s">
        <v>271</v>
      </c>
      <c r="H57" t="str">
        <f>LEFT(Table_List[[#This Row],[Title]],SEARCH(":",Table_List[[#This Row],[Title]]) - 1)</f>
        <v>5a(i)</v>
      </c>
    </row>
    <row r="58" spans="1:8" ht="14.25" x14ac:dyDescent="0.45">
      <c r="A58" t="s">
        <v>840</v>
      </c>
      <c r="B58" t="s">
        <v>922</v>
      </c>
      <c r="C58">
        <v>3</v>
      </c>
      <c r="D58">
        <v>0</v>
      </c>
      <c r="E58" t="s">
        <v>1210</v>
      </c>
      <c r="F58" t="s">
        <v>283</v>
      </c>
      <c r="G58" t="s">
        <v>283</v>
      </c>
      <c r="H58" t="str">
        <f>LEFT(Table_List[[#This Row],[Title]],SEARCH(":",Table_List[[#This Row],[Title]]) - 1)</f>
        <v>5a(ii)</v>
      </c>
    </row>
    <row r="59" spans="1:8" ht="14.25" x14ac:dyDescent="0.45">
      <c r="A59" t="s">
        <v>840</v>
      </c>
      <c r="B59" t="s">
        <v>923</v>
      </c>
      <c r="C59">
        <v>11</v>
      </c>
      <c r="D59">
        <v>0</v>
      </c>
      <c r="E59" t="s">
        <v>1211</v>
      </c>
      <c r="F59" t="s">
        <v>284</v>
      </c>
      <c r="G59" t="s">
        <v>284</v>
      </c>
      <c r="H59" t="str">
        <f>LEFT(Table_List[[#This Row],[Title]],SEARCH(":",Table_List[[#This Row],[Title]]) - 1)</f>
        <v>5a(iii)</v>
      </c>
    </row>
    <row r="60" spans="1:8" ht="14.25" x14ac:dyDescent="0.45">
      <c r="A60" t="s">
        <v>857</v>
      </c>
      <c r="B60" t="s">
        <v>924</v>
      </c>
      <c r="C60">
        <v>25</v>
      </c>
      <c r="D60">
        <v>0</v>
      </c>
      <c r="E60" t="s">
        <v>1212</v>
      </c>
      <c r="F60" t="s">
        <v>858</v>
      </c>
      <c r="G60" t="s">
        <v>858</v>
      </c>
      <c r="H60" t="str">
        <f>LEFT(Table_List[[#This Row],[Title]],SEARCH(":",Table_List[[#This Row],[Title]]) - 1)</f>
        <v>6(i)</v>
      </c>
    </row>
    <row r="61" spans="1:8" ht="14.25" x14ac:dyDescent="0.45">
      <c r="A61" t="s">
        <v>857</v>
      </c>
      <c r="B61" t="s">
        <v>925</v>
      </c>
      <c r="C61">
        <v>6</v>
      </c>
      <c r="D61">
        <v>0</v>
      </c>
      <c r="E61" t="s">
        <v>1213</v>
      </c>
      <c r="F61" t="s">
        <v>809</v>
      </c>
      <c r="G61" t="s">
        <v>809</v>
      </c>
      <c r="H61" t="str">
        <f>LEFT(Table_List[[#This Row],[Title]],SEARCH(":",Table_List[[#This Row],[Title]]) - 1)</f>
        <v>6(ii)</v>
      </c>
    </row>
    <row r="62" spans="1:8" ht="14.25" x14ac:dyDescent="0.45">
      <c r="A62" t="s">
        <v>857</v>
      </c>
      <c r="B62" t="s">
        <v>926</v>
      </c>
      <c r="C62">
        <v>1</v>
      </c>
      <c r="D62">
        <v>0</v>
      </c>
      <c r="E62" t="s">
        <v>1214</v>
      </c>
      <c r="F62" t="s">
        <v>810</v>
      </c>
      <c r="G62" t="s">
        <v>810</v>
      </c>
      <c r="H62" t="str">
        <f>LEFT(Table_List[[#This Row],[Title]],SEARCH(":",Table_List[[#This Row],[Title]]) - 1)</f>
        <v>6(iii)</v>
      </c>
    </row>
    <row r="63" spans="1:8" ht="14.25" x14ac:dyDescent="0.45">
      <c r="A63" t="s">
        <v>859</v>
      </c>
      <c r="B63" t="s">
        <v>927</v>
      </c>
      <c r="C63">
        <v>6</v>
      </c>
      <c r="D63">
        <v>0</v>
      </c>
      <c r="E63" t="s">
        <v>1215</v>
      </c>
      <c r="F63" t="s">
        <v>806</v>
      </c>
      <c r="G63" t="s">
        <v>806</v>
      </c>
      <c r="H63" t="str">
        <f>LEFT(Table_List[[#This Row],[Title]],SEARCH(":",Table_List[[#This Row],[Title]]) - 1)</f>
        <v>7(i)</v>
      </c>
    </row>
    <row r="64" spans="1:8" ht="14.25" x14ac:dyDescent="0.45">
      <c r="A64" t="s">
        <v>859</v>
      </c>
      <c r="B64" t="s">
        <v>928</v>
      </c>
      <c r="C64">
        <v>22</v>
      </c>
      <c r="D64">
        <v>0</v>
      </c>
      <c r="E64" t="s">
        <v>1216</v>
      </c>
      <c r="F64" t="s">
        <v>807</v>
      </c>
      <c r="G64" t="s">
        <v>807</v>
      </c>
      <c r="H64" t="str">
        <f>LEFT(Table_List[[#This Row],[Title]],SEARCH(":",Table_List[[#This Row],[Title]]) - 1)</f>
        <v>7(ii)</v>
      </c>
    </row>
    <row r="65" spans="1:8" ht="14.25" x14ac:dyDescent="0.45">
      <c r="A65" t="s">
        <v>859</v>
      </c>
      <c r="B65" t="s">
        <v>929</v>
      </c>
      <c r="C65">
        <v>12</v>
      </c>
      <c r="D65">
        <v>0</v>
      </c>
      <c r="E65" t="s">
        <v>1217</v>
      </c>
      <c r="F65" t="s">
        <v>808</v>
      </c>
      <c r="G65" t="s">
        <v>808</v>
      </c>
      <c r="H65" t="str">
        <f>LEFT(Table_List[[#This Row],[Title]],SEARCH(":",Table_List[[#This Row],[Title]]) - 1)</f>
        <v>7(iii)</v>
      </c>
    </row>
    <row r="66" spans="1:8" ht="14.25" x14ac:dyDescent="0.45">
      <c r="A66" t="s">
        <v>859</v>
      </c>
      <c r="B66" t="s">
        <v>930</v>
      </c>
      <c r="C66">
        <v>2</v>
      </c>
      <c r="D66">
        <v>0</v>
      </c>
      <c r="E66" t="s">
        <v>1218</v>
      </c>
      <c r="F66" t="s">
        <v>867</v>
      </c>
      <c r="G66" t="s">
        <v>867</v>
      </c>
      <c r="H66" t="str">
        <f>LEFT(Table_List[[#This Row],[Title]],SEARCH(":",Table_List[[#This Row],[Title]]) - 1)</f>
        <v>7(iv)</v>
      </c>
    </row>
    <row r="67" spans="1:8" ht="14.25" x14ac:dyDescent="0.45">
      <c r="A67" t="s">
        <v>860</v>
      </c>
      <c r="B67" t="s">
        <v>931</v>
      </c>
      <c r="C67">
        <v>7</v>
      </c>
      <c r="D67">
        <v>0</v>
      </c>
      <c r="E67" t="s">
        <v>1219</v>
      </c>
      <c r="F67" t="s">
        <v>861</v>
      </c>
      <c r="G67" t="s">
        <v>861</v>
      </c>
      <c r="H67" t="str">
        <f>LEFT(Table_List[[#This Row],[Title]],SEARCH(":",Table_List[[#This Row],[Title]]) - 1)</f>
        <v>8a(i)</v>
      </c>
    </row>
    <row r="68" spans="1:8" ht="14.25" x14ac:dyDescent="0.45">
      <c r="A68" t="s">
        <v>860</v>
      </c>
      <c r="B68" t="s">
        <v>932</v>
      </c>
      <c r="C68">
        <v>5</v>
      </c>
      <c r="D68">
        <v>0.28999999999999204</v>
      </c>
      <c r="E68" t="s">
        <v>1220</v>
      </c>
      <c r="F68" t="s">
        <v>865</v>
      </c>
      <c r="G68" t="s">
        <v>865</v>
      </c>
      <c r="H68" t="str">
        <f>LEFT(Table_List[[#This Row],[Title]],SEARCH(":",Table_List[[#This Row],[Title]]) - 1)</f>
        <v>8a(ii)</v>
      </c>
    </row>
    <row r="69" spans="1:8" ht="14.25" x14ac:dyDescent="0.45">
      <c r="A69" t="s">
        <v>860</v>
      </c>
      <c r="B69" t="s">
        <v>933</v>
      </c>
      <c r="C69">
        <v>1</v>
      </c>
      <c r="E69" t="s">
        <v>1221</v>
      </c>
      <c r="F69" t="s">
        <v>865</v>
      </c>
      <c r="G69" t="s">
        <v>865</v>
      </c>
      <c r="H69" t="str">
        <f>LEFT(Table_List[[#This Row],[Title]],SEARCH(":",Table_List[[#This Row],[Title]]) - 1)</f>
        <v>8a(ii)</v>
      </c>
    </row>
    <row r="70" spans="1:8" ht="14.25" x14ac:dyDescent="0.45">
      <c r="A70" t="s">
        <v>1125</v>
      </c>
      <c r="B70" t="s">
        <v>934</v>
      </c>
      <c r="C70">
        <v>6</v>
      </c>
      <c r="D70">
        <v>0.57999999999998408</v>
      </c>
      <c r="E70" t="s">
        <v>1222</v>
      </c>
      <c r="F70" t="s">
        <v>864</v>
      </c>
      <c r="G70" t="s">
        <v>864</v>
      </c>
      <c r="H70" t="str">
        <f>LEFT(Table_List[[#This Row],[Title]],SEARCH(":",Table_List[[#This Row],[Title]]) - 1)</f>
        <v>8b(ii)</v>
      </c>
    </row>
    <row r="71" spans="1:8" ht="14.25" x14ac:dyDescent="0.45">
      <c r="A71" t="s">
        <v>1125</v>
      </c>
      <c r="B71" t="s">
        <v>935</v>
      </c>
      <c r="C71">
        <v>24</v>
      </c>
      <c r="E71" t="s">
        <v>1223</v>
      </c>
      <c r="F71" t="s">
        <v>398</v>
      </c>
      <c r="G71" t="s">
        <v>398</v>
      </c>
      <c r="H71" t="str">
        <f>LEFT(Table_List[[#This Row],[Title]],SEARCH(":",Table_List[[#This Row],[Title]]) - 1)</f>
        <v>8b(i)</v>
      </c>
    </row>
    <row r="72" spans="1:8" ht="14.25" x14ac:dyDescent="0.45">
      <c r="A72" t="s">
        <v>844</v>
      </c>
      <c r="B72" t="s">
        <v>936</v>
      </c>
      <c r="C72">
        <v>3</v>
      </c>
      <c r="D72">
        <v>0</v>
      </c>
      <c r="E72" t="s">
        <v>1224</v>
      </c>
      <c r="F72" t="s">
        <v>424</v>
      </c>
      <c r="G72" t="s">
        <v>424</v>
      </c>
      <c r="H72" t="str">
        <f>LEFT(Table_List[[#This Row],[Title]],SEARCH(":",Table_List[[#This Row],[Title]]) - 1)</f>
        <v>9(i)</v>
      </c>
    </row>
    <row r="73" spans="1:8" ht="14.25" x14ac:dyDescent="0.45">
      <c r="A73" t="s">
        <v>844</v>
      </c>
      <c r="B73" t="s">
        <v>937</v>
      </c>
      <c r="C73">
        <v>16</v>
      </c>
      <c r="D73">
        <v>0</v>
      </c>
      <c r="E73" t="s">
        <v>1225</v>
      </c>
      <c r="F73" t="s">
        <v>862</v>
      </c>
      <c r="G73" t="s">
        <v>862</v>
      </c>
      <c r="H73" t="str">
        <f>LEFT(Table_List[[#This Row],[Title]],SEARCH(":",Table_List[[#This Row],[Title]]) - 1)</f>
        <v>9(iii)</v>
      </c>
    </row>
    <row r="74" spans="1:8" ht="14.25" x14ac:dyDescent="0.45">
      <c r="A74" t="s">
        <v>844</v>
      </c>
      <c r="B74" t="s">
        <v>938</v>
      </c>
      <c r="C74">
        <v>5</v>
      </c>
      <c r="D74">
        <v>0</v>
      </c>
      <c r="E74" t="s">
        <v>1226</v>
      </c>
      <c r="F74" t="s">
        <v>429</v>
      </c>
      <c r="G74" t="s">
        <v>429</v>
      </c>
      <c r="H74" t="str">
        <f>LEFT(Table_List[[#This Row],[Title]],SEARCH(":",Table_List[[#This Row],[Title]]) - 1)</f>
        <v>9(ii)</v>
      </c>
    </row>
    <row r="75" spans="1:8" ht="14.25" x14ac:dyDescent="0.45">
      <c r="A75" t="s">
        <v>844</v>
      </c>
      <c r="B75" t="s">
        <v>939</v>
      </c>
      <c r="C75">
        <v>24</v>
      </c>
      <c r="D75">
        <v>0</v>
      </c>
      <c r="E75" t="s">
        <v>1227</v>
      </c>
      <c r="F75" t="s">
        <v>424</v>
      </c>
      <c r="G75" t="s">
        <v>424</v>
      </c>
      <c r="H75" t="str">
        <f>LEFT(Table_List[[#This Row],[Title]],SEARCH(":",Table_List[[#This Row],[Title]]) - 1)</f>
        <v>9(i)</v>
      </c>
    </row>
    <row r="76" spans="1:8" ht="14.25" x14ac:dyDescent="0.45">
      <c r="A76" t="s">
        <v>845</v>
      </c>
      <c r="B76" t="s">
        <v>940</v>
      </c>
      <c r="C76">
        <v>30</v>
      </c>
      <c r="D76">
        <v>0</v>
      </c>
      <c r="E76" t="s">
        <v>1228</v>
      </c>
      <c r="F76" t="s">
        <v>472</v>
      </c>
      <c r="G76" t="s">
        <v>472</v>
      </c>
      <c r="H76" t="str">
        <f>LEFT(Table_List[[#This Row],[Title]],SEARCH(":",Table_List[[#This Row],[Title]]) - 1)</f>
        <v>10a</v>
      </c>
    </row>
    <row r="77" spans="1:8" ht="14.25" x14ac:dyDescent="0.45">
      <c r="A77" t="s">
        <v>1126</v>
      </c>
      <c r="B77" t="s">
        <v>941</v>
      </c>
      <c r="C77">
        <v>19</v>
      </c>
      <c r="D77">
        <v>0</v>
      </c>
      <c r="E77" t="s">
        <v>1229</v>
      </c>
      <c r="F77" t="s">
        <v>476</v>
      </c>
      <c r="G77" t="s">
        <v>476</v>
      </c>
      <c r="H77" t="str">
        <f>LEFT(Table_List[[#This Row],[Title]],SEARCH(":",Table_List[[#This Row],[Title]]) - 1)</f>
        <v>10b</v>
      </c>
    </row>
    <row r="78" spans="1:8" ht="14.25" x14ac:dyDescent="0.45">
      <c r="A78" t="s">
        <v>846</v>
      </c>
      <c r="B78" t="s">
        <v>942</v>
      </c>
      <c r="C78">
        <v>27</v>
      </c>
      <c r="D78">
        <v>0</v>
      </c>
      <c r="E78" t="s">
        <v>1230</v>
      </c>
      <c r="F78" t="s">
        <v>811</v>
      </c>
      <c r="G78" t="s">
        <v>811</v>
      </c>
      <c r="H78" t="str">
        <f>LEFT(Table_List[[#This Row],[Title]],SEARCH(":",Table_List[[#This Row],[Title]]) - 1)</f>
        <v>11(i)</v>
      </c>
    </row>
    <row r="79" spans="1:8" ht="14.25" x14ac:dyDescent="0.45">
      <c r="A79" t="s">
        <v>846</v>
      </c>
      <c r="B79" t="s">
        <v>943</v>
      </c>
      <c r="C79">
        <v>26</v>
      </c>
      <c r="D79">
        <v>0</v>
      </c>
      <c r="E79" t="s">
        <v>1231</v>
      </c>
      <c r="F79" t="s">
        <v>811</v>
      </c>
      <c r="G79" t="s">
        <v>811</v>
      </c>
      <c r="H79" t="str">
        <f>LEFT(Table_List[[#This Row],[Title]],SEARCH(":",Table_List[[#This Row],[Title]]) - 1)</f>
        <v>11(i)</v>
      </c>
    </row>
    <row r="80" spans="1:8" ht="14.25" x14ac:dyDescent="0.45">
      <c r="A80" t="s">
        <v>846</v>
      </c>
      <c r="B80" t="s">
        <v>944</v>
      </c>
      <c r="C80">
        <v>26</v>
      </c>
      <c r="D80">
        <v>0</v>
      </c>
      <c r="E80" t="s">
        <v>1232</v>
      </c>
      <c r="F80" t="s">
        <v>811</v>
      </c>
      <c r="G80" t="s">
        <v>811</v>
      </c>
      <c r="H80" t="str">
        <f>LEFT(Table_List[[#This Row],[Title]],SEARCH(":",Table_List[[#This Row],[Title]]) - 1)</f>
        <v>11(i)</v>
      </c>
    </row>
    <row r="81" spans="1:8" ht="14.25" x14ac:dyDescent="0.45">
      <c r="A81" t="s">
        <v>846</v>
      </c>
      <c r="B81" t="s">
        <v>945</v>
      </c>
      <c r="C81">
        <v>6</v>
      </c>
      <c r="D81">
        <v>0</v>
      </c>
      <c r="E81" t="s">
        <v>1233</v>
      </c>
      <c r="F81" t="s">
        <v>852</v>
      </c>
      <c r="G81" t="s">
        <v>852</v>
      </c>
      <c r="H81" t="str">
        <f>LEFT(Table_List[[#This Row],[Title]],SEARCH(":",Table_List[[#This Row],[Title]]) - 1)</f>
        <v>11(ii)</v>
      </c>
    </row>
    <row r="82" spans="1:8" ht="14.25" x14ac:dyDescent="0.45">
      <c r="A82" t="s">
        <v>847</v>
      </c>
      <c r="B82" t="s">
        <v>946</v>
      </c>
      <c r="C82">
        <v>14</v>
      </c>
      <c r="D82">
        <v>0</v>
      </c>
      <c r="E82" t="s">
        <v>1234</v>
      </c>
      <c r="F82" t="s">
        <v>812</v>
      </c>
      <c r="G82" t="s">
        <v>812</v>
      </c>
      <c r="H82" t="str">
        <f>LEFT(Table_List[[#This Row],[Title]],SEARCH(":",Table_List[[#This Row],[Title]]) - 1)</f>
        <v>11a(i)</v>
      </c>
    </row>
    <row r="83" spans="1:8" ht="14.25" x14ac:dyDescent="0.45">
      <c r="A83" t="s">
        <v>847</v>
      </c>
      <c r="B83" t="s">
        <v>947</v>
      </c>
      <c r="C83">
        <v>12</v>
      </c>
      <c r="D83">
        <v>0</v>
      </c>
      <c r="E83" t="s">
        <v>1235</v>
      </c>
      <c r="F83" t="s">
        <v>812</v>
      </c>
      <c r="G83" t="s">
        <v>812</v>
      </c>
      <c r="H83" t="str">
        <f>LEFT(Table_List[[#This Row],[Title]],SEARCH(":",Table_List[[#This Row],[Title]]) - 1)</f>
        <v>11a(i)</v>
      </c>
    </row>
    <row r="84" spans="1:8" ht="14.25" x14ac:dyDescent="0.45">
      <c r="A84" t="s">
        <v>847</v>
      </c>
      <c r="B84" t="s">
        <v>948</v>
      </c>
      <c r="C84">
        <v>12</v>
      </c>
      <c r="D84">
        <v>0</v>
      </c>
      <c r="E84" t="s">
        <v>1236</v>
      </c>
      <c r="F84" t="s">
        <v>812</v>
      </c>
      <c r="G84" t="s">
        <v>812</v>
      </c>
      <c r="H84" t="str">
        <f>LEFT(Table_List[[#This Row],[Title]],SEARCH(":",Table_List[[#This Row],[Title]]) - 1)</f>
        <v>11a(i)</v>
      </c>
    </row>
    <row r="85" spans="1:8" ht="14.25" x14ac:dyDescent="0.45">
      <c r="A85" t="s">
        <v>853</v>
      </c>
      <c r="B85" t="s">
        <v>949</v>
      </c>
      <c r="C85">
        <v>27</v>
      </c>
      <c r="D85">
        <v>0</v>
      </c>
      <c r="E85" t="s">
        <v>1237</v>
      </c>
      <c r="F85" t="s">
        <v>854</v>
      </c>
      <c r="G85" t="s">
        <v>854</v>
      </c>
      <c r="H85" t="str">
        <f>LEFT(Table_List[[#This Row],[Title]],SEARCH(":",Table_List[[#This Row],[Title]]) - 1)</f>
        <v>12(i)</v>
      </c>
    </row>
    <row r="86" spans="1:8" ht="14.25" x14ac:dyDescent="0.45">
      <c r="A86" t="s">
        <v>849</v>
      </c>
      <c r="B86" t="s">
        <v>950</v>
      </c>
      <c r="C86">
        <v>23</v>
      </c>
      <c r="D86">
        <v>0</v>
      </c>
      <c r="E86" t="s">
        <v>1238</v>
      </c>
      <c r="F86" t="s">
        <v>813</v>
      </c>
      <c r="G86" t="s">
        <v>813</v>
      </c>
      <c r="H86" t="str">
        <f>LEFT(Table_List[[#This Row],[Title]],SEARCH(":",Table_List[[#This Row],[Title]]) - 1)</f>
        <v>12a(i)</v>
      </c>
    </row>
    <row r="87" spans="1:8" ht="14.25" x14ac:dyDescent="0.45">
      <c r="A87" t="s">
        <v>849</v>
      </c>
      <c r="B87" t="s">
        <v>951</v>
      </c>
      <c r="C87">
        <v>30</v>
      </c>
      <c r="D87">
        <v>0</v>
      </c>
      <c r="E87" t="s">
        <v>1239</v>
      </c>
      <c r="F87" t="s">
        <v>814</v>
      </c>
      <c r="G87" t="s">
        <v>814</v>
      </c>
      <c r="H87" t="str">
        <f>LEFT(Table_List[[#This Row],[Title]],SEARCH(":",Table_List[[#This Row],[Title]]) - 1)</f>
        <v>12a(ii)</v>
      </c>
    </row>
    <row r="88" spans="1:8" ht="14.25" x14ac:dyDescent="0.45">
      <c r="A88" t="s">
        <v>849</v>
      </c>
      <c r="B88" t="s">
        <v>952</v>
      </c>
      <c r="C88">
        <v>27</v>
      </c>
      <c r="D88">
        <v>0</v>
      </c>
      <c r="E88" t="s">
        <v>1240</v>
      </c>
      <c r="F88" t="s">
        <v>814</v>
      </c>
      <c r="G88" t="s">
        <v>814</v>
      </c>
      <c r="H88" t="str">
        <f>LEFT(Table_List[[#This Row],[Title]],SEARCH(":",Table_List[[#This Row],[Title]]) - 1)</f>
        <v>12a(ii)</v>
      </c>
    </row>
    <row r="89" spans="1:8" ht="14.25" x14ac:dyDescent="0.45">
      <c r="A89" t="s">
        <v>849</v>
      </c>
      <c r="B89" t="s">
        <v>953</v>
      </c>
      <c r="C89">
        <v>27</v>
      </c>
      <c r="D89">
        <v>0</v>
      </c>
      <c r="E89" t="s">
        <v>1241</v>
      </c>
      <c r="F89" t="s">
        <v>814</v>
      </c>
      <c r="G89" t="s">
        <v>814</v>
      </c>
      <c r="H89" t="str">
        <f>LEFT(Table_List[[#This Row],[Title]],SEARCH(":",Table_List[[#This Row],[Title]]) - 1)</f>
        <v>12a(ii)</v>
      </c>
    </row>
    <row r="90" spans="1:8" ht="14.25" x14ac:dyDescent="0.45">
      <c r="A90" t="s">
        <v>850</v>
      </c>
      <c r="B90" t="s">
        <v>1256</v>
      </c>
      <c r="C90">
        <v>31</v>
      </c>
      <c r="D90">
        <v>0</v>
      </c>
      <c r="E90" t="s">
        <v>1242</v>
      </c>
      <c r="F90" t="s">
        <v>1127</v>
      </c>
      <c r="G90" t="s">
        <v>1127</v>
      </c>
      <c r="H90" t="str">
        <f>LEFT(Table_List[[#This Row],[Title]],SEARCH(":",Table_List[[#This Row],[Title]]) - 1)</f>
        <v>13(i)</v>
      </c>
    </row>
    <row r="91" spans="1:8" ht="14.25" x14ac:dyDescent="0.45">
      <c r="A91" t="s">
        <v>851</v>
      </c>
      <c r="B91" t="s">
        <v>1257</v>
      </c>
      <c r="C91">
        <v>12</v>
      </c>
      <c r="D91">
        <v>0</v>
      </c>
      <c r="E91" t="s">
        <v>1243</v>
      </c>
      <c r="F91" t="s">
        <v>1128</v>
      </c>
      <c r="G91" t="s">
        <v>1128</v>
      </c>
      <c r="H91" t="str">
        <f>LEFT(Table_List[[#This Row],[Title]],SEARCH(":",Table_List[[#This Row],[Title]]) - 1)</f>
        <v>13(ii)</v>
      </c>
    </row>
    <row r="92" spans="1:8" ht="14.25" x14ac:dyDescent="0.45"/>
    <row r="93" spans="1:8" ht="14.25" x14ac:dyDescent="0.45"/>
    <row r="94" spans="1:8" ht="14.25" x14ac:dyDescent="0.45"/>
    <row r="95" spans="1:8" ht="14.25" x14ac:dyDescent="0.45"/>
    <row r="96" spans="1:8" ht="14.25" x14ac:dyDescent="0.45"/>
    <row r="97" ht="14.25" x14ac:dyDescent="0.45"/>
    <row r="98" ht="14.25" x14ac:dyDescent="0.45"/>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F2BC1-1811-4FE4-ABB3-C0078E02BB44}">
  <sheetPr codeName="Sheet2">
    <tabColor indexed="10"/>
    <pageSetUpPr fitToPage="1"/>
  </sheetPr>
  <dimension ref="A1:E26"/>
  <sheetViews>
    <sheetView showGridLines="0" zoomScaleNormal="100" zoomScaleSheetLayoutView="55" workbookViewId="0"/>
  </sheetViews>
  <sheetFormatPr defaultColWidth="9.1328125" defaultRowHeight="14.45" customHeight="1" x14ac:dyDescent="0.45"/>
  <cols>
    <col min="1" max="1" width="4.86328125" customWidth="1"/>
    <col min="2" max="2" width="12.59765625" customWidth="1"/>
    <col min="3" max="3" width="61.59765625" customWidth="1"/>
    <col min="4" max="4" width="36.59765625" customWidth="1"/>
    <col min="5" max="5" width="136.3984375" customWidth="1"/>
  </cols>
  <sheetData>
    <row r="1" spans="1:5" ht="15.75" x14ac:dyDescent="0.5">
      <c r="A1" s="80"/>
      <c r="B1" s="19" t="s">
        <v>15</v>
      </c>
      <c r="C1" s="18"/>
      <c r="D1" s="18"/>
      <c r="E1" s="81"/>
    </row>
    <row r="2" spans="1:5" ht="27.75" customHeight="1" x14ac:dyDescent="0.45">
      <c r="A2" s="2"/>
      <c r="B2" s="119" t="s">
        <v>16</v>
      </c>
      <c r="C2" s="135" t="s">
        <v>17</v>
      </c>
      <c r="D2" s="135" t="s">
        <v>968</v>
      </c>
      <c r="E2" s="119" t="s">
        <v>95</v>
      </c>
    </row>
    <row r="3" spans="1:5" ht="39.4" x14ac:dyDescent="0.45">
      <c r="A3" s="20"/>
      <c r="B3" s="121" t="s">
        <v>18</v>
      </c>
      <c r="C3" s="137" t="s">
        <v>19</v>
      </c>
      <c r="D3" s="137" t="s">
        <v>826</v>
      </c>
      <c r="E3" s="124" t="s">
        <v>974</v>
      </c>
    </row>
    <row r="4" spans="1:5" ht="39.4" x14ac:dyDescent="0.45">
      <c r="A4" s="20"/>
      <c r="B4" s="122" t="s">
        <v>20</v>
      </c>
      <c r="C4" s="136" t="s">
        <v>21</v>
      </c>
      <c r="D4" s="136" t="s">
        <v>1298</v>
      </c>
      <c r="E4" s="125" t="s">
        <v>975</v>
      </c>
    </row>
    <row r="5" spans="1:5" ht="39.4" x14ac:dyDescent="0.45">
      <c r="A5" s="20"/>
      <c r="B5" s="122" t="s">
        <v>22</v>
      </c>
      <c r="C5" s="136" t="s">
        <v>23</v>
      </c>
      <c r="D5" s="136" t="s">
        <v>828</v>
      </c>
      <c r="E5" s="125" t="s">
        <v>976</v>
      </c>
    </row>
    <row r="6" spans="1:5" ht="39.4" x14ac:dyDescent="0.45">
      <c r="A6" s="2"/>
      <c r="B6" s="122" t="s">
        <v>24</v>
      </c>
      <c r="C6" s="136" t="s">
        <v>25</v>
      </c>
      <c r="D6" s="136" t="s">
        <v>829</v>
      </c>
      <c r="E6" s="120" t="s">
        <v>977</v>
      </c>
    </row>
    <row r="7" spans="1:5" ht="52.5" x14ac:dyDescent="0.45">
      <c r="A7" s="2"/>
      <c r="B7" s="122" t="s">
        <v>26</v>
      </c>
      <c r="C7" s="136" t="s">
        <v>27</v>
      </c>
      <c r="D7" s="136" t="s">
        <v>830</v>
      </c>
      <c r="E7" s="120" t="s">
        <v>978</v>
      </c>
    </row>
    <row r="8" spans="1:5" ht="52.5" x14ac:dyDescent="0.45">
      <c r="A8" s="2"/>
      <c r="B8" s="122" t="s">
        <v>28</v>
      </c>
      <c r="C8" s="136" t="s">
        <v>29</v>
      </c>
      <c r="D8" s="136" t="s">
        <v>831</v>
      </c>
      <c r="E8" s="120" t="s">
        <v>979</v>
      </c>
    </row>
    <row r="9" spans="1:5" ht="63.4" customHeight="1" x14ac:dyDescent="0.45">
      <c r="A9" s="2"/>
      <c r="B9" s="122" t="s">
        <v>30</v>
      </c>
      <c r="C9" s="136" t="s">
        <v>31</v>
      </c>
      <c r="D9" s="136" t="s">
        <v>832</v>
      </c>
      <c r="E9" s="120" t="s">
        <v>980</v>
      </c>
    </row>
    <row r="10" spans="1:5" ht="52.5" x14ac:dyDescent="0.45">
      <c r="A10" s="2"/>
      <c r="B10" s="122" t="s">
        <v>32</v>
      </c>
      <c r="C10" s="136" t="s">
        <v>33</v>
      </c>
      <c r="D10" s="136" t="s">
        <v>837</v>
      </c>
      <c r="E10" s="120" t="s">
        <v>981</v>
      </c>
    </row>
    <row r="11" spans="1:5" ht="52.5" x14ac:dyDescent="0.45">
      <c r="A11" s="2"/>
      <c r="B11" s="122" t="s">
        <v>34</v>
      </c>
      <c r="C11" s="136" t="s">
        <v>35</v>
      </c>
      <c r="D11" s="136" t="s">
        <v>838</v>
      </c>
      <c r="E11" s="120" t="s">
        <v>982</v>
      </c>
    </row>
    <row r="12" spans="1:5" ht="39.4" x14ac:dyDescent="0.45">
      <c r="A12" s="2"/>
      <c r="B12" s="122" t="s">
        <v>36</v>
      </c>
      <c r="C12" s="136" t="s">
        <v>1299</v>
      </c>
      <c r="D12" s="136" t="s">
        <v>839</v>
      </c>
      <c r="E12" s="120" t="s">
        <v>983</v>
      </c>
    </row>
    <row r="13" spans="1:5" ht="39.4" x14ac:dyDescent="0.45">
      <c r="A13" s="2"/>
      <c r="B13" s="122" t="s">
        <v>37</v>
      </c>
      <c r="C13" s="136" t="s">
        <v>38</v>
      </c>
      <c r="D13" s="136" t="s">
        <v>840</v>
      </c>
      <c r="E13" s="120" t="s">
        <v>984</v>
      </c>
    </row>
    <row r="14" spans="1:5" ht="52.5" x14ac:dyDescent="0.45">
      <c r="A14" s="20"/>
      <c r="B14" s="122" t="s">
        <v>39</v>
      </c>
      <c r="C14" s="136" t="s">
        <v>40</v>
      </c>
      <c r="D14" s="136" t="s">
        <v>295</v>
      </c>
      <c r="E14" s="125" t="s">
        <v>985</v>
      </c>
    </row>
    <row r="15" spans="1:5" ht="78.75" x14ac:dyDescent="0.45">
      <c r="A15" s="20"/>
      <c r="B15" s="122" t="s">
        <v>41</v>
      </c>
      <c r="C15" s="136" t="s">
        <v>42</v>
      </c>
      <c r="D15" s="136" t="s">
        <v>841</v>
      </c>
      <c r="E15" s="125" t="s">
        <v>986</v>
      </c>
    </row>
    <row r="16" spans="1:5" ht="39.4" x14ac:dyDescent="0.45">
      <c r="A16" s="20"/>
      <c r="B16" s="122" t="s">
        <v>43</v>
      </c>
      <c r="C16" s="136" t="s">
        <v>44</v>
      </c>
      <c r="D16" s="136" t="s">
        <v>842</v>
      </c>
      <c r="E16" s="125" t="s">
        <v>987</v>
      </c>
    </row>
    <row r="17" spans="1:5" ht="39.4" x14ac:dyDescent="0.45">
      <c r="A17" s="20"/>
      <c r="B17" s="122" t="s">
        <v>45</v>
      </c>
      <c r="C17" s="136" t="s">
        <v>46</v>
      </c>
      <c r="D17" s="136" t="s">
        <v>843</v>
      </c>
      <c r="E17" s="125" t="s">
        <v>988</v>
      </c>
    </row>
    <row r="18" spans="1:5" ht="39.4" x14ac:dyDescent="0.45">
      <c r="A18" s="2"/>
      <c r="B18" s="122" t="s">
        <v>47</v>
      </c>
      <c r="C18" s="136" t="s">
        <v>48</v>
      </c>
      <c r="D18" s="136" t="s">
        <v>844</v>
      </c>
      <c r="E18" s="120" t="s">
        <v>989</v>
      </c>
    </row>
    <row r="19" spans="1:5" ht="35.25" customHeight="1" x14ac:dyDescent="0.45">
      <c r="A19" s="20"/>
      <c r="B19" s="122" t="s">
        <v>49</v>
      </c>
      <c r="C19" s="136" t="s">
        <v>50</v>
      </c>
      <c r="D19" s="136" t="s">
        <v>845</v>
      </c>
      <c r="E19" s="125" t="s">
        <v>1303</v>
      </c>
    </row>
    <row r="20" spans="1:5" ht="28.5" customHeight="1" x14ac:dyDescent="0.45">
      <c r="A20" s="2"/>
      <c r="B20" s="122" t="s">
        <v>51</v>
      </c>
      <c r="C20" s="136" t="s">
        <v>52</v>
      </c>
      <c r="D20" s="136" t="s">
        <v>868</v>
      </c>
      <c r="E20" s="120" t="s">
        <v>1304</v>
      </c>
    </row>
    <row r="21" spans="1:5" ht="56.65" customHeight="1" x14ac:dyDescent="0.45">
      <c r="B21" s="122">
        <v>11</v>
      </c>
      <c r="C21" s="136" t="s">
        <v>53</v>
      </c>
      <c r="D21" s="136" t="s">
        <v>846</v>
      </c>
      <c r="E21" s="125" t="s">
        <v>990</v>
      </c>
    </row>
    <row r="22" spans="1:5" ht="63.75" customHeight="1" x14ac:dyDescent="0.45">
      <c r="A22" s="2"/>
      <c r="B22" s="122" t="s">
        <v>54</v>
      </c>
      <c r="C22" s="136" t="s">
        <v>55</v>
      </c>
      <c r="D22" s="136" t="s">
        <v>847</v>
      </c>
      <c r="E22" s="120" t="s">
        <v>991</v>
      </c>
    </row>
    <row r="23" spans="1:5" ht="26.25" x14ac:dyDescent="0.45">
      <c r="A23" s="20"/>
      <c r="B23" s="122">
        <v>12</v>
      </c>
      <c r="C23" s="136" t="s">
        <v>56</v>
      </c>
      <c r="D23" s="136" t="s">
        <v>848</v>
      </c>
      <c r="E23" s="125" t="s">
        <v>799</v>
      </c>
    </row>
    <row r="24" spans="1:5" ht="26.25" x14ac:dyDescent="0.45">
      <c r="A24" s="20"/>
      <c r="B24" s="123" t="s">
        <v>57</v>
      </c>
      <c r="C24" s="136" t="s">
        <v>58</v>
      </c>
      <c r="D24" s="136" t="s">
        <v>1300</v>
      </c>
      <c r="E24" s="125" t="s">
        <v>800</v>
      </c>
    </row>
    <row r="25" spans="1:5" ht="28.5" x14ac:dyDescent="0.45">
      <c r="A25" s="20"/>
      <c r="B25" s="122">
        <v>13</v>
      </c>
      <c r="C25" s="136" t="s">
        <v>59</v>
      </c>
      <c r="D25" s="136" t="s">
        <v>970</v>
      </c>
      <c r="E25" s="125" t="s">
        <v>801</v>
      </c>
    </row>
    <row r="26" spans="1:5" ht="14.45" customHeight="1" x14ac:dyDescent="0.45">
      <c r="B26" s="122"/>
      <c r="C26" s="136"/>
      <c r="E26" s="125"/>
    </row>
  </sheetData>
  <sheetProtection formatRows="0" insertRows="0"/>
  <pageMargins left="0.70866141732283472" right="0.70866141732283472" top="0.74803149606299213" bottom="0.74803149606299213" header="0.31496062992125989" footer="0.31496062992125989"/>
  <pageSetup paperSize="9" scale="34" orientation="portrait" r:id="rId1"/>
  <headerFooter alignWithMargins="0">
    <oddHeader>&amp;CCommerce Commission Information Disclosure Template</oddHeader>
    <oddFooter>&amp;L&amp;F&amp;C&amp;P&amp;R&amp;A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9DA35-B969-4380-A849-F8263F74BEED}">
  <sheetPr codeName="Sheet3">
    <tabColor indexed="10"/>
  </sheetPr>
  <dimension ref="A1:B33"/>
  <sheetViews>
    <sheetView showGridLines="0" zoomScaleNormal="100" zoomScaleSheetLayoutView="100" workbookViewId="0"/>
  </sheetViews>
  <sheetFormatPr defaultColWidth="9.1328125" defaultRowHeight="14.45" customHeight="1" x14ac:dyDescent="0.45"/>
  <cols>
    <col min="2" max="2" width="96.86328125" customWidth="1"/>
    <col min="3" max="4" width="9.1328125" customWidth="1"/>
  </cols>
  <sheetData>
    <row r="1" spans="1:2" ht="14.25" x14ac:dyDescent="0.45">
      <c r="A1" s="82"/>
      <c r="B1" s="21"/>
    </row>
    <row r="2" spans="1:2" ht="15.75" x14ac:dyDescent="0.45">
      <c r="A2" s="22"/>
      <c r="B2" s="23" t="s">
        <v>60</v>
      </c>
    </row>
    <row r="3" spans="1:2" ht="26.25" x14ac:dyDescent="0.45">
      <c r="A3" s="2"/>
      <c r="B3" s="24" t="s">
        <v>61</v>
      </c>
    </row>
    <row r="4" spans="1:2" ht="14.25" x14ac:dyDescent="0.45">
      <c r="A4" s="2"/>
      <c r="B4" s="25"/>
    </row>
    <row r="5" spans="1:2" ht="15.75" x14ac:dyDescent="0.45">
      <c r="A5" s="2"/>
      <c r="B5" s="26" t="s">
        <v>62</v>
      </c>
    </row>
    <row r="6" spans="1:2" ht="26.25" x14ac:dyDescent="0.45">
      <c r="A6" s="2"/>
      <c r="B6" s="27" t="s">
        <v>1252</v>
      </c>
    </row>
    <row r="7" spans="1:2" ht="39.4" x14ac:dyDescent="0.45">
      <c r="A7" s="2"/>
      <c r="B7" s="27" t="s">
        <v>1255</v>
      </c>
    </row>
    <row r="8" spans="1:2" ht="15" customHeight="1" x14ac:dyDescent="0.45">
      <c r="A8" s="2"/>
      <c r="B8" s="27"/>
    </row>
    <row r="9" spans="1:2" ht="15" customHeight="1" x14ac:dyDescent="0.45">
      <c r="A9" s="2"/>
      <c r="B9" s="26" t="s">
        <v>63</v>
      </c>
    </row>
    <row r="10" spans="1:2" ht="26.25" x14ac:dyDescent="0.45">
      <c r="A10" s="2"/>
      <c r="B10" s="27" t="s">
        <v>64</v>
      </c>
    </row>
    <row r="11" spans="1:2" ht="26.25" x14ac:dyDescent="0.45">
      <c r="A11" s="2"/>
      <c r="B11" s="27" t="s">
        <v>65</v>
      </c>
    </row>
    <row r="12" spans="1:2" ht="15" customHeight="1" x14ac:dyDescent="0.45">
      <c r="A12" s="2"/>
      <c r="B12" s="27"/>
    </row>
    <row r="13" spans="1:2" ht="15" customHeight="1" x14ac:dyDescent="0.45">
      <c r="A13" s="2"/>
      <c r="B13" s="26" t="s">
        <v>66</v>
      </c>
    </row>
    <row r="14" spans="1:2" ht="65.650000000000006" x14ac:dyDescent="0.45">
      <c r="A14" s="2"/>
      <c r="B14" s="27" t="s">
        <v>67</v>
      </c>
    </row>
    <row r="15" spans="1:2" ht="15" customHeight="1" x14ac:dyDescent="0.45">
      <c r="A15" s="2"/>
      <c r="B15" s="27"/>
    </row>
    <row r="16" spans="1:2" ht="15" customHeight="1" x14ac:dyDescent="0.45">
      <c r="A16" s="2"/>
      <c r="B16" s="26" t="s">
        <v>68</v>
      </c>
    </row>
    <row r="17" spans="1:2" ht="39.4" x14ac:dyDescent="0.45">
      <c r="A17" s="2"/>
      <c r="B17" s="28" t="s">
        <v>1253</v>
      </c>
    </row>
    <row r="18" spans="1:2" ht="14.25" x14ac:dyDescent="0.45">
      <c r="A18" s="2"/>
      <c r="B18" s="28"/>
    </row>
    <row r="19" spans="1:2" ht="15" customHeight="1" x14ac:dyDescent="0.45">
      <c r="A19" s="2"/>
      <c r="B19" s="26" t="s">
        <v>69</v>
      </c>
    </row>
    <row r="20" spans="1:2" ht="39.4" x14ac:dyDescent="0.45">
      <c r="A20" s="2"/>
      <c r="B20" s="27" t="s">
        <v>70</v>
      </c>
    </row>
    <row r="21" spans="1:2" ht="26.25" x14ac:dyDescent="0.45">
      <c r="A21" s="2"/>
      <c r="B21" s="27" t="s">
        <v>71</v>
      </c>
    </row>
    <row r="22" spans="1:2" ht="63" customHeight="1" x14ac:dyDescent="0.45">
      <c r="A22" s="2"/>
      <c r="B22" s="27" t="s">
        <v>72</v>
      </c>
    </row>
    <row r="23" spans="1:2" ht="14.25" x14ac:dyDescent="0.45">
      <c r="A23" s="2"/>
      <c r="B23" s="28"/>
    </row>
    <row r="24" spans="1:2" ht="15" customHeight="1" x14ac:dyDescent="0.45">
      <c r="A24" s="2"/>
      <c r="B24" s="27"/>
    </row>
    <row r="25" spans="1:2" ht="15.75" x14ac:dyDescent="0.45">
      <c r="A25" s="2"/>
      <c r="B25" s="26" t="s">
        <v>73</v>
      </c>
    </row>
    <row r="26" spans="1:2" ht="26.25" x14ac:dyDescent="0.45">
      <c r="A26" s="2"/>
      <c r="B26" s="29" t="s">
        <v>1254</v>
      </c>
    </row>
    <row r="27" spans="1:2" ht="14.25" x14ac:dyDescent="0.45">
      <c r="A27" s="2"/>
      <c r="B27" s="27"/>
    </row>
    <row r="28" spans="1:2" ht="15.75" x14ac:dyDescent="0.45">
      <c r="A28" s="2"/>
      <c r="B28" s="26" t="s">
        <v>74</v>
      </c>
    </row>
    <row r="29" spans="1:2" ht="39.4" x14ac:dyDescent="0.45">
      <c r="A29" s="2"/>
      <c r="B29" s="27" t="s">
        <v>75</v>
      </c>
    </row>
    <row r="30" spans="1:2" ht="14.25" x14ac:dyDescent="0.45">
      <c r="A30" s="2"/>
      <c r="B30" s="27"/>
    </row>
    <row r="31" spans="1:2" ht="15.75" x14ac:dyDescent="0.45">
      <c r="A31" s="2"/>
      <c r="B31" s="26" t="s">
        <v>76</v>
      </c>
    </row>
    <row r="32" spans="1:2" ht="26.25" x14ac:dyDescent="0.45">
      <c r="A32" s="2"/>
      <c r="B32" s="27" t="s">
        <v>77</v>
      </c>
    </row>
    <row r="33" spans="1:2" ht="126.4" customHeight="1" x14ac:dyDescent="0.45">
      <c r="A33" s="2"/>
      <c r="B33" s="28" t="s">
        <v>1259</v>
      </c>
    </row>
  </sheetData>
  <sheetProtection formatRows="0" insertRows="0"/>
  <pageMargins left="0.70866141732283472" right="0.70866141732283472" top="0.74803149606299213" bottom="0.74803149606299213" header="0.31496062992125984" footer="0.31496062992125984"/>
  <pageSetup paperSize="9" scale="84" fitToHeight="2" orientation="portrait" r:id="rId1"/>
  <headerFooter alignWithMargins="0">
    <oddHeader>&amp;CCommerce Commission Information Disclosure Template</oddHeader>
    <oddFooter>&amp;L&amp;F&amp;C&amp;P&amp;R&amp;A</oddFooter>
  </headerFooter>
  <rowBreaks count="1" manualBreakCount="1">
    <brk id="23" min="1"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ECC64-4DFF-4E3C-95A7-90AA1223A986}">
  <sheetPr codeName="Sheet28"/>
  <dimension ref="A1:K12"/>
  <sheetViews>
    <sheetView workbookViewId="0">
      <selection activeCell="K6" sqref="K6"/>
    </sheetView>
  </sheetViews>
  <sheetFormatPr defaultRowHeight="14.45" customHeight="1" x14ac:dyDescent="0.45"/>
  <cols>
    <col min="1" max="1" width="11.59765625" bestFit="1" customWidth="1"/>
    <col min="3" max="3" width="13" bestFit="1" customWidth="1"/>
    <col min="4" max="4" width="16.73046875" bestFit="1" customWidth="1"/>
    <col min="5" max="5" width="38.265625" bestFit="1" customWidth="1"/>
    <col min="6" max="6" width="29.3984375" bestFit="1" customWidth="1"/>
    <col min="7" max="7" width="8.86328125" bestFit="1" customWidth="1"/>
    <col min="11" max="11" width="12.86328125" bestFit="1" customWidth="1"/>
  </cols>
  <sheetData>
    <row r="1" spans="1:11" ht="21" x14ac:dyDescent="0.65">
      <c r="A1" s="129"/>
      <c r="E1" t="s">
        <v>784</v>
      </c>
      <c r="I1" s="128" t="s">
        <v>957</v>
      </c>
    </row>
    <row r="2" spans="1:11" ht="37.9" customHeight="1" x14ac:dyDescent="0.45">
      <c r="A2" s="119" t="s">
        <v>78</v>
      </c>
      <c r="B2" s="119" t="s">
        <v>79</v>
      </c>
      <c r="C2" s="119" t="s">
        <v>1244</v>
      </c>
      <c r="D2" s="119" t="s">
        <v>1245</v>
      </c>
      <c r="E2" s="119" t="s">
        <v>958</v>
      </c>
      <c r="F2" s="119" t="s">
        <v>772</v>
      </c>
      <c r="G2" s="119" t="s">
        <v>773</v>
      </c>
      <c r="I2" s="130" t="s">
        <v>774</v>
      </c>
    </row>
    <row r="3" spans="1:11" ht="14.25" x14ac:dyDescent="0.45">
      <c r="B3" s="162"/>
      <c r="E3" s="163" t="s">
        <v>775</v>
      </c>
      <c r="F3" s="164" t="s">
        <v>776</v>
      </c>
      <c r="G3" s="165" t="s">
        <v>777</v>
      </c>
      <c r="H3" s="76"/>
      <c r="I3" s="77" t="s">
        <v>778</v>
      </c>
    </row>
    <row r="4" spans="1:11" ht="14.25" x14ac:dyDescent="0.45">
      <c r="B4" s="162"/>
      <c r="E4" s="163" t="s">
        <v>775</v>
      </c>
      <c r="F4" s="160" t="s">
        <v>135</v>
      </c>
      <c r="G4" s="165" t="s">
        <v>777</v>
      </c>
      <c r="I4" s="76" t="s">
        <v>783</v>
      </c>
    </row>
    <row r="5" spans="1:11" ht="14.25" x14ac:dyDescent="0.45">
      <c r="B5" s="162"/>
      <c r="E5" s="163" t="s">
        <v>775</v>
      </c>
      <c r="F5" s="160" t="s">
        <v>135</v>
      </c>
      <c r="G5" s="165" t="s">
        <v>777</v>
      </c>
      <c r="I5" s="111" t="s">
        <v>779</v>
      </c>
    </row>
    <row r="6" spans="1:11" ht="14.25" x14ac:dyDescent="0.45">
      <c r="B6" s="162"/>
      <c r="E6" s="163" t="s">
        <v>775</v>
      </c>
      <c r="G6" s="165" t="s">
        <v>777</v>
      </c>
      <c r="K6" s="240">
        <f>IF(J12=0,0,V26)</f>
        <v>0</v>
      </c>
    </row>
    <row r="7" spans="1:11" ht="23.25" x14ac:dyDescent="0.45">
      <c r="B7" s="162"/>
      <c r="E7" s="163" t="s">
        <v>775</v>
      </c>
      <c r="F7" s="166" t="s">
        <v>780</v>
      </c>
      <c r="G7" s="165" t="s">
        <v>777</v>
      </c>
      <c r="I7" s="146" t="s">
        <v>1139</v>
      </c>
      <c r="K7" s="206">
        <v>0.5</v>
      </c>
    </row>
    <row r="8" spans="1:11" ht="14.25" x14ac:dyDescent="0.45">
      <c r="B8" s="162"/>
      <c r="E8" s="163" t="s">
        <v>775</v>
      </c>
      <c r="F8" s="166" t="s">
        <v>780</v>
      </c>
      <c r="G8" s="165" t="s">
        <v>777</v>
      </c>
      <c r="K8" s="207">
        <v>55555</v>
      </c>
    </row>
    <row r="9" spans="1:11" ht="14.25" x14ac:dyDescent="0.45">
      <c r="B9" s="162"/>
      <c r="E9" s="163" t="s">
        <v>775</v>
      </c>
      <c r="F9" s="166" t="s">
        <v>780</v>
      </c>
      <c r="G9" s="165" t="s">
        <v>777</v>
      </c>
      <c r="K9" s="208">
        <v>1214321.77</v>
      </c>
    </row>
    <row r="10" spans="1:11" ht="14.25" x14ac:dyDescent="0.45">
      <c r="I10" s="64" t="s">
        <v>781</v>
      </c>
      <c r="K10" s="209">
        <v>646464</v>
      </c>
    </row>
    <row r="11" spans="1:11" ht="14.25" x14ac:dyDescent="0.45"/>
    <row r="12" spans="1:11" ht="15.75" x14ac:dyDescent="0.45">
      <c r="I12" s="144" t="s">
        <v>1133</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1CEF1-E14B-41A9-B1A9-B806B0343D39}">
  <sheetPr codeName="Sheet4">
    <pageSetUpPr fitToPage="1"/>
  </sheetPr>
  <dimension ref="A1:T38"/>
  <sheetViews>
    <sheetView zoomScale="85" zoomScaleNormal="85" zoomScaleSheetLayoutView="115" workbookViewId="0"/>
  </sheetViews>
  <sheetFormatPr defaultRowHeight="14.45" customHeight="1" x14ac:dyDescent="0.45"/>
  <cols>
    <col min="1" max="1" width="46.73046875" bestFit="1" customWidth="1"/>
    <col min="2" max="2" width="9" bestFit="1" customWidth="1"/>
    <col min="3" max="3" width="12.1328125" customWidth="1"/>
    <col min="4" max="4" width="55.1328125" bestFit="1" customWidth="1"/>
    <col min="5" max="5" width="34.59765625" bestFit="1" customWidth="1"/>
    <col min="6" max="8" width="15.59765625" customWidth="1"/>
    <col min="9" max="9" width="38.3984375" customWidth="1"/>
    <col min="12" max="12" width="27" customWidth="1"/>
    <col min="13" max="20" width="15.59765625" customWidth="1"/>
    <col min="21" max="21" width="9" customWidth="1"/>
  </cols>
  <sheetData>
    <row r="1" spans="1:20" ht="23.25" x14ac:dyDescent="0.45">
      <c r="A1" s="146" t="s">
        <v>1151</v>
      </c>
    </row>
    <row r="2" spans="1:20" ht="21" x14ac:dyDescent="0.65">
      <c r="A2" s="129" t="s">
        <v>81</v>
      </c>
      <c r="H2" s="76"/>
    </row>
    <row r="3" spans="1:20" ht="56.65" customHeight="1" x14ac:dyDescent="0.45">
      <c r="A3" s="119" t="s">
        <v>78</v>
      </c>
      <c r="B3" s="119" t="s">
        <v>79</v>
      </c>
      <c r="C3" s="119" t="s">
        <v>208</v>
      </c>
      <c r="D3" s="119" t="s">
        <v>1244</v>
      </c>
      <c r="E3" s="119" t="s">
        <v>1245</v>
      </c>
      <c r="F3" s="119" t="s">
        <v>959</v>
      </c>
      <c r="G3" s="119" t="s">
        <v>960</v>
      </c>
      <c r="H3" s="119" t="s">
        <v>961</v>
      </c>
      <c r="I3" s="76"/>
      <c r="M3" s="32" t="s">
        <v>80</v>
      </c>
      <c r="N3" s="33"/>
      <c r="O3" s="33"/>
      <c r="P3" s="33"/>
    </row>
    <row r="4" spans="1:20" ht="16.5" customHeight="1" x14ac:dyDescent="0.45">
      <c r="A4" t="s">
        <v>81</v>
      </c>
      <c r="B4" s="162">
        <f>ROW()</f>
        <v>4</v>
      </c>
      <c r="C4" s="162"/>
      <c r="D4" s="30" t="s">
        <v>82</v>
      </c>
      <c r="E4" t="s">
        <v>83</v>
      </c>
      <c r="F4" s="168"/>
      <c r="G4" s="168"/>
      <c r="H4" s="169" t="e">
        <f>F38</f>
        <v>#DIV/0!</v>
      </c>
      <c r="I4" s="147" t="str" cm="1">
        <f t="array" aca="1" ref="I4" ca="1">"from row "&amp;CELL("row", F38)</f>
        <v>from row 38</v>
      </c>
      <c r="J4" s="35"/>
      <c r="L4" s="35"/>
      <c r="M4" s="36" t="str" cm="1">
        <f t="array" aca="1" ref="M4" ca="1">CELL("address", F4)&amp;" &amp; "&amp;CELL("address", G4)&amp;" —  from last year's ID disclosure"</f>
        <v>$F$4 &amp; $G$4 —  from last year's ID disclosure</v>
      </c>
    </row>
    <row r="5" spans="1:20" ht="14.25" x14ac:dyDescent="0.45">
      <c r="A5" t="s">
        <v>81</v>
      </c>
      <c r="B5" s="162">
        <f>ROW()</f>
        <v>5</v>
      </c>
      <c r="C5" s="162"/>
      <c r="D5" t="s">
        <v>82</v>
      </c>
      <c r="E5" t="s">
        <v>84</v>
      </c>
      <c r="F5" s="168"/>
      <c r="G5" s="168"/>
      <c r="H5" s="169" t="e">
        <f>H8-($F$34*$F$35*$F$36*$F$37)</f>
        <v>#DIV/0!</v>
      </c>
      <c r="I5" s="147" t="str" cm="1">
        <f t="array" aca="1" ref="I5" ca="1">"from row "&amp;CELL("row", H8)&amp;", "&amp;CELL("row",Leverage)&amp;"-"&amp;CELL("row",F37)</f>
        <v>from row 8, 34-37</v>
      </c>
      <c r="M5" s="36" t="str" cm="1">
        <f t="array" aca="1" ref="M5" ca="1">CELL("address", F5)&amp;" &amp; "&amp;CELL("address", G5)&amp;" —  from last year's ID disclosure"</f>
        <v>$F$5 &amp; $G$5 —  from last year's ID disclosure</v>
      </c>
    </row>
    <row r="6" spans="1:20" ht="14.25" x14ac:dyDescent="0.45">
      <c r="A6" t="s">
        <v>81</v>
      </c>
      <c r="B6" s="162">
        <f>ROW()</f>
        <v>6</v>
      </c>
      <c r="C6" s="162"/>
      <c r="D6" t="s">
        <v>82</v>
      </c>
      <c r="E6" s="30" t="s">
        <v>85</v>
      </c>
      <c r="F6" s="168"/>
      <c r="G6" s="168"/>
      <c r="H6" s="168"/>
      <c r="I6" s="76"/>
      <c r="M6" s="36" t="str" cm="1">
        <f t="array" aca="1" ref="M6" ca="1">CELL("address", F6)&amp;" to "&amp;CELL("address", H6)&amp;" —  from applicable LFC ID cost of capital determination (ComCom website)"</f>
        <v>$F$6 to $H$6 —  from applicable LFC ID cost of capital determination (ComCom website)</v>
      </c>
    </row>
    <row r="7" spans="1:20" ht="14.25" x14ac:dyDescent="0.45">
      <c r="A7" t="s">
        <v>81</v>
      </c>
      <c r="B7" s="162">
        <f>ROW()</f>
        <v>7</v>
      </c>
      <c r="C7" s="162"/>
      <c r="D7" t="s">
        <v>86</v>
      </c>
      <c r="E7" t="s">
        <v>83</v>
      </c>
      <c r="F7" s="168"/>
      <c r="G7" s="168"/>
      <c r="H7" s="169" t="e">
        <f>F33</f>
        <v>#DIV/0!</v>
      </c>
      <c r="I7" s="147" t="str" cm="1">
        <f t="array" aca="1" ref="I7" ca="1">"from row "&amp;CELL("row", F33)</f>
        <v>from row 33</v>
      </c>
      <c r="M7" s="36" t="str" cm="1">
        <f t="array" aca="1" ref="M7" ca="1">CELL("address", F7)&amp;" &amp; "&amp;CELL("address", G7)&amp;" —  from last year's ID disclosure"</f>
        <v>$F$7 &amp; $G$7 —  from last year's ID disclosure</v>
      </c>
    </row>
    <row r="8" spans="1:20" ht="14.25" x14ac:dyDescent="0.45">
      <c r="A8" t="s">
        <v>81</v>
      </c>
      <c r="B8" s="162">
        <f>ROW()</f>
        <v>8</v>
      </c>
      <c r="C8" s="162"/>
      <c r="D8" t="s">
        <v>86</v>
      </c>
      <c r="E8" t="s">
        <v>84</v>
      </c>
      <c r="F8" s="168"/>
      <c r="G8" s="168"/>
      <c r="H8" s="169">
        <f>IF(F16=0,0,T29)</f>
        <v>0</v>
      </c>
      <c r="I8" s="147" t="str" cm="1">
        <f t="array" aca="1" ref="I8" ca="1">"from "&amp;CELL("address",R29)&amp;" mid yr IRR calcs"</f>
        <v>from $R$29 mid yr IRR calcs</v>
      </c>
      <c r="M8" s="36" t="str" cm="1">
        <f t="array" aca="1" ref="M8" ca="1">CELL("address", F8)&amp;" &amp; "&amp;CELL("address", G8)&amp;" —  from last year's ID disclosure"</f>
        <v>$F$8 &amp; $G$8 —  from last year's ID disclosure</v>
      </c>
    </row>
    <row r="9" spans="1:20" ht="14.25" x14ac:dyDescent="0.45">
      <c r="A9" t="s">
        <v>81</v>
      </c>
      <c r="B9" s="162">
        <f>ROW()</f>
        <v>9</v>
      </c>
      <c r="C9" s="162"/>
      <c r="D9" t="s">
        <v>86</v>
      </c>
      <c r="E9" s="30" t="s">
        <v>87</v>
      </c>
      <c r="F9" s="168"/>
      <c r="G9" s="168"/>
      <c r="H9" s="168"/>
      <c r="I9" s="76"/>
      <c r="M9" s="36" t="str" cm="1">
        <f t="array" aca="1" ref="M9" ca="1">CELL("address", F9)&amp;" to "&amp;CELL("address", H9)&amp;" —  from applicable LFC ID cost of capital determination (ComCom website)"</f>
        <v>$F$9 to $H$9 —  from applicable LFC ID cost of capital determination (ComCom website)</v>
      </c>
    </row>
    <row r="10" spans="1:20" ht="14.25" x14ac:dyDescent="0.45">
      <c r="A10" t="s">
        <v>81</v>
      </c>
      <c r="B10" s="162">
        <f>ROW()</f>
        <v>10</v>
      </c>
      <c r="C10" s="162"/>
      <c r="D10" t="s">
        <v>86</v>
      </c>
      <c r="E10" s="30" t="s">
        <v>88</v>
      </c>
      <c r="F10" s="168"/>
      <c r="G10" s="168"/>
      <c r="H10" s="168"/>
      <c r="I10" s="76"/>
    </row>
    <row r="11" spans="1:20" ht="14.25" x14ac:dyDescent="0.45">
      <c r="H11" s="76"/>
      <c r="L11" s="39"/>
    </row>
    <row r="12" spans="1:20" ht="14.25" x14ac:dyDescent="0.45">
      <c r="H12" s="76"/>
      <c r="L12" s="36"/>
    </row>
    <row r="13" spans="1:20" ht="14.25" x14ac:dyDescent="0.45">
      <c r="H13" s="76"/>
      <c r="L13" s="36"/>
    </row>
    <row r="14" spans="1:20" ht="21" x14ac:dyDescent="0.65">
      <c r="A14" s="129" t="s">
        <v>91</v>
      </c>
      <c r="H14" s="76"/>
    </row>
    <row r="15" spans="1:20" ht="30" customHeight="1" x14ac:dyDescent="0.45">
      <c r="A15" s="119" t="s">
        <v>78</v>
      </c>
      <c r="B15" s="119" t="s">
        <v>79</v>
      </c>
      <c r="C15" s="119" t="s">
        <v>208</v>
      </c>
      <c r="D15" s="119" t="s">
        <v>1244</v>
      </c>
      <c r="E15" s="119" t="s">
        <v>1245</v>
      </c>
      <c r="F15" s="131" t="s">
        <v>89</v>
      </c>
      <c r="I15" s="76"/>
      <c r="L15" s="126" t="s">
        <v>90</v>
      </c>
      <c r="M15" s="40"/>
      <c r="N15" s="40"/>
      <c r="O15" s="40"/>
      <c r="P15" s="40"/>
      <c r="Q15" s="40"/>
      <c r="R15" s="114"/>
      <c r="S15" s="40"/>
      <c r="T15" s="94"/>
    </row>
    <row r="16" spans="1:20" ht="14.25" x14ac:dyDescent="0.45">
      <c r="A16" t="s">
        <v>91</v>
      </c>
      <c r="B16" s="162">
        <f>ROW()</f>
        <v>16</v>
      </c>
      <c r="C16" s="162"/>
      <c r="D16" s="30" t="s">
        <v>92</v>
      </c>
      <c r="F16" s="163">
        <f>INDEX(tb_4b_4bii_4.22_1[RAB|
($000)],1)</f>
        <v>0</v>
      </c>
      <c r="I16" s="76"/>
      <c r="L16" s="56"/>
      <c r="M16" s="97"/>
      <c r="N16" s="97"/>
      <c r="O16" s="97"/>
      <c r="P16" s="97"/>
      <c r="Q16" s="118"/>
      <c r="R16" s="118"/>
      <c r="S16" s="97"/>
      <c r="T16" s="51"/>
    </row>
    <row r="17" spans="1:20" ht="14.25" x14ac:dyDescent="0.45">
      <c r="A17" t="s">
        <v>91</v>
      </c>
      <c r="B17" s="162">
        <f>ROW()</f>
        <v>17</v>
      </c>
      <c r="C17" s="162"/>
      <c r="D17" s="30" t="s">
        <v>93</v>
      </c>
      <c r="F17" s="163">
        <f>'S2.Regulatory Profit'!H4</f>
        <v>0</v>
      </c>
      <c r="H17" s="76" t="s">
        <v>94</v>
      </c>
      <c r="L17" s="57" t="s">
        <v>95</v>
      </c>
      <c r="M17" s="58" t="s">
        <v>96</v>
      </c>
      <c r="N17" s="58" t="s">
        <v>97</v>
      </c>
      <c r="O17" s="53" t="s">
        <v>98</v>
      </c>
      <c r="P17" s="115"/>
      <c r="Q17" s="114" t="s">
        <v>99</v>
      </c>
      <c r="R17" s="114"/>
      <c r="S17" s="53" t="s">
        <v>100</v>
      </c>
      <c r="T17" s="115"/>
    </row>
    <row r="18" spans="1:20" ht="14.25" x14ac:dyDescent="0.45">
      <c r="A18" t="s">
        <v>91</v>
      </c>
      <c r="B18" s="162">
        <f>ROW()</f>
        <v>18</v>
      </c>
      <c r="C18" s="162"/>
      <c r="D18" t="s">
        <v>101</v>
      </c>
      <c r="E18" t="s">
        <v>102</v>
      </c>
      <c r="F18" s="163">
        <f>'S2.Regulatory Profit'!H9+'S2.Regulatory Profit'!H10</f>
        <v>0</v>
      </c>
      <c r="G18" s="43"/>
      <c r="H18" s="76" t="s">
        <v>103</v>
      </c>
      <c r="L18" s="41"/>
      <c r="M18" s="52" t="s">
        <v>104</v>
      </c>
      <c r="N18" s="52" t="s">
        <v>105</v>
      </c>
      <c r="O18" s="54" t="s">
        <v>106</v>
      </c>
      <c r="P18" s="44" t="s">
        <v>107</v>
      </c>
      <c r="Q18" s="91" t="s">
        <v>108</v>
      </c>
      <c r="R18" s="92" t="e">
        <f>'S8b.Crown financing &amp; NDI'!E24</f>
        <v>#DIV/0!</v>
      </c>
      <c r="S18" s="54" t="s">
        <v>106</v>
      </c>
      <c r="T18" s="44" t="s">
        <v>107</v>
      </c>
    </row>
    <row r="19" spans="1:20" ht="14.25" x14ac:dyDescent="0.45">
      <c r="A19" t="s">
        <v>91</v>
      </c>
      <c r="B19" s="162">
        <f>ROW()</f>
        <v>19</v>
      </c>
      <c r="C19" s="162" t="s">
        <v>214</v>
      </c>
      <c r="D19" t="s">
        <v>101</v>
      </c>
      <c r="E19" t="s">
        <v>109</v>
      </c>
      <c r="F19" s="163">
        <f>'S4b.ID RAB Value Rolled Forward'!J7</f>
        <v>0</v>
      </c>
      <c r="G19" s="43"/>
      <c r="H19" s="76" t="s">
        <v>110</v>
      </c>
      <c r="L19" s="56"/>
      <c r="M19" s="97"/>
      <c r="N19" s="97"/>
      <c r="O19" s="56"/>
      <c r="P19" s="51"/>
      <c r="Q19" s="97"/>
      <c r="R19" s="97"/>
      <c r="S19" s="56"/>
      <c r="T19" s="51"/>
    </row>
    <row r="20" spans="1:20" ht="14.25" x14ac:dyDescent="0.45">
      <c r="A20" t="s">
        <v>91</v>
      </c>
      <c r="B20" s="162">
        <f>ROW()</f>
        <v>20</v>
      </c>
      <c r="C20" s="162" t="s">
        <v>212</v>
      </c>
      <c r="D20" t="s">
        <v>101</v>
      </c>
      <c r="E20" t="s">
        <v>111</v>
      </c>
      <c r="F20" s="163">
        <f>'S4b.ID RAB Value Rolled Forward'!J8</f>
        <v>0</v>
      </c>
      <c r="G20" s="43"/>
      <c r="H20" s="76" t="s">
        <v>110</v>
      </c>
      <c r="L20" s="93" t="s">
        <v>112</v>
      </c>
      <c r="M20" s="40">
        <v>365</v>
      </c>
      <c r="N20" s="222">
        <f>disc_year_end-M20</f>
        <v>-365</v>
      </c>
      <c r="O20" s="236">
        <f>-F16</f>
        <v>0</v>
      </c>
      <c r="P20" s="224" t="e">
        <f>O20/(1+P$27)^((365-$M20)/365)</f>
        <v>#NUM!</v>
      </c>
      <c r="Q20" s="238" t="e">
        <f>O20+R18</f>
        <v>#DIV/0!</v>
      </c>
      <c r="R20" s="224" t="e">
        <f>Q20/(1+R$27)^((365-$M20)/365)</f>
        <v>#DIV/0!</v>
      </c>
      <c r="S20" s="236" t="e">
        <f>Q20</f>
        <v>#DIV/0!</v>
      </c>
      <c r="T20" s="224" t="e">
        <f>S20/(1+T$27)^((365-$M20)/365)</f>
        <v>#DIV/0!</v>
      </c>
    </row>
    <row r="21" spans="1:20" ht="14.25" x14ac:dyDescent="0.45">
      <c r="A21" t="s">
        <v>91</v>
      </c>
      <c r="B21" s="162">
        <f>ROW()</f>
        <v>21</v>
      </c>
      <c r="C21" s="162" t="s">
        <v>214</v>
      </c>
      <c r="D21" t="s">
        <v>101</v>
      </c>
      <c r="E21" t="s">
        <v>113</v>
      </c>
      <c r="F21" s="163">
        <f>'S2.Regulatory Profit'!H16</f>
        <v>0</v>
      </c>
      <c r="G21" s="43"/>
      <c r="H21" s="76" t="s">
        <v>103</v>
      </c>
      <c r="L21" s="45" t="s">
        <v>101</v>
      </c>
      <c r="M21">
        <v>182</v>
      </c>
      <c r="N21" s="112">
        <f>disc_year_end-M21</f>
        <v>-182</v>
      </c>
      <c r="O21" s="237" cm="1">
        <f t="array" ref="O21">-F23+(corporate_tax_rate*'S2.Regulatory Profit'!F47)</f>
        <v>0</v>
      </c>
      <c r="P21" s="46" t="e">
        <f>O21/(1+P$27)^((365-$M21)/365)</f>
        <v>#NUM!</v>
      </c>
      <c r="Q21" s="239">
        <f>O21</f>
        <v>0</v>
      </c>
      <c r="R21" s="46" t="e">
        <f>Q21/(1+R$27)^((365-$M21)/365)</f>
        <v>#DIV/0!</v>
      </c>
      <c r="S21" s="239" cm="1">
        <f t="array" ref="S21">Q21+('S2.Regulatory Profit'!F46*corporate_tax_rate)</f>
        <v>0</v>
      </c>
      <c r="T21" s="46" t="e">
        <f>S21/(1+T$27)^((365-$M21)/365)</f>
        <v>#DIV/0!</v>
      </c>
    </row>
    <row r="22" spans="1:20" ht="14.25" x14ac:dyDescent="0.45">
      <c r="A22" t="s">
        <v>91</v>
      </c>
      <c r="B22" s="162">
        <f>ROW()</f>
        <v>22</v>
      </c>
      <c r="C22" s="162" t="s">
        <v>212</v>
      </c>
      <c r="D22" t="s">
        <v>101</v>
      </c>
      <c r="E22" t="s">
        <v>114</v>
      </c>
      <c r="F22" s="163">
        <f>'S2.Regulatory Profit'!H5+'S2.Regulatory Profit'!H6</f>
        <v>0</v>
      </c>
      <c r="G22" s="43"/>
      <c r="H22" s="76" t="s">
        <v>103</v>
      </c>
      <c r="L22" s="45" t="s">
        <v>93</v>
      </c>
      <c r="M22">
        <v>148</v>
      </c>
      <c r="N22" s="112">
        <f>disc_year_end-M22</f>
        <v>-148</v>
      </c>
      <c r="O22" s="237" cm="1">
        <f t="array" ref="O22">F17-asset_stranding_allowance-'S2.Regulatory Profit'!F47</f>
        <v>0</v>
      </c>
      <c r="P22" s="46" t="e">
        <f>O22/(1+P$27)^((365-$M22)/365)</f>
        <v>#NUM!</v>
      </c>
      <c r="Q22" s="239">
        <f>O22</f>
        <v>0</v>
      </c>
      <c r="R22" s="46" t="e">
        <f>Q22/(1+R$27)^((365-$M22)/365)</f>
        <v>#DIV/0!</v>
      </c>
      <c r="S22" s="239">
        <f>Q22-'S2.Regulatory Profit'!F46</f>
        <v>0</v>
      </c>
      <c r="T22" s="46" t="e">
        <f>S22/(1+T$27)^((365-$M22)/365)</f>
        <v>#DIV/0!</v>
      </c>
    </row>
    <row r="23" spans="1:20" ht="14.25" x14ac:dyDescent="0.45">
      <c r="A23" t="s">
        <v>91</v>
      </c>
      <c r="B23" s="162">
        <f>ROW()</f>
        <v>23</v>
      </c>
      <c r="C23" s="162"/>
      <c r="D23" s="30" t="s">
        <v>101</v>
      </c>
      <c r="F23" s="163">
        <f>SUM(F18,F19,-F20,F21,-F22)</f>
        <v>0</v>
      </c>
      <c r="G23" s="43"/>
      <c r="H23" s="76"/>
      <c r="L23" s="45" t="s">
        <v>115</v>
      </c>
      <c r="M23">
        <v>0</v>
      </c>
      <c r="N23" s="112">
        <f>disc_year_end-M23</f>
        <v>0</v>
      </c>
      <c r="O23" s="55">
        <f>-F24</f>
        <v>0</v>
      </c>
      <c r="P23" s="46" t="e">
        <f>O23/(1+P$27)^((365-$M23)/365)</f>
        <v>#NUM!</v>
      </c>
      <c r="Q23" s="239">
        <f>O23</f>
        <v>0</v>
      </c>
      <c r="R23" s="46" t="e">
        <f>Q23/(1+R$27)^((365-$M23)/365)</f>
        <v>#DIV/0!</v>
      </c>
      <c r="S23" s="55">
        <f>Q23</f>
        <v>0</v>
      </c>
      <c r="T23" s="46" t="e">
        <f>S23/(1+T$27)^((365-$M23)/365)</f>
        <v>#DIV/0!</v>
      </c>
    </row>
    <row r="24" spans="1:20" ht="14.25" x14ac:dyDescent="0.45">
      <c r="A24" t="s">
        <v>91</v>
      </c>
      <c r="B24" s="162">
        <f>ROW()</f>
        <v>24</v>
      </c>
      <c r="C24" s="162"/>
      <c r="D24" s="30" t="s">
        <v>116</v>
      </c>
      <c r="F24" s="163">
        <f>'S2.Regulatory Profit'!H15</f>
        <v>0</v>
      </c>
      <c r="G24" s="43"/>
      <c r="H24" s="76" t="s">
        <v>94</v>
      </c>
      <c r="L24" s="45" t="s">
        <v>117</v>
      </c>
      <c r="M24">
        <v>0</v>
      </c>
      <c r="N24" s="112">
        <f>disc_year_end-M24</f>
        <v>0</v>
      </c>
      <c r="O24" s="55">
        <f>F27</f>
        <v>0</v>
      </c>
      <c r="P24" s="46" t="e">
        <f>O24/(1+P$27)^((365-$M24)/365)</f>
        <v>#NUM!</v>
      </c>
      <c r="Q24" s="239">
        <f>O24</f>
        <v>0</v>
      </c>
      <c r="R24" s="46" t="e">
        <f>Q24/(1+R$27)^((365-$M24)/365)</f>
        <v>#DIV/0!</v>
      </c>
      <c r="S24" s="55">
        <f>Q24</f>
        <v>0</v>
      </c>
      <c r="T24" s="46" t="e">
        <f>S24/(1+T$27)^((365-$M24)/365)</f>
        <v>#DIV/0!</v>
      </c>
    </row>
    <row r="25" spans="1:20" ht="14.25" x14ac:dyDescent="0.45">
      <c r="A25" t="s">
        <v>91</v>
      </c>
      <c r="B25" s="162">
        <f>ROW()</f>
        <v>25</v>
      </c>
      <c r="C25" s="162"/>
      <c r="D25" t="s">
        <v>118</v>
      </c>
      <c r="E25" t="s">
        <v>119</v>
      </c>
      <c r="F25" s="163">
        <f>'S4b.ID RAB Value Rolled Forward'!J11</f>
        <v>0</v>
      </c>
      <c r="H25" s="76" t="s">
        <v>110</v>
      </c>
      <c r="L25" s="41"/>
      <c r="O25" s="41"/>
      <c r="P25" s="42"/>
      <c r="Q25" s="41"/>
      <c r="R25" s="42"/>
      <c r="S25" s="41"/>
      <c r="T25" s="42"/>
    </row>
    <row r="26" spans="1:20" ht="14.25" x14ac:dyDescent="0.45">
      <c r="A26" t="s">
        <v>91</v>
      </c>
      <c r="B26" s="162">
        <f>ROW()</f>
        <v>26</v>
      </c>
      <c r="C26" s="162" t="s">
        <v>212</v>
      </c>
      <c r="D26" t="s">
        <v>118</v>
      </c>
      <c r="E26" t="s">
        <v>120</v>
      </c>
      <c r="F26" s="163">
        <f>'S4b.ID RAB Value Rolled Forward'!J10</f>
        <v>0</v>
      </c>
      <c r="H26" s="76" t="s">
        <v>110</v>
      </c>
      <c r="L26" s="41"/>
      <c r="O26" s="41" t="s">
        <v>121</v>
      </c>
      <c r="P26" s="48">
        <f>0.1*SIGN(SUM(O20:O24))</f>
        <v>0</v>
      </c>
      <c r="Q26" s="234"/>
      <c r="R26" s="48" t="e">
        <f>0.1*SIGN(SUM(Q20:Q24))</f>
        <v>#DIV/0!</v>
      </c>
      <c r="S26" s="41"/>
      <c r="T26" s="48" t="e">
        <f>0.1*SIGN(SUM(S20:S24))</f>
        <v>#DIV/0!</v>
      </c>
    </row>
    <row r="27" spans="1:20" ht="14.25" x14ac:dyDescent="0.45">
      <c r="A27" t="s">
        <v>91</v>
      </c>
      <c r="B27" s="162">
        <f>ROW()</f>
        <v>27</v>
      </c>
      <c r="C27" s="162"/>
      <c r="D27" s="30" t="s">
        <v>118</v>
      </c>
      <c r="F27" s="163">
        <f>F25-F26</f>
        <v>0</v>
      </c>
      <c r="I27" s="76"/>
      <c r="L27" s="41"/>
      <c r="O27" s="41" t="s">
        <v>122</v>
      </c>
      <c r="P27" s="49" t="e">
        <f>XIRR(O20:O24,$N20:$N24,P26)</f>
        <v>#NUM!</v>
      </c>
      <c r="Q27" s="235"/>
      <c r="R27" s="49" t="e">
        <f>XIRR(Q20:Q24,$N20:$N24,R26)</f>
        <v>#DIV/0!</v>
      </c>
      <c r="S27" s="41"/>
      <c r="T27" s="49" t="e">
        <f>XIRR(S20:S24,$N20:$N24,T26)</f>
        <v>#DIV/0!</v>
      </c>
    </row>
    <row r="28" spans="1:20" ht="14.25" x14ac:dyDescent="0.45">
      <c r="H28" s="76"/>
      <c r="L28" s="41"/>
      <c r="O28" s="41" t="s">
        <v>123</v>
      </c>
      <c r="P28" s="50" t="e">
        <f>SUM(P20:P24)</f>
        <v>#NUM!</v>
      </c>
      <c r="Q28" s="60"/>
      <c r="R28" s="50" t="e">
        <f>SUM(R20:R24)</f>
        <v>#DIV/0!</v>
      </c>
      <c r="S28" s="41"/>
      <c r="T28" s="50" t="e">
        <f>SUM(T20:T24)</f>
        <v>#DIV/0!</v>
      </c>
    </row>
    <row r="29" spans="1:20" ht="14.25" x14ac:dyDescent="0.45">
      <c r="H29" s="76"/>
      <c r="L29" s="56"/>
      <c r="M29" s="97"/>
      <c r="N29" s="97"/>
      <c r="O29" s="56" t="s">
        <v>124</v>
      </c>
      <c r="P29" s="117" t="e">
        <f>IF(ABS(P28)&lt;0.015,P27,"ERROR")</f>
        <v>#NUM!</v>
      </c>
      <c r="Q29" s="116"/>
      <c r="R29" s="117" t="e">
        <f>IF(ABS(R28)&lt;0.015,R27,"ERROR")</f>
        <v>#DIV/0!</v>
      </c>
      <c r="S29" s="56"/>
      <c r="T29" s="117" t="e">
        <f>IF(ABS(T28)&lt;0.015,T27,"ERROR")</f>
        <v>#DIV/0!</v>
      </c>
    </row>
    <row r="30" spans="1:20" ht="21" x14ac:dyDescent="0.65">
      <c r="A30" s="129" t="s">
        <v>91</v>
      </c>
      <c r="H30" s="76"/>
    </row>
    <row r="31" spans="1:20" ht="30" customHeight="1" x14ac:dyDescent="0.45">
      <c r="A31" s="119" t="s">
        <v>78</v>
      </c>
      <c r="B31" s="119" t="s">
        <v>79</v>
      </c>
      <c r="C31" s="119" t="s">
        <v>208</v>
      </c>
      <c r="D31" s="119" t="s">
        <v>1244</v>
      </c>
      <c r="E31" s="119" t="s">
        <v>1245</v>
      </c>
      <c r="F31" s="119" t="s">
        <v>125</v>
      </c>
      <c r="I31" s="76"/>
      <c r="M31" s="52"/>
      <c r="N31" s="52"/>
      <c r="O31" s="89"/>
      <c r="P31" s="90"/>
      <c r="Q31" s="91"/>
    </row>
    <row r="32" spans="1:20" ht="28.5" x14ac:dyDescent="0.45">
      <c r="A32" t="s">
        <v>91</v>
      </c>
      <c r="B32" s="162">
        <f>ROW()</f>
        <v>32</v>
      </c>
      <c r="C32" s="162"/>
      <c r="D32" s="167" t="s">
        <v>126</v>
      </c>
      <c r="F32" s="159" t="e">
        <f>P29</f>
        <v>#NUM!</v>
      </c>
      <c r="I32" s="76"/>
    </row>
    <row r="33" spans="1:16" ht="14.25" x14ac:dyDescent="0.45">
      <c r="A33" t="s">
        <v>91</v>
      </c>
      <c r="B33" s="162">
        <f>ROW()</f>
        <v>33</v>
      </c>
      <c r="C33" s="162"/>
      <c r="D33" s="30" t="s">
        <v>86</v>
      </c>
      <c r="F33" s="159" t="e">
        <f>R29</f>
        <v>#DIV/0!</v>
      </c>
      <c r="I33" s="76" t="str" cm="1">
        <f t="array" aca="1" ref="I33" ca="1">"from row "&amp;CELL("address", R29)&amp;" mid yr IRR calcs."</f>
        <v>from row $R$29 mid yr IRR calcs.</v>
      </c>
      <c r="P33" s="61"/>
    </row>
    <row r="34" spans="1:16" ht="14.25" x14ac:dyDescent="0.45">
      <c r="A34" t="s">
        <v>91</v>
      </c>
      <c r="B34" s="162">
        <f>ROW()</f>
        <v>34</v>
      </c>
      <c r="C34" s="162"/>
      <c r="D34" t="s">
        <v>82</v>
      </c>
      <c r="E34" t="s">
        <v>127</v>
      </c>
      <c r="F34" s="159">
        <v>0.28999999999999998</v>
      </c>
      <c r="I34" s="76"/>
      <c r="P34" s="61"/>
    </row>
    <row r="35" spans="1:16" ht="14.25" x14ac:dyDescent="0.45">
      <c r="A35" t="s">
        <v>91</v>
      </c>
      <c r="B35" s="162">
        <f>ROW()</f>
        <v>35</v>
      </c>
      <c r="C35" s="162"/>
      <c r="D35" t="s">
        <v>82</v>
      </c>
      <c r="E35" t="s">
        <v>128</v>
      </c>
      <c r="F35" s="159">
        <f>'S1b.PQ FFLAS IRR '!F35</f>
        <v>0</v>
      </c>
      <c r="I35" s="76" t="s">
        <v>129</v>
      </c>
      <c r="P35" s="61"/>
    </row>
    <row r="36" spans="1:16" ht="14.25" x14ac:dyDescent="0.45">
      <c r="A36" t="s">
        <v>91</v>
      </c>
      <c r="B36" s="162">
        <f>ROW()</f>
        <v>36</v>
      </c>
      <c r="C36" s="162"/>
      <c r="D36" t="s">
        <v>82</v>
      </c>
      <c r="E36" t="s">
        <v>130</v>
      </c>
      <c r="F36" s="159" cm="1">
        <f t="array" ref="F36">corporate_tax_rate</f>
        <v>0</v>
      </c>
      <c r="I36" s="76" t="s">
        <v>131</v>
      </c>
      <c r="P36" s="61"/>
    </row>
    <row r="37" spans="1:16" ht="14.25" x14ac:dyDescent="0.45">
      <c r="A37" t="s">
        <v>91</v>
      </c>
      <c r="B37" s="162">
        <f>ROW()</f>
        <v>37</v>
      </c>
      <c r="C37" s="162"/>
      <c r="D37" t="s">
        <v>82</v>
      </c>
      <c r="E37" t="s">
        <v>132</v>
      </c>
      <c r="F37" s="159" t="e">
        <f>('S8b.Crown financing &amp; NDI'!E34+'S8b.Crown financing &amp; NDI'!F34)/('S8b.Crown financing &amp; NDI'!E32+'S8b.Crown financing &amp; NDI'!F32)</f>
        <v>#DIV/0!</v>
      </c>
      <c r="I37" s="76" t="s">
        <v>133</v>
      </c>
    </row>
    <row r="38" spans="1:16" ht="14.25" x14ac:dyDescent="0.45">
      <c r="A38" t="s">
        <v>91</v>
      </c>
      <c r="B38" s="162">
        <f>ROW()</f>
        <v>38</v>
      </c>
      <c r="C38" s="162"/>
      <c r="D38" s="30" t="s">
        <v>82</v>
      </c>
      <c r="F38" s="159" t="e">
        <f>F33-($F$34*$F$35*$F$36*$F$37)</f>
        <v>#DIV/0!</v>
      </c>
      <c r="I38" s="76" t="str" cm="1">
        <f t="array" aca="1" ref="I38" ca="1">"to row "&amp;CELL("row", H4)</f>
        <v>to row 4</v>
      </c>
    </row>
  </sheetData>
  <dataConsolidate/>
  <pageMargins left="0.7" right="0.7" top="0.75" bottom="0.75" header="0.3" footer="0.3"/>
  <pageSetup paperSize="9" scale="54" fitToHeight="0" orientation="landscape" r:id="rId1"/>
  <colBreaks count="1" manualBreakCount="1">
    <brk id="9" max="1048575" man="1"/>
  </colBreaks>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59262-9DA3-4866-8877-5745C05090AD}">
  <sheetPr codeName="Sheet5">
    <pageSetUpPr fitToPage="1"/>
  </sheetPr>
  <dimension ref="A1:T39"/>
  <sheetViews>
    <sheetView zoomScale="85" zoomScaleNormal="85" workbookViewId="0"/>
  </sheetViews>
  <sheetFormatPr defaultRowHeight="14.45" customHeight="1" x14ac:dyDescent="0.45"/>
  <cols>
    <col min="1" max="1" width="46.86328125" bestFit="1" customWidth="1"/>
    <col min="2" max="2" width="9" bestFit="1" customWidth="1"/>
    <col min="3" max="3" width="11" customWidth="1"/>
    <col min="4" max="4" width="55.1328125" bestFit="1" customWidth="1"/>
    <col min="5" max="5" width="34.59765625" bestFit="1" customWidth="1"/>
    <col min="6" max="6" width="15.73046875" customWidth="1"/>
    <col min="7" max="7" width="11" bestFit="1" customWidth="1"/>
    <col min="8" max="8" width="10.73046875" customWidth="1"/>
    <col min="10" max="10" width="16" customWidth="1"/>
    <col min="12" max="12" width="27" customWidth="1"/>
    <col min="13" max="20" width="15.59765625" customWidth="1"/>
  </cols>
  <sheetData>
    <row r="1" spans="1:20" ht="23.25" x14ac:dyDescent="0.45">
      <c r="A1" s="146" t="s">
        <v>1152</v>
      </c>
    </row>
    <row r="2" spans="1:20" ht="21" x14ac:dyDescent="0.65">
      <c r="A2" s="129" t="s">
        <v>802</v>
      </c>
      <c r="H2" s="76"/>
    </row>
    <row r="3" spans="1:20" ht="56.65" customHeight="1" x14ac:dyDescent="0.45">
      <c r="A3" s="119" t="s">
        <v>78</v>
      </c>
      <c r="B3" s="119" t="s">
        <v>79</v>
      </c>
      <c r="C3" s="119" t="s">
        <v>208</v>
      </c>
      <c r="D3" s="119" t="s">
        <v>1244</v>
      </c>
      <c r="E3" s="119" t="s">
        <v>1245</v>
      </c>
      <c r="F3" s="119" t="s">
        <v>959</v>
      </c>
      <c r="G3" s="119" t="s">
        <v>960</v>
      </c>
      <c r="H3" s="119" t="s">
        <v>961</v>
      </c>
      <c r="I3" s="76"/>
      <c r="M3" s="32" t="s">
        <v>80</v>
      </c>
      <c r="N3" s="33"/>
      <c r="O3" s="33"/>
      <c r="P3" s="33"/>
    </row>
    <row r="4" spans="1:20" ht="14.25" x14ac:dyDescent="0.45">
      <c r="A4" t="s">
        <v>802</v>
      </c>
      <c r="B4" s="162">
        <f>ROW()</f>
        <v>4</v>
      </c>
      <c r="C4" s="162"/>
      <c r="D4" s="30" t="s">
        <v>82</v>
      </c>
      <c r="E4" t="s">
        <v>83</v>
      </c>
      <c r="F4" s="241"/>
      <c r="G4" s="241"/>
      <c r="H4" s="242" t="e">
        <f>F38</f>
        <v>#DIV/0!</v>
      </c>
      <c r="I4" s="76" t="str" cm="1">
        <f t="array" aca="1" ref="I4" ca="1">"from row "&amp;CELL("row", F37)</f>
        <v>from row 37</v>
      </c>
      <c r="J4" s="34"/>
      <c r="L4" s="35"/>
      <c r="M4" s="36" t="str" cm="1">
        <f t="array" aca="1" ref="M4" ca="1">CELL("address", F4)&amp;" &amp; "&amp;CELL("address", G4)&amp;" —  from last year's ID disclosure"</f>
        <v>$F$4 &amp; $G$4 —  from last year's ID disclosure</v>
      </c>
    </row>
    <row r="5" spans="1:20" ht="14.25" x14ac:dyDescent="0.45">
      <c r="A5" t="s">
        <v>802</v>
      </c>
      <c r="B5" s="162">
        <f>ROW()</f>
        <v>5</v>
      </c>
      <c r="C5" s="162"/>
      <c r="D5" t="s">
        <v>82</v>
      </c>
      <c r="E5" t="s">
        <v>84</v>
      </c>
      <c r="F5" s="241"/>
      <c r="G5" s="241"/>
      <c r="H5" s="242" t="e">
        <f>H8-($F$34*$F$35*$F$36*$F$37)</f>
        <v>#DIV/0!</v>
      </c>
      <c r="I5" s="76" t="str" cm="1">
        <f t="array" aca="1" ref="I5" ca="1">"from row "&amp;CELL("row", H8)&amp;", "&amp;CELL("row", F33)&amp;"-"&amp;CELL("row", F36)</f>
        <v>from row 8, 33-36</v>
      </c>
      <c r="J5" s="37"/>
      <c r="M5" s="36" t="str" cm="1">
        <f t="array" aca="1" ref="M5" ca="1">CELL("address", F5)&amp;" &amp; "&amp;CELL("address", G5)&amp;" —  from last year's ID disclosure"</f>
        <v>$F$5 &amp; $G$5 —  from last year's ID disclosure</v>
      </c>
    </row>
    <row r="6" spans="1:20" ht="14.25" x14ac:dyDescent="0.45">
      <c r="A6" t="s">
        <v>802</v>
      </c>
      <c r="B6" s="162">
        <f>ROW()</f>
        <v>6</v>
      </c>
      <c r="C6" s="162"/>
      <c r="D6" t="s">
        <v>82</v>
      </c>
      <c r="E6" s="30" t="s">
        <v>85</v>
      </c>
      <c r="F6" s="241"/>
      <c r="G6" s="241"/>
      <c r="H6" s="241"/>
      <c r="I6" s="76"/>
      <c r="J6" s="37"/>
      <c r="M6" s="36" t="str" cm="1">
        <f t="array" aca="1" ref="M6" ca="1">CELL("address", F6)&amp;" to "&amp;CELL("address", H6)&amp;" —  from applicable LFC ID cost of capital determination (ComCom website)"</f>
        <v>$F$6 to $H$6 —  from applicable LFC ID cost of capital determination (ComCom website)</v>
      </c>
    </row>
    <row r="7" spans="1:20" ht="14.25" x14ac:dyDescent="0.45">
      <c r="A7" t="s">
        <v>802</v>
      </c>
      <c r="B7" s="162">
        <f>ROW()</f>
        <v>7</v>
      </c>
      <c r="C7" s="162"/>
      <c r="D7" t="s">
        <v>86</v>
      </c>
      <c r="E7" s="30" t="s">
        <v>83</v>
      </c>
      <c r="F7" s="241"/>
      <c r="G7" s="241"/>
      <c r="H7" s="242" t="e">
        <f>F33</f>
        <v>#DIV/0!</v>
      </c>
      <c r="I7" s="76" t="str" cm="1">
        <f t="array" aca="1" ref="I7" ca="1">"from row "&amp;CELL("row", F32)</f>
        <v>from row 32</v>
      </c>
      <c r="J7" s="34"/>
      <c r="M7" s="36" t="str" cm="1">
        <f t="array" aca="1" ref="M7" ca="1">CELL("address", F7)&amp;" &amp; "&amp;CELL("address", G7)&amp;" —  from last year's ID disclosure"</f>
        <v>$F$7 &amp; $G$7 —  from last year's ID disclosure</v>
      </c>
    </row>
    <row r="8" spans="1:20" ht="14.25" x14ac:dyDescent="0.45">
      <c r="A8" t="s">
        <v>802</v>
      </c>
      <c r="B8" s="162">
        <f>ROW()</f>
        <v>8</v>
      </c>
      <c r="C8" s="162"/>
      <c r="D8" t="s">
        <v>86</v>
      </c>
      <c r="E8" s="30" t="s">
        <v>84</v>
      </c>
      <c r="F8" s="241"/>
      <c r="G8" s="241"/>
      <c r="H8" s="242">
        <f>IF(F16=0,0,T29)</f>
        <v>0</v>
      </c>
      <c r="I8" s="76" t="str" cm="1">
        <f t="array" aca="1" ref="I8" ca="1">"from "&amp;CELL("address", T29)&amp;" mid yr IRR calcs"</f>
        <v>from $T$29 mid yr IRR calcs</v>
      </c>
      <c r="J8" s="37"/>
      <c r="M8" s="36" t="str" cm="1">
        <f t="array" aca="1" ref="M8" ca="1">CELL("address", F8)&amp;" &amp; "&amp;CELL("address", G8)&amp;" —  from last year's ID disclosure"</f>
        <v>$F$8 &amp; $G$8 —  from last year's ID disclosure</v>
      </c>
    </row>
    <row r="9" spans="1:20" ht="14.25" x14ac:dyDescent="0.45">
      <c r="A9" t="s">
        <v>802</v>
      </c>
      <c r="B9" s="162">
        <f>ROW()</f>
        <v>9</v>
      </c>
      <c r="C9" s="162"/>
      <c r="D9" t="s">
        <v>86</v>
      </c>
      <c r="E9" s="30" t="s">
        <v>1295</v>
      </c>
      <c r="F9" s="241"/>
      <c r="G9" s="241"/>
      <c r="H9" s="241"/>
      <c r="I9" s="76"/>
      <c r="J9" s="38"/>
    </row>
    <row r="10" spans="1:20" ht="14.25" x14ac:dyDescent="0.45">
      <c r="A10" t="s">
        <v>802</v>
      </c>
      <c r="B10" s="162">
        <f>ROW()</f>
        <v>10</v>
      </c>
      <c r="C10" s="162"/>
      <c r="D10" t="s">
        <v>86</v>
      </c>
      <c r="E10" s="30" t="s">
        <v>87</v>
      </c>
      <c r="F10" s="241"/>
      <c r="G10" s="241"/>
      <c r="H10" s="241"/>
      <c r="I10" s="76"/>
      <c r="J10" s="38"/>
      <c r="M10" s="36" t="str" cm="1">
        <f t="array" aca="1" ref="M10" ca="1">CELL("address", F9)&amp;" to "&amp;CELL("address", H9)&amp;" —  from applicable LFC ID cost of capital determination (ComCom website)"</f>
        <v>$F$9 to $H$9 —  from applicable LFC ID cost of capital determination (ComCom website)</v>
      </c>
    </row>
    <row r="11" spans="1:20" ht="14.25" x14ac:dyDescent="0.45">
      <c r="A11" t="s">
        <v>802</v>
      </c>
      <c r="B11" s="162">
        <f>ROW()</f>
        <v>11</v>
      </c>
      <c r="C11" s="162"/>
      <c r="D11" t="s">
        <v>86</v>
      </c>
      <c r="E11" s="30" t="s">
        <v>88</v>
      </c>
      <c r="F11" s="241"/>
      <c r="G11" s="241"/>
      <c r="H11" s="241"/>
      <c r="I11" s="76"/>
    </row>
    <row r="12" spans="1:20" ht="14.25" x14ac:dyDescent="0.45">
      <c r="H12" s="76"/>
      <c r="L12" s="39"/>
    </row>
    <row r="13" spans="1:20" ht="14.25" x14ac:dyDescent="0.45">
      <c r="H13" s="76"/>
      <c r="L13" s="36"/>
    </row>
    <row r="14" spans="1:20" ht="21" x14ac:dyDescent="0.65">
      <c r="A14" s="129" t="s">
        <v>803</v>
      </c>
      <c r="H14" s="76"/>
    </row>
    <row r="15" spans="1:20" ht="30" customHeight="1" x14ac:dyDescent="0.45">
      <c r="A15" s="119" t="s">
        <v>78</v>
      </c>
      <c r="B15" s="119" t="s">
        <v>79</v>
      </c>
      <c r="C15" s="119" t="s">
        <v>208</v>
      </c>
      <c r="D15" s="119" t="s">
        <v>1244</v>
      </c>
      <c r="E15" s="119" t="s">
        <v>1245</v>
      </c>
      <c r="F15" s="131" t="s">
        <v>89</v>
      </c>
      <c r="I15" s="76"/>
      <c r="L15" s="93" t="s">
        <v>90</v>
      </c>
      <c r="M15" s="40"/>
      <c r="N15" s="40"/>
      <c r="O15" s="40"/>
      <c r="P15" s="40"/>
      <c r="Q15" s="40"/>
      <c r="R15" s="114"/>
      <c r="S15" s="40"/>
      <c r="T15" s="94"/>
    </row>
    <row r="16" spans="1:20" ht="14.25" x14ac:dyDescent="0.45">
      <c r="A16" t="s">
        <v>803</v>
      </c>
      <c r="B16" s="162">
        <f>ROW()</f>
        <v>16</v>
      </c>
      <c r="C16" s="162"/>
      <c r="D16" s="30" t="s">
        <v>92</v>
      </c>
      <c r="F16" s="163">
        <f>INDEX(tb_4c_4cii_4.32_1[RAB|
($000)],1)</f>
        <v>0</v>
      </c>
      <c r="I16" s="76"/>
      <c r="L16" s="56"/>
      <c r="M16" s="97"/>
      <c r="N16" s="97"/>
      <c r="O16" s="97"/>
      <c r="P16" s="97"/>
      <c r="Q16" s="118"/>
      <c r="R16" s="118"/>
      <c r="S16" s="97"/>
      <c r="T16" s="51"/>
    </row>
    <row r="17" spans="1:20" ht="14.25" x14ac:dyDescent="0.45">
      <c r="A17" t="s">
        <v>803</v>
      </c>
      <c r="B17" s="162">
        <f>ROW()</f>
        <v>17</v>
      </c>
      <c r="C17" s="162"/>
      <c r="D17" s="30" t="s">
        <v>93</v>
      </c>
      <c r="F17" s="163">
        <f>'S2.Regulatory Profit'!F4</f>
        <v>0</v>
      </c>
      <c r="G17" s="102"/>
      <c r="H17" s="76" t="s">
        <v>94</v>
      </c>
      <c r="L17" s="57" t="s">
        <v>95</v>
      </c>
      <c r="M17" s="58" t="s">
        <v>96</v>
      </c>
      <c r="N17" s="58" t="s">
        <v>97</v>
      </c>
      <c r="O17" s="53" t="s">
        <v>98</v>
      </c>
      <c r="P17" s="115"/>
      <c r="Q17" s="227" t="s">
        <v>99</v>
      </c>
      <c r="R17" s="228"/>
      <c r="S17" s="113" t="s">
        <v>100</v>
      </c>
      <c r="T17" s="115"/>
    </row>
    <row r="18" spans="1:20" ht="14.25" x14ac:dyDescent="0.45">
      <c r="A18" t="s">
        <v>803</v>
      </c>
      <c r="B18" s="162">
        <f>ROW()</f>
        <v>18</v>
      </c>
      <c r="C18" s="162"/>
      <c r="D18" t="s">
        <v>101</v>
      </c>
      <c r="E18" t="s">
        <v>102</v>
      </c>
      <c r="F18" s="163">
        <f>'S2.Regulatory Profit'!F9+'S2.Regulatory Profit'!F10</f>
        <v>0</v>
      </c>
      <c r="G18" s="102"/>
      <c r="H18" s="76" t="s">
        <v>94</v>
      </c>
      <c r="L18" s="41"/>
      <c r="M18" s="52" t="s">
        <v>104</v>
      </c>
      <c r="N18" s="52" t="s">
        <v>105</v>
      </c>
      <c r="O18" s="54" t="s">
        <v>106</v>
      </c>
      <c r="P18" s="44" t="s">
        <v>107</v>
      </c>
      <c r="Q18" s="229" t="s">
        <v>108</v>
      </c>
      <c r="R18" s="230" t="e">
        <f>'S8b.Crown financing &amp; NDI'!E24</f>
        <v>#DIV/0!</v>
      </c>
      <c r="S18" s="52" t="s">
        <v>106</v>
      </c>
      <c r="T18" s="44" t="s">
        <v>107</v>
      </c>
    </row>
    <row r="19" spans="1:20" ht="14.25" x14ac:dyDescent="0.45">
      <c r="A19" t="s">
        <v>803</v>
      </c>
      <c r="B19" s="162">
        <f>ROW()</f>
        <v>19</v>
      </c>
      <c r="C19" s="162" t="s">
        <v>214</v>
      </c>
      <c r="D19" t="s">
        <v>101</v>
      </c>
      <c r="E19" t="s">
        <v>109</v>
      </c>
      <c r="F19" s="163">
        <f>'S4c.PQ RAB Value Rolled F.'!G22</f>
        <v>0</v>
      </c>
      <c r="G19" s="102"/>
      <c r="H19" s="76" t="s">
        <v>110</v>
      </c>
      <c r="L19" s="41"/>
      <c r="O19" s="41"/>
      <c r="P19" s="42"/>
      <c r="Q19" s="41"/>
      <c r="R19" s="42"/>
      <c r="T19" s="42"/>
    </row>
    <row r="20" spans="1:20" ht="14.25" x14ac:dyDescent="0.45">
      <c r="A20" t="s">
        <v>803</v>
      </c>
      <c r="B20" s="162">
        <f>ROW()</f>
        <v>20</v>
      </c>
      <c r="C20" s="162" t="s">
        <v>212</v>
      </c>
      <c r="D20" t="s">
        <v>101</v>
      </c>
      <c r="E20" t="s">
        <v>111</v>
      </c>
      <c r="F20" s="163">
        <f>'S4b.ID RAB Value Rolled Forward'!J8</f>
        <v>0</v>
      </c>
      <c r="G20" s="102"/>
      <c r="H20" s="76" t="s">
        <v>110</v>
      </c>
      <c r="L20" s="93" t="s">
        <v>112</v>
      </c>
      <c r="M20" s="40">
        <v>365</v>
      </c>
      <c r="N20" s="222">
        <f>disc_year_end-M20</f>
        <v>-365</v>
      </c>
      <c r="O20" s="225">
        <f>-F16</f>
        <v>0</v>
      </c>
      <c r="P20" s="226" t="e">
        <f>O20/(1+P$27)^((365-$M20)/365)</f>
        <v>#DIV/0!</v>
      </c>
      <c r="Q20" s="231">
        <f>O20</f>
        <v>0</v>
      </c>
      <c r="R20" s="226" t="e">
        <f>Q20/(1+R$27)^((365-$M20)/365)</f>
        <v>#DIV/0!</v>
      </c>
      <c r="S20" s="223">
        <f>Q20</f>
        <v>0</v>
      </c>
      <c r="T20" s="224" t="e">
        <f>S20/(1+T$27)^((365-$M20)/365)</f>
        <v>#DIV/0!</v>
      </c>
    </row>
    <row r="21" spans="1:20" ht="14.25" x14ac:dyDescent="0.45">
      <c r="A21" t="s">
        <v>803</v>
      </c>
      <c r="B21" s="162">
        <f>ROW()</f>
        <v>21</v>
      </c>
      <c r="C21" s="162" t="s">
        <v>214</v>
      </c>
      <c r="D21" t="s">
        <v>101</v>
      </c>
      <c r="E21" t="s">
        <v>113</v>
      </c>
      <c r="F21" s="163">
        <f>'S2.Regulatory Profit'!F16</f>
        <v>0</v>
      </c>
      <c r="G21" s="102"/>
      <c r="H21" s="76" t="s">
        <v>94</v>
      </c>
      <c r="L21" s="45" t="s">
        <v>101</v>
      </c>
      <c r="M21">
        <v>182</v>
      </c>
      <c r="N21" s="112">
        <f>disc_year_end-M21</f>
        <v>-182</v>
      </c>
      <c r="O21" s="210" cm="1">
        <f t="array" ref="O21">-F23+('S2.Regulatory Profit'!F47*corporate_tax_rate)</f>
        <v>0</v>
      </c>
      <c r="P21" s="211" t="e">
        <f>O21/(1+P$27)^((365-$M21)/365)</f>
        <v>#DIV/0!</v>
      </c>
      <c r="Q21" s="232">
        <f>O21</f>
        <v>0</v>
      </c>
      <c r="R21" s="211" t="e">
        <f>Q21/(1+R$27)^((365-$M21)/365)</f>
        <v>#DIV/0!</v>
      </c>
      <c r="S21" s="220" cm="1">
        <f t="array" ref="S21">Q21+('S2.Regulatory Profit'!F46*corporate_tax_rate)</f>
        <v>0</v>
      </c>
      <c r="T21" s="46" t="e">
        <f>S21/(1+T$27)^((365-$M21)/365)</f>
        <v>#DIV/0!</v>
      </c>
    </row>
    <row r="22" spans="1:20" ht="13.5" customHeight="1" x14ac:dyDescent="0.45">
      <c r="A22" t="s">
        <v>803</v>
      </c>
      <c r="B22" s="162">
        <f>ROW()</f>
        <v>22</v>
      </c>
      <c r="C22" s="162" t="s">
        <v>212</v>
      </c>
      <c r="D22" t="s">
        <v>101</v>
      </c>
      <c r="E22" t="s">
        <v>114</v>
      </c>
      <c r="F22" s="163">
        <f>'S2.Regulatory Profit'!F5+'S2.Regulatory Profit'!F6</f>
        <v>0</v>
      </c>
      <c r="G22" s="102"/>
      <c r="H22" s="76" t="s">
        <v>94</v>
      </c>
      <c r="L22" s="45" t="s">
        <v>93</v>
      </c>
      <c r="M22">
        <v>148</v>
      </c>
      <c r="N22" s="112">
        <f>disc_year_end-M22</f>
        <v>-148</v>
      </c>
      <c r="O22" s="213" cm="1">
        <f t="array" ref="O22">F17-asset_stranding_allowance-'S2.Regulatory Profit'!F47</f>
        <v>0</v>
      </c>
      <c r="P22" s="211" t="e">
        <f>O22/(1+P$27)^((365-$M22)/365)</f>
        <v>#DIV/0!</v>
      </c>
      <c r="Q22" s="232">
        <f>O22</f>
        <v>0</v>
      </c>
      <c r="R22" s="211" t="e">
        <f>Q22/(1+R$27)^((365-$M22)/365)</f>
        <v>#DIV/0!</v>
      </c>
      <c r="S22" s="221">
        <f>Q22-'S2.Regulatory Profit'!F46</f>
        <v>0</v>
      </c>
      <c r="T22" s="46" t="e">
        <f>S22/(1+T$27)^((365-$M22)/365)</f>
        <v>#DIV/0!</v>
      </c>
    </row>
    <row r="23" spans="1:20" ht="14.25" x14ac:dyDescent="0.45">
      <c r="A23" t="s">
        <v>803</v>
      </c>
      <c r="B23" s="162">
        <f>ROW()</f>
        <v>23</v>
      </c>
      <c r="C23" s="162"/>
      <c r="D23" s="30" t="s">
        <v>101</v>
      </c>
      <c r="F23" s="163">
        <f>SUM(F18,F19,-F20,F21,-F22)</f>
        <v>0</v>
      </c>
      <c r="G23" s="102"/>
      <c r="H23" s="76"/>
      <c r="L23" s="45" t="s">
        <v>115</v>
      </c>
      <c r="M23">
        <v>0</v>
      </c>
      <c r="N23" s="112">
        <f>disc_year_end-M23</f>
        <v>0</v>
      </c>
      <c r="O23" s="210" t="e">
        <f>-F24</f>
        <v>#DIV/0!</v>
      </c>
      <c r="P23" s="211" t="e">
        <f>O23/(1+P$27)^((365-$M23)/365)</f>
        <v>#DIV/0!</v>
      </c>
      <c r="Q23" s="233" t="e">
        <f>O23+R18</f>
        <v>#DIV/0!</v>
      </c>
      <c r="R23" s="211" t="e">
        <f>Q23/(1+R$27)^((365-$M23)/365)</f>
        <v>#DIV/0!</v>
      </c>
      <c r="S23" s="212" t="e">
        <f>Q23</f>
        <v>#DIV/0!</v>
      </c>
      <c r="T23" s="46" t="e">
        <f>S23/(1+T$27)^((365-$M23)/365)</f>
        <v>#DIV/0!</v>
      </c>
    </row>
    <row r="24" spans="1:20" ht="14.25" x14ac:dyDescent="0.45">
      <c r="A24" t="s">
        <v>803</v>
      </c>
      <c r="B24" s="162">
        <f>ROW()</f>
        <v>24</v>
      </c>
      <c r="C24" s="162"/>
      <c r="D24" s="30" t="s">
        <v>116</v>
      </c>
      <c r="F24" s="163" t="e">
        <f>'S2.Regulatory Profit'!F15</f>
        <v>#DIV/0!</v>
      </c>
      <c r="G24" s="102"/>
      <c r="H24" s="76" t="s">
        <v>94</v>
      </c>
      <c r="L24" s="45" t="s">
        <v>117</v>
      </c>
      <c r="M24">
        <v>0</v>
      </c>
      <c r="N24" s="112">
        <f>disc_year_end-M24</f>
        <v>0</v>
      </c>
      <c r="O24" s="210">
        <f>F27</f>
        <v>0</v>
      </c>
      <c r="P24" s="211" t="e">
        <f>O24/(1+P$27)^((365-$M24)/365)</f>
        <v>#DIV/0!</v>
      </c>
      <c r="Q24" s="232">
        <f>O24</f>
        <v>0</v>
      </c>
      <c r="R24" s="211" t="e">
        <f>Q24/(1+R$27)^((365-$M24)/365)</f>
        <v>#DIV/0!</v>
      </c>
      <c r="S24" s="212">
        <f>Q24</f>
        <v>0</v>
      </c>
      <c r="T24" s="46" t="e">
        <f>S24/(1+T$27)^((365-$M24)/365)</f>
        <v>#DIV/0!</v>
      </c>
    </row>
    <row r="25" spans="1:20" ht="14.25" x14ac:dyDescent="0.45">
      <c r="A25" t="s">
        <v>803</v>
      </c>
      <c r="B25" s="162">
        <f>ROW()</f>
        <v>25</v>
      </c>
      <c r="C25" s="162"/>
      <c r="D25" t="s">
        <v>118</v>
      </c>
      <c r="E25" t="s">
        <v>119</v>
      </c>
      <c r="F25" s="163">
        <f>'S4c.PQ RAB Value Rolled F.'!J11</f>
        <v>0</v>
      </c>
      <c r="G25" s="102"/>
      <c r="H25" s="76" t="s">
        <v>110</v>
      </c>
      <c r="L25" s="41"/>
      <c r="O25" s="41"/>
      <c r="P25" s="42"/>
      <c r="Q25" s="41"/>
      <c r="R25" s="42"/>
      <c r="T25" s="42"/>
    </row>
    <row r="26" spans="1:20" ht="14.25" x14ac:dyDescent="0.45">
      <c r="A26" t="s">
        <v>803</v>
      </c>
      <c r="B26" s="162">
        <f>ROW()</f>
        <v>26</v>
      </c>
      <c r="C26" s="162" t="s">
        <v>212</v>
      </c>
      <c r="D26" t="s">
        <v>118</v>
      </c>
      <c r="E26" t="s">
        <v>120</v>
      </c>
      <c r="F26" s="163">
        <f>'S4c.PQ RAB Value Rolled F.'!J10</f>
        <v>0</v>
      </c>
      <c r="G26" s="102"/>
      <c r="H26" s="76" t="s">
        <v>110</v>
      </c>
      <c r="L26" s="41"/>
      <c r="O26" s="41" t="s">
        <v>121</v>
      </c>
      <c r="P26" s="48" t="e">
        <f>0.1*SIGN(SUM(O20:O24))</f>
        <v>#DIV/0!</v>
      </c>
      <c r="Q26" s="234"/>
      <c r="R26" s="48" t="e">
        <f>0.1*SIGN(SUM(Q20:Q24))</f>
        <v>#DIV/0!</v>
      </c>
      <c r="T26" s="48" t="e">
        <f>0.1*SIGN(SUM(S20:S24))</f>
        <v>#DIV/0!</v>
      </c>
    </row>
    <row r="27" spans="1:20" ht="14.25" x14ac:dyDescent="0.45">
      <c r="A27" t="s">
        <v>803</v>
      </c>
      <c r="B27" s="162">
        <f>ROW()</f>
        <v>27</v>
      </c>
      <c r="C27" s="162"/>
      <c r="D27" s="30" t="s">
        <v>118</v>
      </c>
      <c r="F27" s="163">
        <f>F25-F26</f>
        <v>0</v>
      </c>
      <c r="G27" s="102"/>
      <c r="H27" s="76"/>
      <c r="L27" s="41"/>
      <c r="O27" s="41" t="s">
        <v>122</v>
      </c>
      <c r="P27" s="49" t="e">
        <f>XIRR(O20:O24,$N20:$N24,P26)</f>
        <v>#DIV/0!</v>
      </c>
      <c r="Q27" s="235"/>
      <c r="R27" s="49" t="e">
        <f>XIRR(Q20:Q24,$N20:$N24,R26)</f>
        <v>#DIV/0!</v>
      </c>
      <c r="T27" s="49" t="e">
        <f>XIRR(S20:S24,$N20:$N24,T26)</f>
        <v>#DIV/0!</v>
      </c>
    </row>
    <row r="28" spans="1:20" ht="14.25" x14ac:dyDescent="0.45">
      <c r="H28" s="76"/>
      <c r="L28" s="41"/>
      <c r="N28" t="s">
        <v>123</v>
      </c>
      <c r="O28" s="41"/>
      <c r="P28" s="50" t="e">
        <f>SUM(P20:P24)</f>
        <v>#DIV/0!</v>
      </c>
      <c r="Q28" s="60"/>
      <c r="R28" s="50" t="e">
        <f>SUM(R20:R24)</f>
        <v>#DIV/0!</v>
      </c>
      <c r="T28" s="50" t="e">
        <f>SUM(T20:T24)</f>
        <v>#DIV/0!</v>
      </c>
    </row>
    <row r="29" spans="1:20" ht="14.25" x14ac:dyDescent="0.45">
      <c r="H29" s="76"/>
      <c r="L29" s="56"/>
      <c r="M29" s="97"/>
      <c r="N29" s="97" t="s">
        <v>124</v>
      </c>
      <c r="O29" s="56"/>
      <c r="P29" s="117" t="e">
        <f>IF(ABS(P28)&lt;0.015,P27,"ERROR")</f>
        <v>#DIV/0!</v>
      </c>
      <c r="Q29" s="116"/>
      <c r="R29" s="117" t="e">
        <f>IF(ABS(R28)&lt;0.015,R27,"ERROR")</f>
        <v>#DIV/0!</v>
      </c>
      <c r="S29" s="97"/>
      <c r="T29" s="117" t="e">
        <f>IF(ABS(T28)&lt;0.015,T27,"ERROR")</f>
        <v>#DIV/0!</v>
      </c>
    </row>
    <row r="30" spans="1:20" ht="21" x14ac:dyDescent="0.65">
      <c r="A30" s="129" t="s">
        <v>803</v>
      </c>
      <c r="H30" s="76"/>
    </row>
    <row r="31" spans="1:20" ht="30" customHeight="1" x14ac:dyDescent="0.45">
      <c r="A31" s="119" t="s">
        <v>78</v>
      </c>
      <c r="B31" s="119" t="s">
        <v>79</v>
      </c>
      <c r="C31" s="119" t="s">
        <v>208</v>
      </c>
      <c r="D31" s="119" t="s">
        <v>1244</v>
      </c>
      <c r="E31" s="119" t="s">
        <v>1245</v>
      </c>
      <c r="F31" s="119" t="s">
        <v>125</v>
      </c>
      <c r="I31" s="76"/>
      <c r="M31" s="52"/>
      <c r="N31" s="52"/>
      <c r="O31" s="89"/>
      <c r="P31" s="90"/>
      <c r="Q31" s="91"/>
    </row>
    <row r="32" spans="1:20" ht="14.25" x14ac:dyDescent="0.45">
      <c r="A32" t="s">
        <v>803</v>
      </c>
      <c r="B32" s="162">
        <f>ROW()</f>
        <v>32</v>
      </c>
      <c r="C32" s="162"/>
      <c r="D32" s="30" t="s">
        <v>134</v>
      </c>
      <c r="F32" s="159" t="e">
        <f>P29</f>
        <v>#DIV/0!</v>
      </c>
      <c r="H32" s="109"/>
      <c r="I32" s="76"/>
    </row>
    <row r="33" spans="1:9" ht="14.25" x14ac:dyDescent="0.45">
      <c r="A33" t="s">
        <v>803</v>
      </c>
      <c r="B33" s="162">
        <f>ROW()</f>
        <v>33</v>
      </c>
      <c r="C33" s="162"/>
      <c r="D33" s="30" t="s">
        <v>86</v>
      </c>
      <c r="F33" s="159" t="e">
        <f>R29</f>
        <v>#DIV/0!</v>
      </c>
      <c r="H33" s="76" t="str" cm="1">
        <f t="array" aca="1" ref="H33" ca="1">"from row "&amp;CELL("address", R29)&amp;" mid yr IRR calcs."</f>
        <v>from row $R$29 mid yr IRR calcs.</v>
      </c>
    </row>
    <row r="34" spans="1:9" ht="14.25" x14ac:dyDescent="0.45">
      <c r="A34" t="s">
        <v>803</v>
      </c>
      <c r="B34" s="162">
        <f>ROW()</f>
        <v>34</v>
      </c>
      <c r="C34" s="162"/>
      <c r="D34" t="s">
        <v>82</v>
      </c>
      <c r="E34" t="s">
        <v>127</v>
      </c>
      <c r="F34" s="169">
        <f>Leverage</f>
        <v>0.28999999999999998</v>
      </c>
      <c r="H34" s="109"/>
      <c r="I34" s="76"/>
    </row>
    <row r="35" spans="1:9" ht="14.25" x14ac:dyDescent="0.45">
      <c r="A35" t="s">
        <v>803</v>
      </c>
      <c r="B35" s="162">
        <f>ROW()</f>
        <v>35</v>
      </c>
      <c r="C35" s="162"/>
      <c r="D35" s="30" t="s">
        <v>82</v>
      </c>
      <c r="E35" t="s">
        <v>128</v>
      </c>
      <c r="F35" s="168"/>
      <c r="H35" s="109"/>
      <c r="I35" s="76" t="s">
        <v>129</v>
      </c>
    </row>
    <row r="36" spans="1:9" ht="14.25" x14ac:dyDescent="0.45">
      <c r="A36" t="s">
        <v>803</v>
      </c>
      <c r="B36" s="162">
        <f>ROW()</f>
        <v>36</v>
      </c>
      <c r="C36" s="162"/>
      <c r="D36" t="s">
        <v>82</v>
      </c>
      <c r="E36" t="s">
        <v>130</v>
      </c>
      <c r="F36" s="169" cm="1">
        <f t="array" ref="F36">corporate_tax_rate</f>
        <v>0</v>
      </c>
      <c r="H36" s="109"/>
      <c r="I36" s="76" t="s">
        <v>131</v>
      </c>
    </row>
    <row r="37" spans="1:9" ht="14.25" x14ac:dyDescent="0.45">
      <c r="A37" t="s">
        <v>803</v>
      </c>
      <c r="B37" s="162">
        <f>ROW()</f>
        <v>37</v>
      </c>
      <c r="C37" s="162"/>
      <c r="D37" t="s">
        <v>82</v>
      </c>
      <c r="E37" t="s">
        <v>132</v>
      </c>
      <c r="F37" s="169" t="e">
        <f>('S8b.Crown financing &amp; NDI'!E34)/('S8b.Crown financing &amp; NDI'!E32)</f>
        <v>#DIV/0!</v>
      </c>
      <c r="H37" s="109"/>
      <c r="I37" s="76" t="s">
        <v>133</v>
      </c>
    </row>
    <row r="38" spans="1:9" ht="14.25" x14ac:dyDescent="0.45">
      <c r="A38" t="s">
        <v>803</v>
      </c>
      <c r="B38" s="162">
        <f>ROW()</f>
        <v>38</v>
      </c>
      <c r="C38" s="162"/>
      <c r="D38" s="30" t="s">
        <v>82</v>
      </c>
      <c r="F38" s="159" t="e">
        <f>F33-($F$34*$F$35*$F$36*$F$37)</f>
        <v>#DIV/0!</v>
      </c>
      <c r="H38" s="109"/>
      <c r="I38" s="76" t="str" cm="1">
        <f t="array" aca="1" ref="I38" ca="1">"to row "&amp;CELL("row", H4)</f>
        <v>to row 4</v>
      </c>
    </row>
    <row r="39" spans="1:9" ht="14.65" customHeight="1" x14ac:dyDescent="0.45"/>
  </sheetData>
  <phoneticPr fontId="27" type="noConversion"/>
  <pageMargins left="0.7" right="0.7" top="0.75" bottom="0.75" header="0.3" footer="0.3"/>
  <pageSetup paperSize="9" scale="57" fitToHeight="0" orientation="landscape"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25D6-93F5-412B-84ED-8B932F157FF0}">
  <sheetPr codeName="Sheet6">
    <pageSetUpPr fitToPage="1"/>
  </sheetPr>
  <dimension ref="A1:Q36"/>
  <sheetViews>
    <sheetView zoomScale="85" zoomScaleNormal="85" workbookViewId="0"/>
  </sheetViews>
  <sheetFormatPr defaultRowHeight="14.45" customHeight="1" x14ac:dyDescent="0.45"/>
  <cols>
    <col min="1" max="1" width="46.59765625" bestFit="1" customWidth="1"/>
    <col min="2" max="2" width="9" bestFit="1" customWidth="1"/>
    <col min="3" max="3" width="9.59765625" customWidth="1"/>
    <col min="4" max="4" width="34.9296875" customWidth="1"/>
    <col min="5" max="5" width="34.59765625" bestFit="1" customWidth="1"/>
    <col min="6" max="6" width="12.265625" customWidth="1"/>
    <col min="7" max="7" width="11.86328125" bestFit="1" customWidth="1"/>
    <col min="8" max="8" width="11.73046875" customWidth="1"/>
    <col min="10" max="10" width="19.1328125" customWidth="1"/>
    <col min="12" max="12" width="27" customWidth="1"/>
    <col min="13" max="13" width="15.59765625" customWidth="1"/>
    <col min="14" max="14" width="22" customWidth="1"/>
    <col min="15" max="15" width="23.1328125" customWidth="1"/>
    <col min="16" max="16" width="24.86328125" customWidth="1"/>
    <col min="17" max="20" width="9" customWidth="1"/>
  </cols>
  <sheetData>
    <row r="1" spans="1:16" ht="23.25" x14ac:dyDescent="0.45">
      <c r="A1" s="146" t="s">
        <v>1153</v>
      </c>
    </row>
    <row r="2" spans="1:16" ht="21" x14ac:dyDescent="0.65">
      <c r="A2" s="129" t="s">
        <v>804</v>
      </c>
    </row>
    <row r="3" spans="1:16" ht="56.65" customHeight="1" x14ac:dyDescent="0.45">
      <c r="A3" s="119" t="s">
        <v>78</v>
      </c>
      <c r="B3" s="119" t="s">
        <v>79</v>
      </c>
      <c r="C3" s="119" t="s">
        <v>208</v>
      </c>
      <c r="D3" s="119" t="s">
        <v>1244</v>
      </c>
      <c r="E3" s="119" t="s">
        <v>1245</v>
      </c>
      <c r="F3" s="119" t="s">
        <v>959</v>
      </c>
      <c r="G3" s="119" t="s">
        <v>960</v>
      </c>
      <c r="H3" s="119" t="s">
        <v>961</v>
      </c>
      <c r="I3" s="76"/>
      <c r="M3" s="32" t="s">
        <v>80</v>
      </c>
      <c r="N3" s="33"/>
      <c r="O3" s="33"/>
      <c r="P3" s="33"/>
    </row>
    <row r="4" spans="1:16" ht="14.25" x14ac:dyDescent="0.45">
      <c r="A4" t="s">
        <v>804</v>
      </c>
      <c r="B4" s="162">
        <f>ROW()</f>
        <v>4</v>
      </c>
      <c r="C4" s="162"/>
      <c r="D4" t="s">
        <v>82</v>
      </c>
      <c r="E4" s="30" t="s">
        <v>83</v>
      </c>
      <c r="F4" s="241"/>
      <c r="G4" s="241"/>
      <c r="H4" s="242" t="e">
        <f>F36</f>
        <v>#DIV/0!</v>
      </c>
      <c r="I4" s="76" t="str" cm="1">
        <f t="array" aca="1" ref="I4" ca="1">"from row "&amp;CELL("row", F36)</f>
        <v>from row 36</v>
      </c>
      <c r="J4" s="35"/>
      <c r="L4" s="35"/>
      <c r="M4" s="36" t="str" cm="1">
        <f t="array" aca="1" ref="M4" ca="1">CELL("address", F4)&amp;" &amp; "&amp;CELL("address", G4)&amp;" —  from last year's ID disclosure"</f>
        <v>$F$4 &amp; $G$4 —  from last year's ID disclosure</v>
      </c>
    </row>
    <row r="5" spans="1:16" ht="14.25" x14ac:dyDescent="0.45">
      <c r="A5" t="s">
        <v>804</v>
      </c>
      <c r="B5" s="162">
        <f>ROW()</f>
        <v>5</v>
      </c>
      <c r="C5" s="162"/>
      <c r="D5" t="s">
        <v>82</v>
      </c>
      <c r="E5" s="30" t="s">
        <v>85</v>
      </c>
      <c r="F5" s="241"/>
      <c r="G5" s="241"/>
      <c r="H5" s="241"/>
      <c r="I5" s="76"/>
      <c r="M5" s="36" t="str" cm="1">
        <f t="array" aca="1" ref="M5" ca="1">CELL("address", F5)&amp;" to "&amp;CELL("address", H5)&amp;" —  from applicable LFC ID cost of capital determination (ComCom website)"</f>
        <v>$F$5 to $H$5 —  from applicable LFC ID cost of capital determination (ComCom website)</v>
      </c>
    </row>
    <row r="6" spans="1:16" ht="14.25" x14ac:dyDescent="0.45">
      <c r="A6" t="s">
        <v>804</v>
      </c>
      <c r="B6" s="162">
        <f>ROW()</f>
        <v>6</v>
      </c>
      <c r="C6" s="162"/>
      <c r="D6" t="s">
        <v>86</v>
      </c>
      <c r="E6" s="30" t="s">
        <v>83</v>
      </c>
      <c r="F6" s="241"/>
      <c r="G6" s="241"/>
      <c r="H6" s="242" t="e">
        <f>F32</f>
        <v>#DIV/0!</v>
      </c>
      <c r="I6" s="76" t="str" cm="1">
        <f t="array" aca="1" ref="I6" ca="1">"from row "&amp;CELL("row", F32)</f>
        <v>from row 32</v>
      </c>
      <c r="M6" s="36" t="str" cm="1">
        <f t="array" aca="1" ref="M6" ca="1">CELL("address", F6)&amp;" &amp; "&amp;CELL("address", G6)&amp;" —  from last year's ID disclosure"</f>
        <v>$F$6 &amp; $G$6 —  from last year's ID disclosure</v>
      </c>
    </row>
    <row r="7" spans="1:16" ht="14.25" x14ac:dyDescent="0.45">
      <c r="A7" t="s">
        <v>804</v>
      </c>
      <c r="B7" s="162">
        <f>ROW()</f>
        <v>7</v>
      </c>
      <c r="C7" s="162"/>
      <c r="D7" t="s">
        <v>86</v>
      </c>
      <c r="E7" s="30" t="s">
        <v>87</v>
      </c>
      <c r="F7" s="241"/>
      <c r="G7" s="241"/>
      <c r="H7" s="241"/>
      <c r="I7" s="76"/>
      <c r="M7" s="36" t="str" cm="1">
        <f t="array" aca="1" ref="M7" ca="1">CELL("address", F7)&amp;" to "&amp;CELL("address", H7)&amp;" —  from applicable LFC ID cost of capital determination (ComCom website)"</f>
        <v>$F$7 to $H$7 —  from applicable LFC ID cost of capital determination (ComCom website)</v>
      </c>
    </row>
    <row r="8" spans="1:16" ht="14.25" x14ac:dyDescent="0.45">
      <c r="A8" t="s">
        <v>804</v>
      </c>
      <c r="B8" s="162">
        <f>ROW()</f>
        <v>8</v>
      </c>
      <c r="C8" s="162"/>
      <c r="D8" t="s">
        <v>86</v>
      </c>
      <c r="E8" s="30" t="s">
        <v>88</v>
      </c>
      <c r="F8" s="241"/>
      <c r="G8" s="241"/>
      <c r="H8" s="241"/>
      <c r="I8" s="76"/>
    </row>
    <row r="9" spans="1:16" ht="14.25" x14ac:dyDescent="0.45">
      <c r="H9" s="76"/>
      <c r="L9" s="39"/>
    </row>
    <row r="10" spans="1:16" ht="14.65" customHeight="1" x14ac:dyDescent="0.45">
      <c r="H10" s="76"/>
      <c r="L10" s="39"/>
    </row>
    <row r="11" spans="1:16" ht="14.25" x14ac:dyDescent="0.45">
      <c r="H11" s="76"/>
      <c r="L11" s="39"/>
    </row>
    <row r="12" spans="1:16" ht="14.25" x14ac:dyDescent="0.45">
      <c r="H12" s="76"/>
      <c r="L12" s="36"/>
    </row>
    <row r="13" spans="1:16" ht="14.25" x14ac:dyDescent="0.45">
      <c r="H13" s="76"/>
      <c r="L13" s="36"/>
    </row>
    <row r="14" spans="1:16" ht="21" x14ac:dyDescent="0.65">
      <c r="A14" s="129" t="s">
        <v>805</v>
      </c>
      <c r="H14" s="76"/>
      <c r="L14" s="36"/>
    </row>
    <row r="15" spans="1:16" ht="30" customHeight="1" x14ac:dyDescent="0.45">
      <c r="A15" s="119" t="s">
        <v>78</v>
      </c>
      <c r="B15" s="119" t="s">
        <v>79</v>
      </c>
      <c r="C15" s="119" t="s">
        <v>208</v>
      </c>
      <c r="D15" s="119" t="s">
        <v>1244</v>
      </c>
      <c r="E15" s="119" t="s">
        <v>1245</v>
      </c>
      <c r="F15" s="131" t="s">
        <v>89</v>
      </c>
      <c r="I15" s="76"/>
      <c r="L15" s="93" t="s">
        <v>90</v>
      </c>
      <c r="M15" s="40"/>
      <c r="N15" s="40"/>
      <c r="O15" s="40"/>
      <c r="P15" s="94"/>
    </row>
    <row r="16" spans="1:16" ht="14.25" x14ac:dyDescent="0.45">
      <c r="A16" t="s">
        <v>805</v>
      </c>
      <c r="B16" s="162">
        <f>ROW()</f>
        <v>16</v>
      </c>
      <c r="C16" s="162"/>
      <c r="D16" s="30" t="s">
        <v>92</v>
      </c>
      <c r="F16" s="163">
        <f>INDEX(tb_4d_4dii_4.42_1[RAB|
($000)],1)</f>
        <v>0</v>
      </c>
      <c r="I16" s="76"/>
      <c r="L16" s="56"/>
      <c r="M16" s="97"/>
      <c r="N16" s="97"/>
      <c r="O16" s="97"/>
      <c r="P16" s="51"/>
    </row>
    <row r="17" spans="1:17" ht="14.25" x14ac:dyDescent="0.45">
      <c r="A17" t="s">
        <v>805</v>
      </c>
      <c r="B17" s="162">
        <f>ROW()</f>
        <v>17</v>
      </c>
      <c r="C17" s="162"/>
      <c r="D17" s="30" t="s">
        <v>93</v>
      </c>
      <c r="F17" s="163">
        <f>'S2.Regulatory Profit'!G4</f>
        <v>0</v>
      </c>
      <c r="H17" s="76" t="s">
        <v>94</v>
      </c>
      <c r="L17" s="57" t="s">
        <v>95</v>
      </c>
      <c r="M17" s="58" t="s">
        <v>96</v>
      </c>
      <c r="N17" s="98" t="s">
        <v>97</v>
      </c>
      <c r="O17" s="113" t="s">
        <v>439</v>
      </c>
      <c r="P17" s="115"/>
    </row>
    <row r="18" spans="1:17" ht="14.25" x14ac:dyDescent="0.45">
      <c r="A18" t="s">
        <v>805</v>
      </c>
      <c r="B18" s="162">
        <f>ROW()</f>
        <v>18</v>
      </c>
      <c r="C18" s="162"/>
      <c r="D18" t="s">
        <v>101</v>
      </c>
      <c r="E18" t="s">
        <v>102</v>
      </c>
      <c r="F18" s="163">
        <f>'S2.Regulatory Profit'!G9+'S2.Regulatory Profit'!G10</f>
        <v>0</v>
      </c>
      <c r="G18" s="43"/>
      <c r="H18" s="76" t="s">
        <v>94</v>
      </c>
      <c r="L18" s="41"/>
      <c r="M18" s="52" t="s">
        <v>104</v>
      </c>
      <c r="N18" s="44" t="s">
        <v>105</v>
      </c>
      <c r="O18" s="52" t="s">
        <v>106</v>
      </c>
      <c r="P18" s="44" t="s">
        <v>107</v>
      </c>
    </row>
    <row r="19" spans="1:17" ht="14.25" x14ac:dyDescent="0.45">
      <c r="A19" t="s">
        <v>805</v>
      </c>
      <c r="B19" s="162">
        <f>ROW()</f>
        <v>19</v>
      </c>
      <c r="C19" s="162" t="s">
        <v>214</v>
      </c>
      <c r="D19" t="s">
        <v>101</v>
      </c>
      <c r="E19" t="s">
        <v>109</v>
      </c>
      <c r="F19" s="163">
        <f>'S4d.ID-only RAB Value Rolled F'!G22</f>
        <v>0</v>
      </c>
      <c r="G19" s="43"/>
      <c r="H19" s="76" t="s">
        <v>442</v>
      </c>
      <c r="L19" s="56"/>
      <c r="M19" s="97"/>
      <c r="N19" s="51"/>
      <c r="O19" s="97"/>
      <c r="P19" s="51"/>
    </row>
    <row r="20" spans="1:17" ht="14.25" x14ac:dyDescent="0.45">
      <c r="A20" t="s">
        <v>805</v>
      </c>
      <c r="B20" s="162">
        <f>ROW()</f>
        <v>20</v>
      </c>
      <c r="C20" s="162" t="s">
        <v>212</v>
      </c>
      <c r="D20" t="s">
        <v>101</v>
      </c>
      <c r="E20" t="s">
        <v>111</v>
      </c>
      <c r="F20" s="163">
        <f>'S4d.ID-only RAB Value Rolled F'!G26</f>
        <v>0</v>
      </c>
      <c r="G20" s="43"/>
      <c r="H20" s="76" t="s">
        <v>442</v>
      </c>
      <c r="L20" s="45" t="s">
        <v>112</v>
      </c>
      <c r="M20">
        <v>365</v>
      </c>
      <c r="N20" s="59">
        <f>disc_year_end-M20</f>
        <v>-365</v>
      </c>
      <c r="O20" s="95">
        <f>-F16</f>
        <v>0</v>
      </c>
      <c r="P20" s="96" t="e">
        <f>O20/(1+P$27)^((365-$M20)/365)</f>
        <v>#DIV/0!</v>
      </c>
    </row>
    <row r="21" spans="1:17" ht="14.25" x14ac:dyDescent="0.45">
      <c r="A21" t="s">
        <v>805</v>
      </c>
      <c r="B21" s="162">
        <f>ROW()</f>
        <v>21</v>
      </c>
      <c r="C21" s="162" t="s">
        <v>214</v>
      </c>
      <c r="D21" t="s">
        <v>101</v>
      </c>
      <c r="E21" t="s">
        <v>113</v>
      </c>
      <c r="F21" s="163">
        <f>'S2.Regulatory Profit'!G16</f>
        <v>0</v>
      </c>
      <c r="G21" s="43"/>
      <c r="H21" s="76" t="s">
        <v>94</v>
      </c>
      <c r="L21" s="45" t="s">
        <v>101</v>
      </c>
      <c r="M21">
        <v>182</v>
      </c>
      <c r="N21" s="59">
        <f>disc_year_end-M21</f>
        <v>-182</v>
      </c>
      <c r="O21" s="95">
        <f>-F23</f>
        <v>0</v>
      </c>
      <c r="P21" s="96" t="e">
        <f>O21/(1+P$27)^((365-$M21)/365)</f>
        <v>#DIV/0!</v>
      </c>
    </row>
    <row r="22" spans="1:17" ht="14.25" x14ac:dyDescent="0.45">
      <c r="A22" t="s">
        <v>805</v>
      </c>
      <c r="B22" s="162">
        <f>ROW()</f>
        <v>22</v>
      </c>
      <c r="C22" s="162" t="s">
        <v>212</v>
      </c>
      <c r="D22" t="s">
        <v>101</v>
      </c>
      <c r="E22" t="s">
        <v>114</v>
      </c>
      <c r="F22" s="163">
        <f>'S2.Regulatory Profit'!G5+'S2.Regulatory Profit'!G6</f>
        <v>0</v>
      </c>
      <c r="G22" s="43"/>
      <c r="H22" s="76" t="s">
        <v>94</v>
      </c>
      <c r="L22" s="45" t="s">
        <v>93</v>
      </c>
      <c r="M22">
        <v>148</v>
      </c>
      <c r="N22" s="59">
        <f>disc_year_end-M22</f>
        <v>-148</v>
      </c>
      <c r="O22" s="214" cm="1">
        <f t="array" ref="O22">F17+tb_2_2iv_2.04_1[($000)]</f>
        <v>0</v>
      </c>
      <c r="P22" s="96" t="e">
        <f>O22/(1+P$27)^((365-$M22)/365)</f>
        <v>#DIV/0!</v>
      </c>
    </row>
    <row r="23" spans="1:17" ht="14.25" x14ac:dyDescent="0.45">
      <c r="A23" t="s">
        <v>805</v>
      </c>
      <c r="B23" s="162">
        <f>ROW()</f>
        <v>23</v>
      </c>
      <c r="C23" s="162"/>
      <c r="D23" s="30" t="s">
        <v>101</v>
      </c>
      <c r="F23" s="163">
        <f>SUM(F18,F19,-F20,F21,-F22)</f>
        <v>0</v>
      </c>
      <c r="G23" s="43"/>
      <c r="H23" s="76"/>
      <c r="L23" s="45" t="s">
        <v>115</v>
      </c>
      <c r="M23">
        <v>0</v>
      </c>
      <c r="N23" s="59">
        <f>disc_year_end-M23</f>
        <v>0</v>
      </c>
      <c r="O23" s="95" t="e">
        <f>-F24</f>
        <v>#DIV/0!</v>
      </c>
      <c r="P23" s="96" t="e">
        <f>O23/(1+P$27)^((365-$M23)/365)</f>
        <v>#DIV/0!</v>
      </c>
    </row>
    <row r="24" spans="1:17" ht="14.25" x14ac:dyDescent="0.45">
      <c r="A24" t="s">
        <v>805</v>
      </c>
      <c r="B24" s="162">
        <f>ROW()</f>
        <v>24</v>
      </c>
      <c r="C24" s="162"/>
      <c r="D24" s="30" t="s">
        <v>116</v>
      </c>
      <c r="F24" s="163" t="e">
        <f>'S2.Regulatory Profit'!G15</f>
        <v>#DIV/0!</v>
      </c>
      <c r="G24" s="43"/>
      <c r="H24" s="76" t="s">
        <v>94</v>
      </c>
      <c r="L24" s="45" t="s">
        <v>440</v>
      </c>
      <c r="M24">
        <v>0</v>
      </c>
      <c r="N24" s="59">
        <f>disc_year_end-M24</f>
        <v>0</v>
      </c>
      <c r="O24" s="95">
        <f>F27</f>
        <v>0</v>
      </c>
      <c r="P24" s="96" t="e">
        <f>O24/(1+P$27)^((365-$M24)/365)</f>
        <v>#DIV/0!</v>
      </c>
    </row>
    <row r="25" spans="1:17" ht="14.25" x14ac:dyDescent="0.45">
      <c r="A25" t="s">
        <v>805</v>
      </c>
      <c r="B25" s="162">
        <f>ROW()</f>
        <v>25</v>
      </c>
      <c r="C25" s="162"/>
      <c r="D25" t="s">
        <v>118</v>
      </c>
      <c r="E25" t="s">
        <v>119</v>
      </c>
      <c r="F25" s="163">
        <f>'S4d.ID-only RAB Value Rolled F'!J10</f>
        <v>0</v>
      </c>
      <c r="H25" s="76" t="s">
        <v>442</v>
      </c>
      <c r="L25" s="41"/>
      <c r="N25" s="42"/>
      <c r="P25" s="42"/>
    </row>
    <row r="26" spans="1:17" ht="14.25" x14ac:dyDescent="0.45">
      <c r="A26" t="s">
        <v>805</v>
      </c>
      <c r="B26" s="162">
        <f>ROW()</f>
        <v>26</v>
      </c>
      <c r="C26" s="162" t="s">
        <v>212</v>
      </c>
      <c r="D26" t="s">
        <v>118</v>
      </c>
      <c r="E26" t="s">
        <v>120</v>
      </c>
      <c r="F26" s="163">
        <f>'S4d.ID-only RAB Value Rolled F'!J9</f>
        <v>0</v>
      </c>
      <c r="H26" s="76" t="s">
        <v>442</v>
      </c>
      <c r="L26" s="41"/>
      <c r="N26" s="42"/>
      <c r="O26" t="s">
        <v>121</v>
      </c>
      <c r="P26" s="48" t="e">
        <f>0.1*SIGN(SUM(O20:O24))</f>
        <v>#DIV/0!</v>
      </c>
    </row>
    <row r="27" spans="1:17" ht="14.25" x14ac:dyDescent="0.45">
      <c r="A27" t="s">
        <v>805</v>
      </c>
      <c r="B27" s="162">
        <f>ROW()</f>
        <v>27</v>
      </c>
      <c r="C27" s="162"/>
      <c r="D27" s="30" t="s">
        <v>118</v>
      </c>
      <c r="F27" s="163">
        <f>F25-F26</f>
        <v>0</v>
      </c>
      <c r="H27" s="102"/>
      <c r="I27" s="76"/>
      <c r="L27" s="41"/>
      <c r="N27" s="42"/>
      <c r="O27" t="s">
        <v>122</v>
      </c>
      <c r="P27" s="49" t="e">
        <f>XIRR(O20:O24,$N20:$N24,P26)</f>
        <v>#DIV/0!</v>
      </c>
    </row>
    <row r="28" spans="1:17" ht="14.25" x14ac:dyDescent="0.45">
      <c r="H28" s="76"/>
      <c r="L28" s="41"/>
      <c r="N28" s="42"/>
      <c r="O28" t="s">
        <v>123</v>
      </c>
      <c r="P28" s="50" t="e">
        <f>SUM(P20:P24)</f>
        <v>#DIV/0!</v>
      </c>
    </row>
    <row r="29" spans="1:17" ht="14.25" x14ac:dyDescent="0.45">
      <c r="H29" s="76"/>
      <c r="L29" s="56"/>
      <c r="M29" s="97"/>
      <c r="N29" s="51"/>
      <c r="O29" s="97" t="s">
        <v>124</v>
      </c>
      <c r="P29" s="117" t="e">
        <f>IF(ABS(P28)&lt;0.01,P27,"ERROR")</f>
        <v>#DIV/0!</v>
      </c>
    </row>
    <row r="30" spans="1:17" ht="21" x14ac:dyDescent="0.65">
      <c r="A30" s="129" t="s">
        <v>805</v>
      </c>
      <c r="H30" s="76"/>
    </row>
    <row r="31" spans="1:17" ht="30" customHeight="1" x14ac:dyDescent="0.45">
      <c r="A31" s="119" t="s">
        <v>78</v>
      </c>
      <c r="B31" s="119" t="s">
        <v>79</v>
      </c>
      <c r="C31" s="119" t="s">
        <v>208</v>
      </c>
      <c r="D31" s="119" t="s">
        <v>1244</v>
      </c>
      <c r="E31" s="119" t="s">
        <v>1245</v>
      </c>
      <c r="F31" s="119" t="s">
        <v>125</v>
      </c>
      <c r="I31" s="76"/>
      <c r="N31" s="52"/>
      <c r="O31" s="52"/>
      <c r="P31" s="89"/>
      <c r="Q31" s="90"/>
    </row>
    <row r="32" spans="1:17" ht="14.25" x14ac:dyDescent="0.45">
      <c r="A32" t="s">
        <v>805</v>
      </c>
      <c r="B32" s="162">
        <f>ROW()</f>
        <v>32</v>
      </c>
      <c r="C32" s="162"/>
      <c r="D32" s="30" t="s">
        <v>86</v>
      </c>
      <c r="F32" s="169" t="e">
        <f>P27</f>
        <v>#DIV/0!</v>
      </c>
      <c r="H32" s="76" t="str" cm="1">
        <f t="array" aca="1" ref="H32" ca="1">"from row "&amp;CELL("address", P27)&amp;" mid yr IRR calcs."</f>
        <v>from row $P$27 mid yr IRR calcs.</v>
      </c>
    </row>
    <row r="33" spans="1:9" ht="14.25" x14ac:dyDescent="0.45">
      <c r="A33" t="s">
        <v>805</v>
      </c>
      <c r="B33" s="162">
        <f>ROW()</f>
        <v>33</v>
      </c>
      <c r="C33" s="162"/>
      <c r="D33" t="s">
        <v>82</v>
      </c>
      <c r="E33" t="s">
        <v>127</v>
      </c>
      <c r="F33" s="169">
        <f>Leverage</f>
        <v>0.28999999999999998</v>
      </c>
      <c r="H33" s="109"/>
      <c r="I33" s="76"/>
    </row>
    <row r="34" spans="1:9" ht="14.25" x14ac:dyDescent="0.45">
      <c r="A34" t="s">
        <v>805</v>
      </c>
      <c r="B34" s="162">
        <f>ROW()</f>
        <v>34</v>
      </c>
      <c r="C34" s="162"/>
      <c r="D34" t="s">
        <v>82</v>
      </c>
      <c r="E34" t="s">
        <v>128</v>
      </c>
      <c r="F34" s="168"/>
      <c r="H34" s="109"/>
      <c r="I34" s="76"/>
    </row>
    <row r="35" spans="1:9" ht="14.25" x14ac:dyDescent="0.45">
      <c r="A35" t="s">
        <v>805</v>
      </c>
      <c r="B35" s="162">
        <f>ROW()</f>
        <v>35</v>
      </c>
      <c r="C35" s="162"/>
      <c r="D35" t="s">
        <v>82</v>
      </c>
      <c r="E35" t="s">
        <v>130</v>
      </c>
      <c r="F35" s="169" cm="1">
        <f t="array" ref="F35">corporate_tax_rate</f>
        <v>0</v>
      </c>
      <c r="H35" s="76" t="s">
        <v>131</v>
      </c>
    </row>
    <row r="36" spans="1:9" ht="14.25" x14ac:dyDescent="0.45">
      <c r="A36" t="s">
        <v>805</v>
      </c>
      <c r="B36" s="162">
        <f>ROW()</f>
        <v>36</v>
      </c>
      <c r="C36" s="162"/>
      <c r="D36" s="30" t="s">
        <v>82</v>
      </c>
      <c r="F36" s="219" t="e">
        <f>F32-($F$33*$F$34*$F$35)</f>
        <v>#DIV/0!</v>
      </c>
      <c r="H36" s="76" t="str" cm="1">
        <f t="array" aca="1" ref="H36" ca="1">"to row "&amp;CELL("row", H4)</f>
        <v>to row 4</v>
      </c>
    </row>
  </sheetData>
  <phoneticPr fontId="27" type="noConversion"/>
  <pageMargins left="0.7" right="0.7" top="0.75" bottom="0.75" header="0.3" footer="0.3"/>
  <pageSetup paperSize="9" scale="65" fitToHeight="0" orientation="landscape" r:id="rId1"/>
  <colBreaks count="1" manualBreakCount="1">
    <brk id="10" max="1048575" man="1"/>
  </colBreak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313C-7841-4FA3-99C3-DF908192F907}">
  <sheetPr codeName="Sheet7">
    <pageSetUpPr fitToPage="1"/>
  </sheetPr>
  <dimension ref="A1:L48"/>
  <sheetViews>
    <sheetView zoomScale="85" zoomScaleNormal="85" workbookViewId="0"/>
  </sheetViews>
  <sheetFormatPr defaultRowHeight="14.45" customHeight="1" x14ac:dyDescent="0.45"/>
  <cols>
    <col min="1" max="1" width="25.86328125" customWidth="1"/>
    <col min="2" max="2" width="9" bestFit="1" customWidth="1"/>
    <col min="3" max="3" width="8.86328125" customWidth="1"/>
    <col min="4" max="4" width="60.3984375" bestFit="1" customWidth="1"/>
    <col min="5" max="5" width="56.73046875" bestFit="1" customWidth="1"/>
    <col min="6" max="6" width="22" customWidth="1"/>
    <col min="7" max="7" width="20.59765625" customWidth="1"/>
    <col min="8" max="8" width="26.9296875" customWidth="1"/>
    <col min="10" max="10" width="21.59765625" bestFit="1" customWidth="1"/>
  </cols>
  <sheetData>
    <row r="1" spans="1:12" ht="23.25" x14ac:dyDescent="0.45">
      <c r="A1" s="146" t="s">
        <v>1154</v>
      </c>
    </row>
    <row r="2" spans="1:12" ht="21" x14ac:dyDescent="0.65">
      <c r="A2" s="129" t="s">
        <v>136</v>
      </c>
      <c r="I2" s="76"/>
    </row>
    <row r="3" spans="1:12" ht="37.9" customHeight="1" x14ac:dyDescent="0.45">
      <c r="A3" s="119" t="s">
        <v>78</v>
      </c>
      <c r="B3" s="119" t="s">
        <v>79</v>
      </c>
      <c r="C3" s="119" t="s">
        <v>208</v>
      </c>
      <c r="D3" s="119" t="s">
        <v>1244</v>
      </c>
      <c r="E3" s="119" t="s">
        <v>1245</v>
      </c>
      <c r="F3" s="119" t="s">
        <v>963</v>
      </c>
      <c r="G3" s="119" t="s">
        <v>964</v>
      </c>
      <c r="H3" s="119" t="s">
        <v>965</v>
      </c>
      <c r="J3" s="76"/>
    </row>
    <row r="4" spans="1:12" ht="14.25" x14ac:dyDescent="0.45">
      <c r="A4" t="s">
        <v>136</v>
      </c>
      <c r="B4">
        <f>ROW()</f>
        <v>4</v>
      </c>
      <c r="D4" t="s">
        <v>137</v>
      </c>
      <c r="E4" t="s">
        <v>138</v>
      </c>
      <c r="F4" s="75">
        <f>'S7.Actual vs Forecast'!F7</f>
        <v>0</v>
      </c>
      <c r="G4" s="75">
        <f>'S7.Actual vs Forecast'!I7</f>
        <v>0</v>
      </c>
      <c r="H4" s="75">
        <f>SUM(tb_2_2i_2.01_1[[#This Row],[PQ FFLAS|
($000)]:[ID-only FFLAS|
($000)]])</f>
        <v>0</v>
      </c>
      <c r="J4" s="76"/>
      <c r="L4" t="s">
        <v>139</v>
      </c>
    </row>
    <row r="5" spans="1:12" ht="14.25" x14ac:dyDescent="0.45">
      <c r="A5" t="s">
        <v>136</v>
      </c>
      <c r="B5">
        <f>ROW()</f>
        <v>5</v>
      </c>
      <c r="C5" t="s">
        <v>214</v>
      </c>
      <c r="D5" t="s">
        <v>137</v>
      </c>
      <c r="E5" t="s">
        <v>433</v>
      </c>
      <c r="F5" s="65"/>
      <c r="G5" s="65"/>
      <c r="H5" s="75">
        <f>SUM(tb_2_2i_2.01_1[[#This Row],[PQ FFLAS|
($000)]:[ID-only FFLAS|
($000)]])</f>
        <v>0</v>
      </c>
      <c r="J5" s="76" t="s">
        <v>140</v>
      </c>
      <c r="L5" s="88" t="str">
        <f>IF(F4+G4=H4,"OK","ERROR")</f>
        <v>OK</v>
      </c>
    </row>
    <row r="6" spans="1:12" ht="14.25" x14ac:dyDescent="0.45">
      <c r="A6" t="s">
        <v>136</v>
      </c>
      <c r="B6">
        <f>ROW()</f>
        <v>6</v>
      </c>
      <c r="C6" t="s">
        <v>214</v>
      </c>
      <c r="D6" t="s">
        <v>137</v>
      </c>
      <c r="E6" t="s">
        <v>434</v>
      </c>
      <c r="F6" s="65"/>
      <c r="G6" s="65"/>
      <c r="H6" s="75">
        <f>SUM(tb_2_2i_2.01_1[[#This Row],[PQ FFLAS|
($000)]:[ID-only FFLAS|
($000)]])</f>
        <v>0</v>
      </c>
      <c r="J6" s="76"/>
    </row>
    <row r="7" spans="1:12" ht="14.25" x14ac:dyDescent="0.45">
      <c r="A7" t="s">
        <v>136</v>
      </c>
      <c r="B7">
        <f>ROW()</f>
        <v>7</v>
      </c>
      <c r="C7" t="s">
        <v>214</v>
      </c>
      <c r="D7" t="s">
        <v>137</v>
      </c>
      <c r="E7" t="s">
        <v>435</v>
      </c>
      <c r="F7" s="75">
        <f>IF(F45&lt;0,-F45,F45)</f>
        <v>0</v>
      </c>
      <c r="G7" s="83"/>
      <c r="H7" s="75">
        <f>tb_2_2i_2.01_1[[#This Row],[PQ FFLAS|
($000)]]</f>
        <v>0</v>
      </c>
      <c r="J7" s="76"/>
    </row>
    <row r="8" spans="1:12" ht="14.25" x14ac:dyDescent="0.45">
      <c r="A8" t="s">
        <v>136</v>
      </c>
      <c r="B8">
        <f>ROW()</f>
        <v>8</v>
      </c>
      <c r="D8" s="30" t="s">
        <v>141</v>
      </c>
      <c r="E8" t="s">
        <v>138</v>
      </c>
      <c r="F8" s="75">
        <f>F4+F5+F6+F7</f>
        <v>0</v>
      </c>
      <c r="G8" s="75">
        <f>G4+G5+G6</f>
        <v>0</v>
      </c>
      <c r="H8" s="75">
        <f>H4+H5+H6+H7</f>
        <v>0</v>
      </c>
      <c r="J8" s="76"/>
    </row>
    <row r="9" spans="1:12" ht="14.25" x14ac:dyDescent="0.45">
      <c r="A9" t="s">
        <v>136</v>
      </c>
      <c r="B9">
        <f>ROW()</f>
        <v>9</v>
      </c>
      <c r="C9" t="s">
        <v>212</v>
      </c>
      <c r="D9" s="30" t="s">
        <v>102</v>
      </c>
      <c r="E9" t="s">
        <v>282</v>
      </c>
      <c r="F9" s="75">
        <f>'S5.Actual Expenditure Opex'!E15</f>
        <v>0</v>
      </c>
      <c r="G9" s="75">
        <f>'S5.Actual Expenditure Opex'!F15</f>
        <v>0</v>
      </c>
      <c r="H9" s="75">
        <f>SUM(tb_2_2i_2.01_1[[#This Row],[PQ FFLAS|
($000)]:[ID-only FFLAS|
($000)]])</f>
        <v>0</v>
      </c>
      <c r="J9" s="87"/>
    </row>
    <row r="10" spans="1:12" ht="14.25" x14ac:dyDescent="0.45">
      <c r="A10" t="s">
        <v>136</v>
      </c>
      <c r="B10">
        <f>ROW()</f>
        <v>10</v>
      </c>
      <c r="C10" t="s">
        <v>212</v>
      </c>
      <c r="D10" t="s">
        <v>102</v>
      </c>
      <c r="E10" t="s">
        <v>1293</v>
      </c>
      <c r="F10" s="75">
        <f>F26</f>
        <v>0</v>
      </c>
      <c r="G10" s="75">
        <f>G26</f>
        <v>0</v>
      </c>
      <c r="H10" s="75">
        <f>SUM(tb_2_2i_2.01_1[[#This Row],[PQ FFLAS|
($000)]:[ID-only FFLAS|
($000)]])</f>
        <v>0</v>
      </c>
      <c r="J10" s="76" t="s">
        <v>142</v>
      </c>
    </row>
    <row r="11" spans="1:12" ht="14.25" x14ac:dyDescent="0.45">
      <c r="A11" t="s">
        <v>136</v>
      </c>
      <c r="B11">
        <f>ROW()</f>
        <v>11</v>
      </c>
      <c r="D11" s="30" t="s">
        <v>143</v>
      </c>
      <c r="E11" t="s">
        <v>138</v>
      </c>
      <c r="F11" s="75">
        <f>SUM(F8,-F9,-F10)</f>
        <v>0</v>
      </c>
      <c r="G11" s="75">
        <f>SUM(G8,-G9,-G10)</f>
        <v>0</v>
      </c>
      <c r="H11" s="75">
        <f>SUM(H8,-H9,-H10)</f>
        <v>0</v>
      </c>
      <c r="J11" s="76" t="str" cm="1">
        <f t="array" aca="1" ref="J11" ca="1">"from row "&amp;CELL("row",H26)&amp;" &amp; to S1a"</f>
        <v>from row 26 &amp; to S1a</v>
      </c>
    </row>
    <row r="12" spans="1:12" ht="14.25" x14ac:dyDescent="0.45">
      <c r="A12" t="s">
        <v>136</v>
      </c>
      <c r="B12">
        <f>ROW()</f>
        <v>12</v>
      </c>
      <c r="C12" t="s">
        <v>212</v>
      </c>
      <c r="D12" t="s">
        <v>143</v>
      </c>
      <c r="E12" t="s">
        <v>436</v>
      </c>
      <c r="F12" s="75">
        <f>'S4c.PQ RAB Value Rolled F.'!G17</f>
        <v>0</v>
      </c>
      <c r="G12" s="75">
        <f>'S4d.ID-only RAB Value Rolled F'!G17</f>
        <v>0</v>
      </c>
      <c r="H12" s="75">
        <f>'S4b.ID RAB Value Rolled Forward'!G17</f>
        <v>0</v>
      </c>
      <c r="J12" s="76"/>
    </row>
    <row r="13" spans="1:12" ht="14.25" x14ac:dyDescent="0.45">
      <c r="A13" t="s">
        <v>136</v>
      </c>
      <c r="B13">
        <f>ROW()</f>
        <v>13</v>
      </c>
      <c r="C13" t="s">
        <v>214</v>
      </c>
      <c r="D13" t="s">
        <v>143</v>
      </c>
      <c r="E13" t="s">
        <v>437</v>
      </c>
      <c r="F13" s="75">
        <f>'S4c.PQ RAB Value Rolled F.'!G18</f>
        <v>0</v>
      </c>
      <c r="G13" s="75">
        <f>'S4d.ID-only RAB Value Rolled F'!G18</f>
        <v>0</v>
      </c>
      <c r="H13" s="75">
        <f>'S4b.ID RAB Value Rolled Forward'!G18</f>
        <v>0</v>
      </c>
      <c r="J13" s="76" t="s">
        <v>110</v>
      </c>
    </row>
    <row r="14" spans="1:12" ht="14.25" x14ac:dyDescent="0.45">
      <c r="A14" t="s">
        <v>136</v>
      </c>
      <c r="B14">
        <f>ROW()</f>
        <v>14</v>
      </c>
      <c r="D14" s="30" t="s">
        <v>162</v>
      </c>
      <c r="E14" t="s">
        <v>138</v>
      </c>
      <c r="F14" s="75">
        <f>SUM(F11,-F12,F13)</f>
        <v>0</v>
      </c>
      <c r="G14" s="75">
        <f t="shared" ref="G14:H14" si="0">SUM(G11,-G12,G13)</f>
        <v>0</v>
      </c>
      <c r="H14" s="75">
        <f t="shared" si="0"/>
        <v>0</v>
      </c>
      <c r="J14" s="76" t="s">
        <v>110</v>
      </c>
    </row>
    <row r="15" spans="1:12" ht="14.25" x14ac:dyDescent="0.45">
      <c r="A15" t="s">
        <v>136</v>
      </c>
      <c r="B15">
        <f>ROW()</f>
        <v>15</v>
      </c>
      <c r="C15" t="s">
        <v>212</v>
      </c>
      <c r="D15" t="s">
        <v>162</v>
      </c>
      <c r="E15" t="s">
        <v>116</v>
      </c>
      <c r="F15" s="75" t="e" cm="1">
        <f t="array" ref="F15">tb_8a_8aii_8.12_2[PQ FFLAS]</f>
        <v>#DIV/0!</v>
      </c>
      <c r="G15" s="75" t="e" cm="1">
        <f t="array" ref="G15">tb_8a_8aii_8.12_2[ID-only FFLAS]</f>
        <v>#DIV/0!</v>
      </c>
      <c r="H15" s="75" cm="1">
        <f t="array" ref="H15">tb_8a_8aii_8.12_2[($)]</f>
        <v>0</v>
      </c>
      <c r="J15" s="76" t="s">
        <v>144</v>
      </c>
    </row>
    <row r="16" spans="1:12" ht="14.25" x14ac:dyDescent="0.45">
      <c r="A16" t="s">
        <v>136</v>
      </c>
      <c r="B16">
        <f>ROW()</f>
        <v>16</v>
      </c>
      <c r="C16" t="s">
        <v>212</v>
      </c>
      <c r="D16" t="s">
        <v>162</v>
      </c>
      <c r="E16" t="s">
        <v>169</v>
      </c>
      <c r="F16" s="75">
        <f>'S3.Regulatory Tax Allowance'!F23</f>
        <v>0</v>
      </c>
      <c r="G16" s="75">
        <f>'S3.Regulatory Tax Allowance'!G23</f>
        <v>0</v>
      </c>
      <c r="H16" s="75">
        <f>SUM(tb_2_2i_2.01_1[[#This Row],[PQ FFLAS|
($000)]:[ID-only FFLAS|
($000)]])</f>
        <v>0</v>
      </c>
      <c r="J16" s="76" t="s">
        <v>145</v>
      </c>
    </row>
    <row r="17" spans="1:12" ht="14.25" x14ac:dyDescent="0.45">
      <c r="A17" t="s">
        <v>136</v>
      </c>
      <c r="B17">
        <f>ROW()</f>
        <v>17</v>
      </c>
      <c r="D17" s="30" t="s">
        <v>146</v>
      </c>
      <c r="E17" t="s">
        <v>138</v>
      </c>
      <c r="F17" s="75" t="e">
        <f>SUM(F14,-F15,-F16)</f>
        <v>#DIV/0!</v>
      </c>
      <c r="G17" s="75" t="e">
        <f t="shared" ref="G17:H17" si="1">SUM(G14,-G15,-G16)</f>
        <v>#DIV/0!</v>
      </c>
      <c r="H17" s="75">
        <f t="shared" si="1"/>
        <v>0</v>
      </c>
      <c r="J17" s="76" t="s">
        <v>147</v>
      </c>
    </row>
    <row r="18" spans="1:12" ht="14.25" x14ac:dyDescent="0.45">
      <c r="I18" s="76"/>
    </row>
    <row r="19" spans="1:12" ht="14.25" x14ac:dyDescent="0.45"/>
    <row r="20" spans="1:12" ht="21" x14ac:dyDescent="0.65">
      <c r="A20" s="129" t="s">
        <v>148</v>
      </c>
    </row>
    <row r="21" spans="1:12" ht="37.9" customHeight="1" x14ac:dyDescent="0.45">
      <c r="A21" s="119" t="s">
        <v>78</v>
      </c>
      <c r="B21" s="119" t="s">
        <v>79</v>
      </c>
      <c r="C21" s="119" t="s">
        <v>208</v>
      </c>
      <c r="D21" s="119" t="s">
        <v>1244</v>
      </c>
      <c r="E21" s="119" t="s">
        <v>1245</v>
      </c>
      <c r="F21" s="119" t="s">
        <v>963</v>
      </c>
      <c r="G21" s="119" t="s">
        <v>964</v>
      </c>
      <c r="H21" s="119" t="s">
        <v>965</v>
      </c>
    </row>
    <row r="22" spans="1:12" ht="14.25" x14ac:dyDescent="0.45">
      <c r="A22" t="s">
        <v>148</v>
      </c>
      <c r="B22">
        <f>ROW()</f>
        <v>22</v>
      </c>
      <c r="D22" t="s">
        <v>149</v>
      </c>
      <c r="E22" t="s">
        <v>150</v>
      </c>
      <c r="F22" s="65"/>
      <c r="G22" s="65"/>
      <c r="H22" s="83"/>
      <c r="J22" s="47"/>
    </row>
    <row r="23" spans="1:12" ht="14.25" x14ac:dyDescent="0.45">
      <c r="A23" t="s">
        <v>148</v>
      </c>
      <c r="B23">
        <f>ROW()</f>
        <v>23</v>
      </c>
      <c r="D23" t="s">
        <v>149</v>
      </c>
      <c r="E23" t="s">
        <v>151</v>
      </c>
      <c r="F23" s="65"/>
      <c r="G23" s="65"/>
      <c r="H23" s="83"/>
    </row>
    <row r="24" spans="1:12" ht="14.25" x14ac:dyDescent="0.45">
      <c r="A24" t="s">
        <v>148</v>
      </c>
      <c r="B24">
        <f>ROW()</f>
        <v>24</v>
      </c>
      <c r="D24" t="s">
        <v>149</v>
      </c>
      <c r="E24" t="s">
        <v>152</v>
      </c>
      <c r="F24" s="65"/>
      <c r="G24" s="65"/>
      <c r="H24" s="83"/>
    </row>
    <row r="25" spans="1:12" ht="14.25" x14ac:dyDescent="0.45">
      <c r="A25" t="s">
        <v>148</v>
      </c>
      <c r="B25">
        <f>ROW()</f>
        <v>25</v>
      </c>
      <c r="D25" t="s">
        <v>149</v>
      </c>
      <c r="E25" t="s">
        <v>153</v>
      </c>
      <c r="F25" s="65"/>
      <c r="G25" s="65"/>
      <c r="H25" s="83"/>
    </row>
    <row r="26" spans="1:12" ht="14.25" x14ac:dyDescent="0.45">
      <c r="A26" t="s">
        <v>148</v>
      </c>
      <c r="B26">
        <f>ROW()</f>
        <v>26</v>
      </c>
      <c r="D26" s="30" t="s">
        <v>1293</v>
      </c>
      <c r="F26" s="75">
        <f>SUM(F22:F25)</f>
        <v>0</v>
      </c>
      <c r="G26" s="75">
        <f>SUM(G22:G25)</f>
        <v>0</v>
      </c>
      <c r="H26" s="75">
        <f>F26+G26</f>
        <v>0</v>
      </c>
      <c r="J26" s="76" t="str" cm="1">
        <f t="array" aca="1" ref="J26" ca="1">"to row "&amp;CELL("row",H10)</f>
        <v>to row 10</v>
      </c>
    </row>
    <row r="27" spans="1:12" ht="14.25" x14ac:dyDescent="0.45"/>
    <row r="28" spans="1:12" ht="14.25" x14ac:dyDescent="0.45"/>
    <row r="29" spans="1:12" ht="21" x14ac:dyDescent="0.65">
      <c r="A29" s="129" t="s">
        <v>155</v>
      </c>
    </row>
    <row r="30" spans="1:12" ht="30" customHeight="1" x14ac:dyDescent="0.45">
      <c r="A30" s="119" t="s">
        <v>78</v>
      </c>
      <c r="B30" s="119" t="s">
        <v>79</v>
      </c>
      <c r="C30" s="119" t="s">
        <v>208</v>
      </c>
      <c r="D30" s="119" t="s">
        <v>1244</v>
      </c>
      <c r="E30" s="119" t="s">
        <v>1245</v>
      </c>
      <c r="F30" s="131" t="s">
        <v>154</v>
      </c>
    </row>
    <row r="31" spans="1:12" ht="14.25" x14ac:dyDescent="0.45">
      <c r="A31" t="s">
        <v>155</v>
      </c>
      <c r="B31">
        <f>ROW()</f>
        <v>31</v>
      </c>
      <c r="D31" t="s">
        <v>156</v>
      </c>
      <c r="F31" s="65"/>
    </row>
    <row r="32" spans="1:12" ht="14.25" x14ac:dyDescent="0.45">
      <c r="L32" s="61"/>
    </row>
    <row r="33" spans="1:8" ht="14.25" x14ac:dyDescent="0.45">
      <c r="A33" t="s">
        <v>157</v>
      </c>
    </row>
    <row r="34" spans="1:8" ht="14.25" x14ac:dyDescent="0.45"/>
    <row r="35" spans="1:8" ht="14.25" x14ac:dyDescent="0.45"/>
    <row r="36" spans="1:8" ht="21" x14ac:dyDescent="0.65">
      <c r="A36" s="129" t="s">
        <v>158</v>
      </c>
    </row>
    <row r="37" spans="1:8" ht="30" customHeight="1" x14ac:dyDescent="0.45">
      <c r="A37" s="119" t="s">
        <v>78</v>
      </c>
      <c r="B37" s="119" t="s">
        <v>79</v>
      </c>
      <c r="C37" s="119" t="s">
        <v>208</v>
      </c>
      <c r="D37" s="119" t="s">
        <v>1244</v>
      </c>
      <c r="E37" s="119" t="s">
        <v>1245</v>
      </c>
      <c r="F37" s="131" t="s">
        <v>154</v>
      </c>
    </row>
    <row r="38" spans="1:8" ht="14.25" x14ac:dyDescent="0.45">
      <c r="A38" t="s">
        <v>158</v>
      </c>
      <c r="B38">
        <f>ROW()</f>
        <v>38</v>
      </c>
      <c r="D38" t="s">
        <v>159</v>
      </c>
      <c r="F38" s="65"/>
    </row>
    <row r="39" spans="1:8" ht="14.25" x14ac:dyDescent="0.45"/>
    <row r="40" spans="1:8" ht="14.25" x14ac:dyDescent="0.45"/>
    <row r="41" spans="1:8" ht="21" x14ac:dyDescent="0.65">
      <c r="A41" s="129" t="s">
        <v>160</v>
      </c>
    </row>
    <row r="42" spans="1:8" ht="30" customHeight="1" x14ac:dyDescent="0.45">
      <c r="A42" s="119" t="s">
        <v>78</v>
      </c>
      <c r="B42" s="119" t="s">
        <v>79</v>
      </c>
      <c r="C42" s="119" t="s">
        <v>208</v>
      </c>
      <c r="D42" s="119" t="s">
        <v>1244</v>
      </c>
      <c r="E42" s="119" t="s">
        <v>1245</v>
      </c>
      <c r="F42" s="131" t="s">
        <v>154</v>
      </c>
    </row>
    <row r="43" spans="1:8" ht="14.25" x14ac:dyDescent="0.45">
      <c r="A43" t="s">
        <v>160</v>
      </c>
      <c r="B43">
        <f>ROW()</f>
        <v>43</v>
      </c>
      <c r="D43" s="30" t="s">
        <v>1134</v>
      </c>
      <c r="F43" s="66"/>
    </row>
    <row r="44" spans="1:8" ht="14.25" x14ac:dyDescent="0.45">
      <c r="A44" t="s">
        <v>160</v>
      </c>
      <c r="B44">
        <f>ROW()</f>
        <v>44</v>
      </c>
      <c r="C44" t="s">
        <v>212</v>
      </c>
      <c r="D44" t="s">
        <v>438</v>
      </c>
      <c r="F44" s="65"/>
    </row>
    <row r="45" spans="1:8" ht="14.25" x14ac:dyDescent="0.45">
      <c r="A45" t="s">
        <v>160</v>
      </c>
      <c r="B45">
        <f>ROW()</f>
        <v>45</v>
      </c>
      <c r="D45" s="30" t="s">
        <v>1138</v>
      </c>
      <c r="F45" s="75">
        <f>F43-F44</f>
        <v>0</v>
      </c>
    </row>
    <row r="46" spans="1:8" ht="14.25" x14ac:dyDescent="0.45">
      <c r="A46" t="s">
        <v>160</v>
      </c>
      <c r="B46">
        <f>ROW()</f>
        <v>46</v>
      </c>
      <c r="D46" t="s">
        <v>1137</v>
      </c>
      <c r="F46" s="65"/>
    </row>
    <row r="47" spans="1:8" ht="28.5" x14ac:dyDescent="0.45">
      <c r="A47" t="s">
        <v>160</v>
      </c>
      <c r="B47">
        <f>ROW()</f>
        <v>47</v>
      </c>
      <c r="D47" t="s">
        <v>1136</v>
      </c>
      <c r="F47" s="65"/>
      <c r="H47" s="147" t="str" cm="1">
        <f t="array" aca="1" ref="H47" ca="1">CELL("address",F46)&amp;" from previous disclosure year"</f>
        <v>$F$46 from previous disclosure year</v>
      </c>
    </row>
    <row r="48" spans="1:8" ht="14.25" x14ac:dyDescent="0.45">
      <c r="A48" t="s">
        <v>160</v>
      </c>
      <c r="B48">
        <f>ROW()</f>
        <v>48</v>
      </c>
      <c r="D48" s="30" t="s">
        <v>1135</v>
      </c>
      <c r="F48" s="75">
        <f>F46-F47</f>
        <v>0</v>
      </c>
    </row>
  </sheetData>
  <pageMargins left="0.7" right="0.7" top="0.75" bottom="0.75" header="0.3" footer="0.3"/>
  <pageSetup paperSize="9" scale="50" fitToHeight="0" orientation="landscape" r:id="rId1"/>
  <colBreaks count="1" manualBreakCount="1">
    <brk id="18" max="1048575" man="1"/>
  </colBreaks>
  <tableParts count="5">
    <tablePart r:id="rId2"/>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0E24D-F741-4D44-9F4D-349697684BCF}">
  <sheetPr codeName="Sheet8">
    <pageSetUpPr fitToPage="1"/>
  </sheetPr>
  <dimension ref="A1:J54"/>
  <sheetViews>
    <sheetView zoomScale="85" zoomScaleNormal="85" workbookViewId="0"/>
  </sheetViews>
  <sheetFormatPr defaultRowHeight="14.45" customHeight="1" x14ac:dyDescent="0.45"/>
  <cols>
    <col min="1" max="1" width="31.265625" customWidth="1"/>
    <col min="2" max="2" width="9" bestFit="1" customWidth="1"/>
    <col min="3" max="3" width="9.59765625" customWidth="1"/>
    <col min="4" max="4" width="44.1328125" customWidth="1"/>
    <col min="5" max="5" width="61.265625" bestFit="1" customWidth="1"/>
    <col min="6" max="8" width="20.59765625" customWidth="1"/>
    <col min="11" max="12" width="9" customWidth="1"/>
  </cols>
  <sheetData>
    <row r="1" spans="1:10" ht="23.25" x14ac:dyDescent="0.45">
      <c r="A1" s="146" t="s">
        <v>1155</v>
      </c>
    </row>
    <row r="2" spans="1:10" ht="21" x14ac:dyDescent="0.65">
      <c r="A2" s="129" t="s">
        <v>161</v>
      </c>
    </row>
    <row r="3" spans="1:10" ht="37.9" customHeight="1" x14ac:dyDescent="0.45">
      <c r="A3" s="119" t="s">
        <v>78</v>
      </c>
      <c r="B3" s="119" t="s">
        <v>79</v>
      </c>
      <c r="C3" s="119" t="s">
        <v>208</v>
      </c>
      <c r="D3" s="119" t="s">
        <v>1244</v>
      </c>
      <c r="E3" s="119" t="s">
        <v>1245</v>
      </c>
      <c r="F3" s="119" t="s">
        <v>963</v>
      </c>
      <c r="G3" s="119" t="s">
        <v>964</v>
      </c>
      <c r="H3" s="119" t="s">
        <v>965</v>
      </c>
      <c r="I3" s="32"/>
      <c r="J3" s="32"/>
    </row>
    <row r="4" spans="1:10" ht="14.25" x14ac:dyDescent="0.45">
      <c r="A4" t="s">
        <v>161</v>
      </c>
      <c r="B4">
        <f>ROW()</f>
        <v>4</v>
      </c>
      <c r="D4" s="30" t="s">
        <v>162</v>
      </c>
      <c r="F4" s="171">
        <f>'S2.Regulatory Profit'!F14</f>
        <v>0</v>
      </c>
      <c r="G4" s="171">
        <f>'S2.Regulatory Profit'!G14</f>
        <v>0</v>
      </c>
      <c r="H4" s="171">
        <f>'S2.Regulatory Profit'!H14</f>
        <v>0</v>
      </c>
      <c r="J4" s="62" t="s">
        <v>94</v>
      </c>
    </row>
    <row r="5" spans="1:10" ht="14.25" x14ac:dyDescent="0.45">
      <c r="A5" t="s">
        <v>161</v>
      </c>
      <c r="B5">
        <f>ROW()</f>
        <v>5</v>
      </c>
      <c r="C5" t="s">
        <v>214</v>
      </c>
      <c r="D5" t="s">
        <v>163</v>
      </c>
      <c r="E5" t="s">
        <v>213</v>
      </c>
      <c r="F5" s="171">
        <f>'S4c.PQ RAB Value Rolled F.'!G72</f>
        <v>0</v>
      </c>
      <c r="G5" s="171">
        <f>'S4d.ID-only RAB Value Rolled F'!G72</f>
        <v>0</v>
      </c>
      <c r="H5" s="171">
        <f>SUM(tb_3_3i_3.01_1[[#This Row],[PQ FFLAS|
($000)]:[ID-only FFLAS|
($000)]])</f>
        <v>0</v>
      </c>
    </row>
    <row r="6" spans="1:10" ht="14.25" x14ac:dyDescent="0.45">
      <c r="A6" t="s">
        <v>161</v>
      </c>
      <c r="B6">
        <f>ROW()</f>
        <v>6</v>
      </c>
      <c r="C6" t="s">
        <v>212</v>
      </c>
      <c r="D6" t="s">
        <v>163</v>
      </c>
      <c r="E6" t="s">
        <v>443</v>
      </c>
      <c r="F6" s="171">
        <f>F49</f>
        <v>0</v>
      </c>
      <c r="G6" s="171">
        <f>G49</f>
        <v>0</v>
      </c>
      <c r="H6" s="171">
        <f>SUM(tb_3_3i_3.01_1[[#This Row],[PQ FFLAS|
($000)]:[ID-only FFLAS|
($000)]])</f>
        <v>0</v>
      </c>
    </row>
    <row r="7" spans="1:10" ht="14.25" x14ac:dyDescent="0.45">
      <c r="A7" t="s">
        <v>161</v>
      </c>
      <c r="B7">
        <f>ROW()</f>
        <v>7</v>
      </c>
      <c r="D7" t="s">
        <v>163</v>
      </c>
      <c r="E7" s="30" t="s">
        <v>325</v>
      </c>
      <c r="F7" s="172">
        <f>F5-F6</f>
        <v>0</v>
      </c>
      <c r="G7" s="172">
        <f t="shared" ref="G7" si="0">G5-G6</f>
        <v>0</v>
      </c>
      <c r="H7" s="171">
        <f>SUM(tb_3_3i_3.01_1[[#This Row],[PQ FFLAS|
($000)]:[ID-only FFLAS|
($000)]])</f>
        <v>0</v>
      </c>
    </row>
    <row r="8" spans="1:10" ht="14.25" x14ac:dyDescent="0.45">
      <c r="A8" t="s">
        <v>161</v>
      </c>
      <c r="B8">
        <f>ROW()</f>
        <v>8</v>
      </c>
      <c r="C8" t="s">
        <v>1118</v>
      </c>
      <c r="D8" t="s">
        <v>164</v>
      </c>
      <c r="E8" t="s">
        <v>444</v>
      </c>
      <c r="F8" s="173"/>
      <c r="G8" s="173"/>
      <c r="H8" s="173"/>
    </row>
    <row r="9" spans="1:10" ht="14.25" x14ac:dyDescent="0.45">
      <c r="A9" t="s">
        <v>161</v>
      </c>
      <c r="B9">
        <f>ROW()</f>
        <v>9</v>
      </c>
      <c r="C9" t="s">
        <v>1118</v>
      </c>
      <c r="D9" t="s">
        <v>164</v>
      </c>
      <c r="E9" t="s">
        <v>165</v>
      </c>
      <c r="F9" s="173"/>
      <c r="G9" s="173"/>
      <c r="H9" s="173"/>
    </row>
    <row r="10" spans="1:10" ht="14.25" x14ac:dyDescent="0.45">
      <c r="A10" t="s">
        <v>161</v>
      </c>
      <c r="B10">
        <f>ROW()</f>
        <v>10</v>
      </c>
      <c r="C10" t="s">
        <v>1119</v>
      </c>
      <c r="D10" t="s">
        <v>164</v>
      </c>
      <c r="E10" t="s">
        <v>445</v>
      </c>
      <c r="F10" s="173"/>
      <c r="G10" s="173"/>
      <c r="H10" s="173"/>
    </row>
    <row r="11" spans="1:10" ht="14.25" x14ac:dyDescent="0.45">
      <c r="A11" t="s">
        <v>161</v>
      </c>
      <c r="B11">
        <f>ROW()</f>
        <v>11</v>
      </c>
      <c r="C11" t="s">
        <v>1119</v>
      </c>
      <c r="D11" t="s">
        <v>164</v>
      </c>
      <c r="E11" t="s">
        <v>166</v>
      </c>
      <c r="F11" s="173"/>
      <c r="G11" s="173"/>
      <c r="H11" s="173"/>
    </row>
    <row r="12" spans="1:10" ht="14.25" x14ac:dyDescent="0.45">
      <c r="A12" t="s">
        <v>161</v>
      </c>
      <c r="B12">
        <f>ROW()</f>
        <v>12</v>
      </c>
      <c r="D12" t="s">
        <v>164</v>
      </c>
      <c r="E12" s="30" t="s">
        <v>325</v>
      </c>
      <c r="F12" s="171">
        <f>SUM(F8:F9)-SUM(F10:F11)</f>
        <v>0</v>
      </c>
      <c r="G12" s="171">
        <f t="shared" ref="G12:H12" si="1">SUM(G8:G9)-SUM(G10:G11)</f>
        <v>0</v>
      </c>
      <c r="H12" s="171">
        <f t="shared" si="1"/>
        <v>0</v>
      </c>
    </row>
    <row r="13" spans="1:10" ht="14.25" x14ac:dyDescent="0.45">
      <c r="A13" t="s">
        <v>161</v>
      </c>
      <c r="B13">
        <f>ROW()</f>
        <v>13</v>
      </c>
      <c r="C13" t="s">
        <v>212</v>
      </c>
      <c r="D13" t="s">
        <v>164</v>
      </c>
      <c r="E13" t="s">
        <v>446</v>
      </c>
      <c r="F13" s="171">
        <f>'S4c.PQ RAB Value Rolled F.'!G50</f>
        <v>0</v>
      </c>
      <c r="G13" s="171">
        <f>'S4d.ID-only RAB Value Rolled F'!G18</f>
        <v>0</v>
      </c>
      <c r="H13" s="171">
        <f>SUM(tb_3_3i_3.01_1[[#This Row],[PQ FFLAS|
($000)]:[ID-only FFLAS|
($000)]])</f>
        <v>0</v>
      </c>
      <c r="J13" s="62" t="s">
        <v>133</v>
      </c>
    </row>
    <row r="14" spans="1:10" ht="14.25" x14ac:dyDescent="0.45">
      <c r="A14" t="s">
        <v>161</v>
      </c>
      <c r="B14">
        <f>ROW()</f>
        <v>14</v>
      </c>
      <c r="C14" t="s">
        <v>1118</v>
      </c>
      <c r="D14" t="s">
        <v>167</v>
      </c>
      <c r="E14" t="s">
        <v>444</v>
      </c>
      <c r="F14" s="173"/>
      <c r="G14" s="173"/>
      <c r="H14" s="173"/>
    </row>
    <row r="15" spans="1:10" ht="14.25" x14ac:dyDescent="0.45">
      <c r="A15" t="s">
        <v>161</v>
      </c>
      <c r="B15">
        <f>ROW()</f>
        <v>15</v>
      </c>
      <c r="C15" t="s">
        <v>1118</v>
      </c>
      <c r="D15" t="s">
        <v>167</v>
      </c>
      <c r="E15" t="s">
        <v>165</v>
      </c>
      <c r="F15" s="173"/>
      <c r="G15" s="173"/>
      <c r="H15" s="173"/>
    </row>
    <row r="16" spans="1:10" ht="14.25" x14ac:dyDescent="0.45">
      <c r="A16" t="s">
        <v>161</v>
      </c>
      <c r="B16">
        <f>ROW()</f>
        <v>16</v>
      </c>
      <c r="C16" t="s">
        <v>1119</v>
      </c>
      <c r="D16" t="s">
        <v>167</v>
      </c>
      <c r="E16" t="s">
        <v>445</v>
      </c>
      <c r="F16" s="173"/>
      <c r="G16" s="173"/>
      <c r="H16" s="173"/>
    </row>
    <row r="17" spans="1:10" ht="14.25" x14ac:dyDescent="0.45">
      <c r="A17" t="s">
        <v>161</v>
      </c>
      <c r="B17">
        <f>ROW()</f>
        <v>17</v>
      </c>
      <c r="C17" t="s">
        <v>1119</v>
      </c>
      <c r="D17" t="s">
        <v>167</v>
      </c>
      <c r="E17" t="s">
        <v>166</v>
      </c>
      <c r="F17" s="173"/>
      <c r="G17" s="173"/>
      <c r="H17" s="173"/>
    </row>
    <row r="18" spans="1:10" ht="14.25" x14ac:dyDescent="0.45">
      <c r="A18" t="s">
        <v>161</v>
      </c>
      <c r="B18">
        <f>ROW()</f>
        <v>18</v>
      </c>
      <c r="D18" t="s">
        <v>167</v>
      </c>
      <c r="E18" s="30" t="s">
        <v>325</v>
      </c>
      <c r="F18" s="171">
        <f>SUM(F14:F15)-SUM(F16:F17)</f>
        <v>0</v>
      </c>
      <c r="G18" s="171">
        <f t="shared" ref="G18" si="2">SUM(G14:G15)-SUM(G16:G17)</f>
        <v>0</v>
      </c>
      <c r="H18" s="171">
        <f t="shared" ref="H18" si="3">SUM(H14:H15)-SUM(H16:H17)</f>
        <v>0</v>
      </c>
    </row>
    <row r="19" spans="1:10" ht="14.25" x14ac:dyDescent="0.45">
      <c r="A19" t="s">
        <v>161</v>
      </c>
      <c r="B19">
        <f>ROW()</f>
        <v>19</v>
      </c>
      <c r="C19" t="s">
        <v>212</v>
      </c>
      <c r="D19" t="s">
        <v>167</v>
      </c>
      <c r="E19" t="s">
        <v>447</v>
      </c>
      <c r="F19" s="171">
        <f>'S8b.Crown financing &amp; NDI'!E37</f>
        <v>0</v>
      </c>
      <c r="G19" s="171">
        <f>'S8b.Crown financing &amp; NDI'!F37</f>
        <v>0</v>
      </c>
      <c r="H19" s="171">
        <f>SUM(tb_3_3i_3.01_1[[#This Row],[PQ FFLAS|
($000)]:[ID-only FFLAS|
($000)]])</f>
        <v>0</v>
      </c>
    </row>
    <row r="20" spans="1:10" ht="14.25" x14ac:dyDescent="0.45">
      <c r="A20" t="s">
        <v>161</v>
      </c>
      <c r="B20">
        <f>ROW()</f>
        <v>20</v>
      </c>
      <c r="D20" s="30" t="s">
        <v>1260</v>
      </c>
      <c r="E20" t="s">
        <v>1260</v>
      </c>
      <c r="F20" s="171">
        <f>F4+F7+F12-F13+F18-F19</f>
        <v>0</v>
      </c>
      <c r="G20" s="171">
        <f>G4+G7+G12-G13+G18-G19</f>
        <v>0</v>
      </c>
      <c r="H20" s="171">
        <f>H4+H7+H12-H13+H18-H19</f>
        <v>0</v>
      </c>
    </row>
    <row r="21" spans="1:10" ht="14.25" x14ac:dyDescent="0.45">
      <c r="A21" t="s">
        <v>161</v>
      </c>
      <c r="B21">
        <f>ROW()</f>
        <v>21</v>
      </c>
      <c r="C21" t="s">
        <v>212</v>
      </c>
      <c r="D21" t="s">
        <v>1260</v>
      </c>
      <c r="E21" t="s">
        <v>448</v>
      </c>
      <c r="F21" s="173"/>
      <c r="G21" s="173"/>
      <c r="H21" s="173"/>
    </row>
    <row r="22" spans="1:10" ht="14.25" x14ac:dyDescent="0.45">
      <c r="A22" t="s">
        <v>161</v>
      </c>
      <c r="B22">
        <f>ROW()</f>
        <v>22</v>
      </c>
      <c r="D22" t="s">
        <v>1260</v>
      </c>
      <c r="E22" t="s">
        <v>168</v>
      </c>
      <c r="F22" s="171">
        <f>IF(F20&lt;0,0,MAX(F20-F21,0))</f>
        <v>0</v>
      </c>
      <c r="G22" s="171">
        <f t="shared" ref="G22:H22" si="4">IF(G20&lt;0,0,MAX(G20-G21,0))</f>
        <v>0</v>
      </c>
      <c r="H22" s="171">
        <f t="shared" si="4"/>
        <v>0</v>
      </c>
    </row>
    <row r="23" spans="1:10" ht="14.25" x14ac:dyDescent="0.45">
      <c r="A23" t="s">
        <v>161</v>
      </c>
      <c r="B23">
        <f>ROW()</f>
        <v>23</v>
      </c>
      <c r="D23" t="s">
        <v>169</v>
      </c>
      <c r="E23" s="30" t="s">
        <v>169</v>
      </c>
      <c r="F23" s="171" cm="1">
        <f t="array" ref="F23">IF(F22&lt;0,0,F22*corporate_tax_rate)</f>
        <v>0</v>
      </c>
      <c r="G23" s="171" cm="1">
        <f t="array" ref="G23">IF(G22&lt;0,0,G22*corporate_tax_rate)</f>
        <v>0</v>
      </c>
      <c r="H23" s="171" cm="1">
        <f t="array" ref="H23">IF(H22&lt;0,0,H22*corporate_tax_rate)</f>
        <v>0</v>
      </c>
      <c r="J23" s="62" t="s">
        <v>170</v>
      </c>
    </row>
    <row r="24" spans="1:10" ht="14.25" x14ac:dyDescent="0.45"/>
    <row r="25" spans="1:10" ht="14.25" x14ac:dyDescent="0.45">
      <c r="A25" s="64" t="s">
        <v>1120</v>
      </c>
    </row>
    <row r="26" spans="1:10" ht="14.25" x14ac:dyDescent="0.45">
      <c r="A26" s="64"/>
    </row>
    <row r="27" spans="1:10" ht="14.25" x14ac:dyDescent="0.45">
      <c r="A27" s="64"/>
    </row>
    <row r="28" spans="1:10" ht="21" x14ac:dyDescent="0.65">
      <c r="A28" s="129" t="s">
        <v>161</v>
      </c>
    </row>
    <row r="29" spans="1:10" ht="30" customHeight="1" x14ac:dyDescent="0.45">
      <c r="A29" s="119" t="s">
        <v>78</v>
      </c>
      <c r="B29" s="119" t="s">
        <v>79</v>
      </c>
      <c r="C29" s="119" t="s">
        <v>208</v>
      </c>
      <c r="D29" s="119" t="s">
        <v>1244</v>
      </c>
      <c r="E29" s="119" t="s">
        <v>1245</v>
      </c>
      <c r="F29" s="119" t="s">
        <v>125</v>
      </c>
    </row>
    <row r="30" spans="1:10" ht="14.25" x14ac:dyDescent="0.45">
      <c r="A30" t="s">
        <v>161</v>
      </c>
      <c r="B30">
        <f>ROW()</f>
        <v>30</v>
      </c>
      <c r="D30" t="s">
        <v>1260</v>
      </c>
      <c r="E30" t="s">
        <v>130</v>
      </c>
      <c r="F30" s="241"/>
    </row>
    <row r="31" spans="1:10" ht="14.25" x14ac:dyDescent="0.45"/>
    <row r="32" spans="1:10" ht="14.25" x14ac:dyDescent="0.45"/>
    <row r="33" spans="1:10" ht="14.25" x14ac:dyDescent="0.45"/>
    <row r="34" spans="1:10" ht="14.25" x14ac:dyDescent="0.45">
      <c r="A34" s="127" t="s">
        <v>171</v>
      </c>
    </row>
    <row r="35" spans="1:10" ht="14.25" x14ac:dyDescent="0.45">
      <c r="A35" s="127" t="s">
        <v>172</v>
      </c>
    </row>
    <row r="36" spans="1:10" ht="14.25" x14ac:dyDescent="0.45"/>
    <row r="37" spans="1:10" ht="14.25" x14ac:dyDescent="0.45"/>
    <row r="38" spans="1:10" ht="21" x14ac:dyDescent="0.65">
      <c r="A38" s="129" t="s">
        <v>771</v>
      </c>
    </row>
    <row r="39" spans="1:10" ht="37.9" customHeight="1" x14ac:dyDescent="0.45">
      <c r="A39" s="119" t="s">
        <v>78</v>
      </c>
      <c r="B39" s="119" t="s">
        <v>79</v>
      </c>
      <c r="C39" s="119" t="s">
        <v>208</v>
      </c>
      <c r="D39" s="119" t="s">
        <v>1244</v>
      </c>
      <c r="E39" s="119" t="s">
        <v>1245</v>
      </c>
      <c r="F39" s="119" t="s">
        <v>963</v>
      </c>
      <c r="G39" s="119" t="s">
        <v>964</v>
      </c>
      <c r="H39" s="119" t="s">
        <v>965</v>
      </c>
    </row>
    <row r="40" spans="1:10" ht="14.65" thickBot="1" x14ac:dyDescent="0.5">
      <c r="A40" t="s">
        <v>771</v>
      </c>
      <c r="B40">
        <f>ROW()</f>
        <v>40</v>
      </c>
      <c r="D40" s="30" t="s">
        <v>173</v>
      </c>
      <c r="F40" s="173"/>
      <c r="G40" s="173"/>
      <c r="H40" s="173"/>
      <c r="J40" s="63" t="s">
        <v>174</v>
      </c>
    </row>
    <row r="41" spans="1:10" ht="14.25" x14ac:dyDescent="0.45">
      <c r="A41" t="s">
        <v>771</v>
      </c>
      <c r="B41">
        <f>ROW()</f>
        <v>41</v>
      </c>
      <c r="C41" t="s">
        <v>214</v>
      </c>
      <c r="D41" t="s">
        <v>173</v>
      </c>
      <c r="E41" t="s">
        <v>1296</v>
      </c>
      <c r="F41" s="173"/>
      <c r="G41" s="173"/>
      <c r="H41" s="173"/>
    </row>
    <row r="42" spans="1:10" ht="14.25" x14ac:dyDescent="0.45">
      <c r="A42" t="s">
        <v>771</v>
      </c>
      <c r="B42">
        <f>ROW()</f>
        <v>42</v>
      </c>
      <c r="C42" t="s">
        <v>212</v>
      </c>
      <c r="D42" t="s">
        <v>173</v>
      </c>
      <c r="E42" t="s">
        <v>448</v>
      </c>
      <c r="F42" s="173"/>
      <c r="G42" s="173"/>
      <c r="H42" s="173"/>
    </row>
    <row r="43" spans="1:10" ht="14.25" x14ac:dyDescent="0.45">
      <c r="A43" t="s">
        <v>771</v>
      </c>
      <c r="B43">
        <f>ROW()</f>
        <v>43</v>
      </c>
      <c r="D43" s="30" t="s">
        <v>1297</v>
      </c>
      <c r="F43" s="171">
        <f>F40+F41-F42</f>
        <v>0</v>
      </c>
      <c r="G43" s="171">
        <f>G40+G41-G42</f>
        <v>0</v>
      </c>
      <c r="H43" s="171">
        <f>H40+H41-H42</f>
        <v>0</v>
      </c>
    </row>
    <row r="44" spans="1:10" ht="14.25" x14ac:dyDescent="0.45"/>
    <row r="45" spans="1:10" ht="14.25" x14ac:dyDescent="0.45"/>
    <row r="46" spans="1:10" ht="21" x14ac:dyDescent="0.65">
      <c r="A46" s="129" t="s">
        <v>175</v>
      </c>
    </row>
    <row r="47" spans="1:10" ht="37.9" customHeight="1" x14ac:dyDescent="0.45">
      <c r="A47" s="119" t="s">
        <v>78</v>
      </c>
      <c r="B47" s="119" t="s">
        <v>79</v>
      </c>
      <c r="C47" s="119" t="s">
        <v>208</v>
      </c>
      <c r="D47" s="119" t="s">
        <v>1244</v>
      </c>
      <c r="E47" s="119" t="s">
        <v>1245</v>
      </c>
      <c r="F47" s="119" t="s">
        <v>963</v>
      </c>
      <c r="G47" s="119" t="s">
        <v>964</v>
      </c>
      <c r="H47" s="119" t="s">
        <v>965</v>
      </c>
    </row>
    <row r="48" spans="1:10" ht="14.65" thickBot="1" x14ac:dyDescent="0.5">
      <c r="A48" t="s">
        <v>175</v>
      </c>
      <c r="B48">
        <f>ROW()</f>
        <v>48</v>
      </c>
      <c r="D48" t="s">
        <v>176</v>
      </c>
      <c r="F48" s="173"/>
      <c r="G48" s="173"/>
      <c r="H48" s="173"/>
      <c r="J48" s="63" t="s">
        <v>174</v>
      </c>
    </row>
    <row r="49" spans="1:8" ht="14.25" x14ac:dyDescent="0.45">
      <c r="A49" t="s">
        <v>175</v>
      </c>
      <c r="B49">
        <f>ROW()</f>
        <v>49</v>
      </c>
      <c r="C49" t="s">
        <v>212</v>
      </c>
      <c r="D49" t="s">
        <v>176</v>
      </c>
      <c r="E49" t="s">
        <v>443</v>
      </c>
      <c r="F49" s="173"/>
      <c r="G49" s="173"/>
      <c r="H49" s="173"/>
    </row>
    <row r="50" spans="1:8" ht="14.25" x14ac:dyDescent="0.45">
      <c r="A50" t="s">
        <v>175</v>
      </c>
      <c r="B50">
        <f>ROW()</f>
        <v>50</v>
      </c>
      <c r="C50" t="s">
        <v>214</v>
      </c>
      <c r="D50" t="s">
        <v>176</v>
      </c>
      <c r="E50" t="s">
        <v>1115</v>
      </c>
      <c r="F50" s="173"/>
      <c r="G50" s="173"/>
      <c r="H50" s="173"/>
    </row>
    <row r="51" spans="1:8" ht="14.25" x14ac:dyDescent="0.45">
      <c r="A51" t="s">
        <v>175</v>
      </c>
      <c r="B51">
        <f>ROW()</f>
        <v>51</v>
      </c>
      <c r="C51" t="s">
        <v>212</v>
      </c>
      <c r="D51" t="s">
        <v>176</v>
      </c>
      <c r="E51" t="s">
        <v>1116</v>
      </c>
      <c r="F51" s="173"/>
      <c r="G51" s="173"/>
      <c r="H51" s="173"/>
    </row>
    <row r="52" spans="1:8" ht="14.25" x14ac:dyDescent="0.45">
      <c r="A52" t="s">
        <v>175</v>
      </c>
      <c r="B52">
        <f>ROW()</f>
        <v>52</v>
      </c>
      <c r="C52" t="s">
        <v>214</v>
      </c>
      <c r="D52" t="s">
        <v>176</v>
      </c>
      <c r="E52" t="s">
        <v>120</v>
      </c>
      <c r="F52" s="173"/>
      <c r="G52" s="173"/>
      <c r="H52" s="173"/>
    </row>
    <row r="53" spans="1:8" ht="14.25" x14ac:dyDescent="0.45">
      <c r="A53" t="s">
        <v>175</v>
      </c>
      <c r="B53">
        <f>ROW()</f>
        <v>53</v>
      </c>
      <c r="C53" t="s">
        <v>214</v>
      </c>
      <c r="D53" t="s">
        <v>176</v>
      </c>
      <c r="E53" t="s">
        <v>1117</v>
      </c>
      <c r="F53" s="173"/>
      <c r="G53" s="173"/>
      <c r="H53" s="173"/>
    </row>
    <row r="54" spans="1:8" ht="14.25" x14ac:dyDescent="0.45">
      <c r="A54" t="s">
        <v>175</v>
      </c>
      <c r="B54">
        <f>ROW()</f>
        <v>54</v>
      </c>
      <c r="D54" s="30" t="s">
        <v>177</v>
      </c>
      <c r="F54" s="171">
        <f>F48-F49+F50-F51+F52+F53</f>
        <v>0</v>
      </c>
      <c r="G54" s="171">
        <f>G48-G49+G50-G51+G52+G53</f>
        <v>0</v>
      </c>
      <c r="H54" s="171">
        <f>H48-H49+H50-H51+H52+H53</f>
        <v>0</v>
      </c>
    </row>
  </sheetData>
  <pageMargins left="0.7" right="0.7" top="0.75" bottom="0.75" header="0.3" footer="0.3"/>
  <pageSetup paperSize="9" scale="51" fitToHeight="0" orientation="landscape" r:id="rId1"/>
  <tableParts count="4">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A44FE-15ED-43E8-8FE4-EC98E0F27EC1}">
  <sheetPr codeName="Sheet9">
    <pageSetUpPr fitToPage="1"/>
  </sheetPr>
  <dimension ref="A1:N76"/>
  <sheetViews>
    <sheetView zoomScale="85" zoomScaleNormal="85" workbookViewId="0"/>
  </sheetViews>
  <sheetFormatPr defaultRowHeight="14.45" customHeight="1" x14ac:dyDescent="0.45"/>
  <cols>
    <col min="1" max="1" width="37.73046875" customWidth="1"/>
    <col min="2" max="2" width="9" bestFit="1" customWidth="1"/>
    <col min="3" max="3" width="34" customWidth="1"/>
    <col min="4" max="4" width="48.265625" customWidth="1"/>
    <col min="5" max="5" width="37.73046875" customWidth="1"/>
    <col min="6" max="14" width="15.59765625" customWidth="1"/>
    <col min="15" max="15" width="2.73046875" customWidth="1"/>
  </cols>
  <sheetData>
    <row r="1" spans="1:8" ht="23.25" x14ac:dyDescent="0.45">
      <c r="A1" s="146" t="s">
        <v>1156</v>
      </c>
    </row>
    <row r="2" spans="1:8" ht="21" x14ac:dyDescent="0.65">
      <c r="A2" s="129" t="s">
        <v>179</v>
      </c>
    </row>
    <row r="3" spans="1:8" ht="37.9" customHeight="1" x14ac:dyDescent="0.45">
      <c r="A3" s="119" t="s">
        <v>78</v>
      </c>
      <c r="B3" s="119" t="s">
        <v>79</v>
      </c>
      <c r="C3" s="119" t="s">
        <v>1244</v>
      </c>
      <c r="D3" s="119" t="s">
        <v>1245</v>
      </c>
      <c r="E3" s="119" t="s">
        <v>178</v>
      </c>
      <c r="F3" s="119" t="s">
        <v>963</v>
      </c>
      <c r="G3" s="119" t="s">
        <v>964</v>
      </c>
      <c r="H3" s="119" t="s">
        <v>965</v>
      </c>
    </row>
    <row r="4" spans="1:8" ht="14.25" x14ac:dyDescent="0.45">
      <c r="A4" t="s">
        <v>179</v>
      </c>
      <c r="B4">
        <f>ROW()</f>
        <v>4</v>
      </c>
      <c r="C4" t="s">
        <v>180</v>
      </c>
      <c r="D4" t="s">
        <v>181</v>
      </c>
      <c r="E4" t="s">
        <v>182</v>
      </c>
      <c r="F4" s="65"/>
      <c r="G4" s="65"/>
      <c r="H4" s="75">
        <f>SUM(tb_4a_4ai_4.11_1[[#This Row],[PQ FFLAS|
($000)]:[ID-only FFLAS|
($000)]])</f>
        <v>0</v>
      </c>
    </row>
    <row r="5" spans="1:8" ht="14.25" x14ac:dyDescent="0.45">
      <c r="A5" t="s">
        <v>179</v>
      </c>
      <c r="B5">
        <f>ROW()</f>
        <v>5</v>
      </c>
      <c r="C5" t="s">
        <v>180</v>
      </c>
      <c r="D5" t="s">
        <v>181</v>
      </c>
      <c r="E5" t="s">
        <v>183</v>
      </c>
      <c r="F5" s="65"/>
      <c r="G5" s="65"/>
      <c r="H5" s="75">
        <f>SUM(tb_4a_4ai_4.11_1[[#This Row],[PQ FFLAS|
($000)]:[ID-only FFLAS|
($000)]])</f>
        <v>0</v>
      </c>
    </row>
    <row r="6" spans="1:8" ht="14.25" x14ac:dyDescent="0.45">
      <c r="A6" t="s">
        <v>179</v>
      </c>
      <c r="B6">
        <f>ROW()</f>
        <v>6</v>
      </c>
      <c r="C6" t="s">
        <v>180</v>
      </c>
      <c r="D6" t="s">
        <v>181</v>
      </c>
      <c r="E6" t="s">
        <v>184</v>
      </c>
      <c r="F6" s="75">
        <f>SUM(F4:F5)</f>
        <v>0</v>
      </c>
      <c r="G6" s="75">
        <f>SUM(G4:G5)</f>
        <v>0</v>
      </c>
      <c r="H6" s="75">
        <f>SUM(tb_4a_4ai_4.11_1[[#This Row],[PQ FFLAS|
($000)]:[ID-only FFLAS|
($000)]])</f>
        <v>0</v>
      </c>
    </row>
    <row r="7" spans="1:8" ht="14.25" x14ac:dyDescent="0.45">
      <c r="A7" t="s">
        <v>179</v>
      </c>
      <c r="B7">
        <f>ROW()</f>
        <v>7</v>
      </c>
      <c r="C7" t="s">
        <v>180</v>
      </c>
      <c r="D7" t="s">
        <v>185</v>
      </c>
      <c r="E7" t="s">
        <v>182</v>
      </c>
      <c r="F7" s="65"/>
      <c r="G7" s="65"/>
      <c r="H7" s="75">
        <f>SUM(tb_4a_4ai_4.11_1[[#This Row],[PQ FFLAS|
($000)]:[ID-only FFLAS|
($000)]])</f>
        <v>0</v>
      </c>
    </row>
    <row r="8" spans="1:8" ht="14.25" x14ac:dyDescent="0.45">
      <c r="A8" t="s">
        <v>179</v>
      </c>
      <c r="B8">
        <f>ROW()</f>
        <v>8</v>
      </c>
      <c r="C8" t="s">
        <v>180</v>
      </c>
      <c r="D8" t="s">
        <v>185</v>
      </c>
      <c r="E8" t="s">
        <v>183</v>
      </c>
      <c r="F8" s="65"/>
      <c r="G8" s="65"/>
      <c r="H8" s="75">
        <f>SUM(tb_4a_4ai_4.11_1[[#This Row],[PQ FFLAS|
($000)]:[ID-only FFLAS|
($000)]])</f>
        <v>0</v>
      </c>
    </row>
    <row r="9" spans="1:8" ht="14.25" x14ac:dyDescent="0.45">
      <c r="A9" t="s">
        <v>179</v>
      </c>
      <c r="B9">
        <f>ROW()</f>
        <v>9</v>
      </c>
      <c r="C9" t="s">
        <v>180</v>
      </c>
      <c r="D9" t="s">
        <v>185</v>
      </c>
      <c r="E9" t="s">
        <v>184</v>
      </c>
      <c r="F9" s="75">
        <f>SUM(F7:F8)</f>
        <v>0</v>
      </c>
      <c r="G9" s="75">
        <f>SUM(G7:G8)</f>
        <v>0</v>
      </c>
      <c r="H9" s="75">
        <f>SUM(tb_4a_4ai_4.11_1[[#This Row],[PQ FFLAS|
($000)]:[ID-only FFLAS|
($000)]])</f>
        <v>0</v>
      </c>
    </row>
    <row r="10" spans="1:8" ht="14.25" x14ac:dyDescent="0.45">
      <c r="A10" t="s">
        <v>179</v>
      </c>
      <c r="B10">
        <f>ROW()</f>
        <v>10</v>
      </c>
      <c r="C10" t="s">
        <v>180</v>
      </c>
      <c r="D10" t="s">
        <v>186</v>
      </c>
      <c r="E10" t="s">
        <v>182</v>
      </c>
      <c r="F10" s="65"/>
      <c r="G10" s="65"/>
      <c r="H10" s="75">
        <f>SUM(tb_4a_4ai_4.11_1[[#This Row],[PQ FFLAS|
($000)]:[ID-only FFLAS|
($000)]])</f>
        <v>0</v>
      </c>
    </row>
    <row r="11" spans="1:8" ht="14.25" x14ac:dyDescent="0.45">
      <c r="A11" t="s">
        <v>179</v>
      </c>
      <c r="B11">
        <f>ROW()</f>
        <v>11</v>
      </c>
      <c r="C11" t="s">
        <v>180</v>
      </c>
      <c r="D11" t="s">
        <v>186</v>
      </c>
      <c r="E11" t="s">
        <v>183</v>
      </c>
      <c r="F11" s="65"/>
      <c r="G11" s="65"/>
      <c r="H11" s="75">
        <f>SUM(tb_4a_4ai_4.11_1[[#This Row],[PQ FFLAS|
($000)]:[ID-only FFLAS|
($000)]])</f>
        <v>0</v>
      </c>
    </row>
    <row r="12" spans="1:8" ht="14.25" x14ac:dyDescent="0.45">
      <c r="A12" t="s">
        <v>179</v>
      </c>
      <c r="B12">
        <f>ROW()</f>
        <v>12</v>
      </c>
      <c r="C12" t="s">
        <v>180</v>
      </c>
      <c r="D12" t="s">
        <v>186</v>
      </c>
      <c r="E12" t="s">
        <v>184</v>
      </c>
      <c r="F12" s="75">
        <f>SUM(F10:F11)</f>
        <v>0</v>
      </c>
      <c r="G12" s="75">
        <f>SUM(G10:G11)</f>
        <v>0</v>
      </c>
      <c r="H12" s="75">
        <f>SUM(tb_4a_4ai_4.11_1[[#This Row],[PQ FFLAS|
($000)]:[ID-only FFLAS|
($000)]])</f>
        <v>0</v>
      </c>
    </row>
    <row r="13" spans="1:8" ht="14.25" x14ac:dyDescent="0.45">
      <c r="A13" t="s">
        <v>179</v>
      </c>
      <c r="B13">
        <f>ROW()</f>
        <v>13</v>
      </c>
      <c r="C13" t="s">
        <v>180</v>
      </c>
      <c r="D13" t="s">
        <v>187</v>
      </c>
      <c r="E13" t="s">
        <v>182</v>
      </c>
      <c r="F13" s="65"/>
      <c r="G13" s="65"/>
      <c r="H13" s="75">
        <f>SUM(tb_4a_4ai_4.11_1[[#This Row],[PQ FFLAS|
($000)]:[ID-only FFLAS|
($000)]])</f>
        <v>0</v>
      </c>
    </row>
    <row r="14" spans="1:8" ht="14.25" x14ac:dyDescent="0.45">
      <c r="A14" t="s">
        <v>179</v>
      </c>
      <c r="B14">
        <f>ROW()</f>
        <v>14</v>
      </c>
      <c r="C14" t="s">
        <v>180</v>
      </c>
      <c r="D14" t="s">
        <v>187</v>
      </c>
      <c r="E14" t="s">
        <v>183</v>
      </c>
      <c r="F14" s="65"/>
      <c r="G14" s="65"/>
      <c r="H14" s="75">
        <f>SUM(tb_4a_4ai_4.11_1[[#This Row],[PQ FFLAS|
($000)]:[ID-only FFLAS|
($000)]])</f>
        <v>0</v>
      </c>
    </row>
    <row r="15" spans="1:8" ht="14.25" x14ac:dyDescent="0.45">
      <c r="A15" t="s">
        <v>179</v>
      </c>
      <c r="B15">
        <f>ROW()</f>
        <v>15</v>
      </c>
      <c r="C15" t="s">
        <v>180</v>
      </c>
      <c r="D15" t="s">
        <v>187</v>
      </c>
      <c r="E15" t="s">
        <v>184</v>
      </c>
      <c r="F15" s="75">
        <f>SUM(F13:F14)</f>
        <v>0</v>
      </c>
      <c r="G15" s="75">
        <f>SUM(G13:G14)</f>
        <v>0</v>
      </c>
      <c r="H15" s="75">
        <f>SUM(tb_4a_4ai_4.11_1[[#This Row],[PQ FFLAS|
($000)]:[ID-only FFLAS|
($000)]])</f>
        <v>0</v>
      </c>
    </row>
    <row r="16" spans="1:8" ht="14.25" x14ac:dyDescent="0.45">
      <c r="A16" t="s">
        <v>179</v>
      </c>
      <c r="B16">
        <f>ROW()</f>
        <v>16</v>
      </c>
      <c r="C16" t="s">
        <v>180</v>
      </c>
      <c r="D16" t="s">
        <v>188</v>
      </c>
      <c r="E16" t="s">
        <v>182</v>
      </c>
      <c r="F16" s="65"/>
      <c r="G16" s="65"/>
      <c r="H16" s="75">
        <f>SUM(tb_4a_4ai_4.11_1[[#This Row],[PQ FFLAS|
($000)]:[ID-only FFLAS|
($000)]])</f>
        <v>0</v>
      </c>
    </row>
    <row r="17" spans="1:8" ht="14.25" x14ac:dyDescent="0.45">
      <c r="A17" t="s">
        <v>179</v>
      </c>
      <c r="B17">
        <f>ROW()</f>
        <v>17</v>
      </c>
      <c r="C17" t="s">
        <v>180</v>
      </c>
      <c r="D17" t="s">
        <v>188</v>
      </c>
      <c r="E17" t="s">
        <v>183</v>
      </c>
      <c r="F17" s="65"/>
      <c r="G17" s="65"/>
      <c r="H17" s="75">
        <f>SUM(tb_4a_4ai_4.11_1[[#This Row],[PQ FFLAS|
($000)]:[ID-only FFLAS|
($000)]])</f>
        <v>0</v>
      </c>
    </row>
    <row r="18" spans="1:8" ht="14.25" x14ac:dyDescent="0.45">
      <c r="A18" t="s">
        <v>179</v>
      </c>
      <c r="B18">
        <f>ROW()</f>
        <v>18</v>
      </c>
      <c r="C18" t="s">
        <v>180</v>
      </c>
      <c r="D18" t="s">
        <v>188</v>
      </c>
      <c r="E18" t="s">
        <v>184</v>
      </c>
      <c r="F18" s="75">
        <f>SUM(F16:F17)</f>
        <v>0</v>
      </c>
      <c r="G18" s="75">
        <f>SUM(G16:G17)</f>
        <v>0</v>
      </c>
      <c r="H18" s="75">
        <f>SUM(tb_4a_4ai_4.11_1[[#This Row],[PQ FFLAS|
($000)]:[ID-only FFLAS|
($000)]])</f>
        <v>0</v>
      </c>
    </row>
    <row r="19" spans="1:8" ht="14.25" x14ac:dyDescent="0.45">
      <c r="A19" t="s">
        <v>179</v>
      </c>
      <c r="B19">
        <f>ROW()</f>
        <v>19</v>
      </c>
      <c r="C19" t="s">
        <v>180</v>
      </c>
      <c r="D19" t="s">
        <v>189</v>
      </c>
      <c r="E19" t="s">
        <v>182</v>
      </c>
      <c r="F19" s="65"/>
      <c r="G19" s="65"/>
      <c r="H19" s="75">
        <f>SUM(tb_4a_4ai_4.11_1[[#This Row],[PQ FFLAS|
($000)]:[ID-only FFLAS|
($000)]])</f>
        <v>0</v>
      </c>
    </row>
    <row r="20" spans="1:8" ht="14.25" x14ac:dyDescent="0.45">
      <c r="A20" t="s">
        <v>179</v>
      </c>
      <c r="B20">
        <f>ROW()</f>
        <v>20</v>
      </c>
      <c r="C20" t="s">
        <v>180</v>
      </c>
      <c r="D20" t="s">
        <v>189</v>
      </c>
      <c r="E20" t="s">
        <v>183</v>
      </c>
      <c r="F20" s="65"/>
      <c r="G20" s="65"/>
      <c r="H20" s="75">
        <f>SUM(tb_4a_4ai_4.11_1[[#This Row],[PQ FFLAS|
($000)]:[ID-only FFLAS|
($000)]])</f>
        <v>0</v>
      </c>
    </row>
    <row r="21" spans="1:8" ht="14.25" x14ac:dyDescent="0.45">
      <c r="A21" t="s">
        <v>179</v>
      </c>
      <c r="B21">
        <f>ROW()</f>
        <v>21</v>
      </c>
      <c r="C21" t="s">
        <v>180</v>
      </c>
      <c r="D21" t="s">
        <v>189</v>
      </c>
      <c r="E21" t="s">
        <v>184</v>
      </c>
      <c r="F21" s="75">
        <f>SUM(F19:F20)</f>
        <v>0</v>
      </c>
      <c r="G21" s="75">
        <f>SUM(G19:G20)</f>
        <v>0</v>
      </c>
      <c r="H21" s="75">
        <f>SUM(tb_4a_4ai_4.11_1[[#This Row],[PQ FFLAS|
($000)]:[ID-only FFLAS|
($000)]])</f>
        <v>0</v>
      </c>
    </row>
    <row r="22" spans="1:8" ht="14.25" x14ac:dyDescent="0.45">
      <c r="A22" t="s">
        <v>179</v>
      </c>
      <c r="B22">
        <f>ROW()</f>
        <v>22</v>
      </c>
      <c r="C22" t="s">
        <v>180</v>
      </c>
      <c r="D22" t="s">
        <v>190</v>
      </c>
      <c r="E22" t="s">
        <v>182</v>
      </c>
      <c r="F22" s="65"/>
      <c r="G22" s="65"/>
      <c r="H22" s="75">
        <f>SUM(tb_4a_4ai_4.11_1[[#This Row],[PQ FFLAS|
($000)]:[ID-only FFLAS|
($000)]])</f>
        <v>0</v>
      </c>
    </row>
    <row r="23" spans="1:8" ht="14.25" x14ac:dyDescent="0.45">
      <c r="A23" t="s">
        <v>179</v>
      </c>
      <c r="B23">
        <f>ROW()</f>
        <v>23</v>
      </c>
      <c r="C23" t="s">
        <v>180</v>
      </c>
      <c r="D23" t="s">
        <v>190</v>
      </c>
      <c r="E23" t="s">
        <v>183</v>
      </c>
      <c r="F23" s="65"/>
      <c r="G23" s="65"/>
      <c r="H23" s="75">
        <f>SUM(tb_4a_4ai_4.11_1[[#This Row],[PQ FFLAS|
($000)]:[ID-only FFLAS|
($000)]])</f>
        <v>0</v>
      </c>
    </row>
    <row r="24" spans="1:8" ht="14.25" x14ac:dyDescent="0.45">
      <c r="A24" t="s">
        <v>179</v>
      </c>
      <c r="B24">
        <f>ROW()</f>
        <v>24</v>
      </c>
      <c r="C24" t="s">
        <v>180</v>
      </c>
      <c r="D24" t="s">
        <v>190</v>
      </c>
      <c r="E24" t="s">
        <v>184</v>
      </c>
      <c r="F24" s="75">
        <f>SUM(F22:F23)</f>
        <v>0</v>
      </c>
      <c r="G24" s="75">
        <f>SUM(G22:G23)</f>
        <v>0</v>
      </c>
      <c r="H24" s="75">
        <f>SUM(tb_4a_4ai_4.11_1[[#This Row],[PQ FFLAS|
($000)]:[ID-only FFLAS|
($000)]])</f>
        <v>0</v>
      </c>
    </row>
    <row r="25" spans="1:8" ht="14.25" x14ac:dyDescent="0.45">
      <c r="A25" t="s">
        <v>179</v>
      </c>
      <c r="B25">
        <f>ROW()</f>
        <v>25</v>
      </c>
      <c r="C25" t="s">
        <v>180</v>
      </c>
      <c r="D25" t="s">
        <v>191</v>
      </c>
      <c r="E25" t="s">
        <v>182</v>
      </c>
      <c r="F25" s="65"/>
      <c r="G25" s="65"/>
      <c r="H25" s="75">
        <f>SUM(tb_4a_4ai_4.11_1[[#This Row],[PQ FFLAS|
($000)]:[ID-only FFLAS|
($000)]])</f>
        <v>0</v>
      </c>
    </row>
    <row r="26" spans="1:8" ht="14.25" x14ac:dyDescent="0.45">
      <c r="A26" t="s">
        <v>179</v>
      </c>
      <c r="B26">
        <f>ROW()</f>
        <v>26</v>
      </c>
      <c r="C26" t="s">
        <v>180</v>
      </c>
      <c r="D26" t="s">
        <v>191</v>
      </c>
      <c r="E26" t="s">
        <v>183</v>
      </c>
      <c r="F26" s="65"/>
      <c r="G26" s="65"/>
      <c r="H26" s="75">
        <f>SUM(tb_4a_4ai_4.11_1[[#This Row],[PQ FFLAS|
($000)]:[ID-only FFLAS|
($000)]])</f>
        <v>0</v>
      </c>
    </row>
    <row r="27" spans="1:8" ht="14.25" x14ac:dyDescent="0.45">
      <c r="A27" t="s">
        <v>179</v>
      </c>
      <c r="B27">
        <f>ROW()</f>
        <v>27</v>
      </c>
      <c r="C27" t="s">
        <v>180</v>
      </c>
      <c r="D27" t="s">
        <v>191</v>
      </c>
      <c r="E27" t="s">
        <v>184</v>
      </c>
      <c r="F27" s="75">
        <f>SUM(F25:F26)</f>
        <v>0</v>
      </c>
      <c r="G27" s="75">
        <f>SUM(G25:G26)</f>
        <v>0</v>
      </c>
      <c r="H27" s="75">
        <f>SUM(tb_4a_4ai_4.11_1[[#This Row],[PQ FFLAS|
($000)]:[ID-only FFLAS|
($000)]])</f>
        <v>0</v>
      </c>
    </row>
    <row r="28" spans="1:8" ht="14.25" x14ac:dyDescent="0.45">
      <c r="A28" t="s">
        <v>179</v>
      </c>
      <c r="B28">
        <f>ROW()</f>
        <v>28</v>
      </c>
      <c r="C28" t="s">
        <v>192</v>
      </c>
      <c r="D28" t="s">
        <v>188</v>
      </c>
      <c r="E28" t="s">
        <v>182</v>
      </c>
      <c r="F28" s="65"/>
      <c r="G28" s="65"/>
      <c r="H28" s="75">
        <f>SUM(tb_4a_4ai_4.11_1[[#This Row],[PQ FFLAS|
($000)]:[ID-only FFLAS|
($000)]])</f>
        <v>0</v>
      </c>
    </row>
    <row r="29" spans="1:8" ht="14.25" x14ac:dyDescent="0.45">
      <c r="A29" t="s">
        <v>179</v>
      </c>
      <c r="B29">
        <f>ROW()</f>
        <v>29</v>
      </c>
      <c r="C29" t="s">
        <v>192</v>
      </c>
      <c r="D29" t="s">
        <v>188</v>
      </c>
      <c r="E29" t="s">
        <v>183</v>
      </c>
      <c r="F29" s="65"/>
      <c r="G29" s="65"/>
      <c r="H29" s="75">
        <f>SUM(tb_4a_4ai_4.11_1[[#This Row],[PQ FFLAS|
($000)]:[ID-only FFLAS|
($000)]])</f>
        <v>0</v>
      </c>
    </row>
    <row r="30" spans="1:8" ht="14.25" x14ac:dyDescent="0.45">
      <c r="A30" t="s">
        <v>179</v>
      </c>
      <c r="B30">
        <f>ROW()</f>
        <v>30</v>
      </c>
      <c r="C30" t="s">
        <v>192</v>
      </c>
      <c r="D30" t="s">
        <v>188</v>
      </c>
      <c r="E30" t="s">
        <v>184</v>
      </c>
      <c r="F30" s="75">
        <f>SUM(F28:F29)</f>
        <v>0</v>
      </c>
      <c r="G30" s="75">
        <f>SUM(G28:G29)</f>
        <v>0</v>
      </c>
      <c r="H30" s="75">
        <f>SUM(tb_4a_4ai_4.11_1[[#This Row],[PQ FFLAS|
($000)]:[ID-only FFLAS|
($000)]])</f>
        <v>0</v>
      </c>
    </row>
    <row r="31" spans="1:8" ht="14.25" x14ac:dyDescent="0.45">
      <c r="A31" t="s">
        <v>179</v>
      </c>
      <c r="B31">
        <f>ROW()</f>
        <v>31</v>
      </c>
      <c r="C31" t="s">
        <v>192</v>
      </c>
      <c r="D31" t="s">
        <v>189</v>
      </c>
      <c r="E31" t="s">
        <v>182</v>
      </c>
      <c r="F31" s="65"/>
      <c r="G31" s="65"/>
      <c r="H31" s="75">
        <f>SUM(tb_4a_4ai_4.11_1[[#This Row],[PQ FFLAS|
($000)]:[ID-only FFLAS|
($000)]])</f>
        <v>0</v>
      </c>
    </row>
    <row r="32" spans="1:8" ht="14.25" x14ac:dyDescent="0.45">
      <c r="A32" t="s">
        <v>179</v>
      </c>
      <c r="B32">
        <f>ROW()</f>
        <v>32</v>
      </c>
      <c r="C32" t="s">
        <v>192</v>
      </c>
      <c r="D32" t="s">
        <v>189</v>
      </c>
      <c r="E32" t="s">
        <v>183</v>
      </c>
      <c r="F32" s="65"/>
      <c r="G32" s="65"/>
      <c r="H32" s="75">
        <f>SUM(tb_4a_4ai_4.11_1[[#This Row],[PQ FFLAS|
($000)]:[ID-only FFLAS|
($000)]])</f>
        <v>0</v>
      </c>
    </row>
    <row r="33" spans="1:8" ht="14.25" x14ac:dyDescent="0.45">
      <c r="A33" t="s">
        <v>179</v>
      </c>
      <c r="B33">
        <f>ROW()</f>
        <v>33</v>
      </c>
      <c r="C33" t="s">
        <v>192</v>
      </c>
      <c r="D33" t="s">
        <v>189</v>
      </c>
      <c r="E33" t="s">
        <v>184</v>
      </c>
      <c r="F33" s="75">
        <f>SUM(F31:F32)</f>
        <v>0</v>
      </c>
      <c r="G33" s="75">
        <f>SUM(G31:G32)</f>
        <v>0</v>
      </c>
      <c r="H33" s="75">
        <f>SUM(tb_4a_4ai_4.11_1[[#This Row],[PQ FFLAS|
($000)]:[ID-only FFLAS|
($000)]])</f>
        <v>0</v>
      </c>
    </row>
    <row r="34" spans="1:8" ht="14.25" x14ac:dyDescent="0.45">
      <c r="A34" t="s">
        <v>179</v>
      </c>
      <c r="B34">
        <f>ROW()</f>
        <v>34</v>
      </c>
      <c r="C34" t="s">
        <v>192</v>
      </c>
      <c r="D34" t="s">
        <v>190</v>
      </c>
      <c r="E34" t="s">
        <v>182</v>
      </c>
      <c r="F34" s="65"/>
      <c r="G34" s="65"/>
      <c r="H34" s="75">
        <f>SUM(tb_4a_4ai_4.11_1[[#This Row],[PQ FFLAS|
($000)]:[ID-only FFLAS|
($000)]])</f>
        <v>0</v>
      </c>
    </row>
    <row r="35" spans="1:8" ht="14.25" x14ac:dyDescent="0.45">
      <c r="A35" t="s">
        <v>179</v>
      </c>
      <c r="B35">
        <f>ROW()</f>
        <v>35</v>
      </c>
      <c r="C35" t="s">
        <v>192</v>
      </c>
      <c r="D35" t="s">
        <v>190</v>
      </c>
      <c r="E35" t="s">
        <v>183</v>
      </c>
      <c r="F35" s="65"/>
      <c r="G35" s="65"/>
      <c r="H35" s="75">
        <f>SUM(tb_4a_4ai_4.11_1[[#This Row],[PQ FFLAS|
($000)]:[ID-only FFLAS|
($000)]])</f>
        <v>0</v>
      </c>
    </row>
    <row r="36" spans="1:8" ht="14.25" x14ac:dyDescent="0.45">
      <c r="A36" t="s">
        <v>179</v>
      </c>
      <c r="B36">
        <f>ROW()</f>
        <v>36</v>
      </c>
      <c r="C36" t="s">
        <v>192</v>
      </c>
      <c r="D36" t="s">
        <v>190</v>
      </c>
      <c r="E36" t="s">
        <v>184</v>
      </c>
      <c r="F36" s="75">
        <f>SUM(F34:F35)</f>
        <v>0</v>
      </c>
      <c r="G36" s="75">
        <f>SUM(G34:G35)</f>
        <v>0</v>
      </c>
      <c r="H36" s="75">
        <f>SUM(tb_4a_4ai_4.11_1[[#This Row],[PQ FFLAS|
($000)]:[ID-only FFLAS|
($000)]])</f>
        <v>0</v>
      </c>
    </row>
    <row r="37" spans="1:8" ht="14.25" x14ac:dyDescent="0.45">
      <c r="A37" t="s">
        <v>179</v>
      </c>
      <c r="B37">
        <f>ROW()</f>
        <v>37</v>
      </c>
      <c r="C37" t="s">
        <v>192</v>
      </c>
      <c r="D37" t="s">
        <v>193</v>
      </c>
      <c r="E37" t="s">
        <v>182</v>
      </c>
      <c r="F37" s="65"/>
      <c r="G37" s="65"/>
      <c r="H37" s="75">
        <f>SUM(tb_4a_4ai_4.11_1[[#This Row],[PQ FFLAS|
($000)]:[ID-only FFLAS|
($000)]])</f>
        <v>0</v>
      </c>
    </row>
    <row r="38" spans="1:8" ht="14.25" x14ac:dyDescent="0.45">
      <c r="A38" t="s">
        <v>179</v>
      </c>
      <c r="B38">
        <f>ROW()</f>
        <v>38</v>
      </c>
      <c r="C38" t="s">
        <v>192</v>
      </c>
      <c r="D38" t="s">
        <v>193</v>
      </c>
      <c r="E38" t="s">
        <v>183</v>
      </c>
      <c r="F38" s="65"/>
      <c r="G38" s="65"/>
      <c r="H38" s="75">
        <f>SUM(tb_4a_4ai_4.11_1[[#This Row],[PQ FFLAS|
($000)]:[ID-only FFLAS|
($000)]])</f>
        <v>0</v>
      </c>
    </row>
    <row r="39" spans="1:8" ht="14.25" x14ac:dyDescent="0.45">
      <c r="A39" t="s">
        <v>179</v>
      </c>
      <c r="B39">
        <f>ROW()</f>
        <v>39</v>
      </c>
      <c r="C39" t="s">
        <v>192</v>
      </c>
      <c r="D39" t="s">
        <v>193</v>
      </c>
      <c r="E39" t="s">
        <v>184</v>
      </c>
      <c r="F39" s="75">
        <f>SUM(F37:F38)</f>
        <v>0</v>
      </c>
      <c r="G39" s="75">
        <f>SUM(G37:G38)</f>
        <v>0</v>
      </c>
      <c r="H39" s="75">
        <f>SUM(tb_4a_4ai_4.11_1[[#This Row],[PQ FFLAS|
($000)]:[ID-only FFLAS|
($000)]])</f>
        <v>0</v>
      </c>
    </row>
    <row r="40" spans="1:8" ht="14.25" x14ac:dyDescent="0.45">
      <c r="A40" t="s">
        <v>179</v>
      </c>
      <c r="B40">
        <f>ROW()</f>
        <v>40</v>
      </c>
      <c r="C40" t="s">
        <v>194</v>
      </c>
      <c r="D40" t="s">
        <v>195</v>
      </c>
      <c r="E40" t="s">
        <v>182</v>
      </c>
      <c r="F40" s="65"/>
      <c r="G40" s="65"/>
      <c r="H40" s="75">
        <f>SUM(tb_4a_4ai_4.11_1[[#This Row],[PQ FFLAS|
($000)]:[ID-only FFLAS|
($000)]])</f>
        <v>0</v>
      </c>
    </row>
    <row r="41" spans="1:8" ht="14.25" x14ac:dyDescent="0.45">
      <c r="A41" t="s">
        <v>179</v>
      </c>
      <c r="B41">
        <f>ROW()</f>
        <v>41</v>
      </c>
      <c r="C41" t="s">
        <v>194</v>
      </c>
      <c r="D41" t="s">
        <v>195</v>
      </c>
      <c r="E41" t="s">
        <v>183</v>
      </c>
      <c r="F41" s="65"/>
      <c r="G41" s="65"/>
      <c r="H41" s="75">
        <f>SUM(tb_4a_4ai_4.11_1[[#This Row],[PQ FFLAS|
($000)]:[ID-only FFLAS|
($000)]])</f>
        <v>0</v>
      </c>
    </row>
    <row r="42" spans="1:8" ht="14.25" x14ac:dyDescent="0.45">
      <c r="A42" t="s">
        <v>179</v>
      </c>
      <c r="B42">
        <f>ROW()</f>
        <v>42</v>
      </c>
      <c r="C42" t="s">
        <v>194</v>
      </c>
      <c r="D42" t="s">
        <v>195</v>
      </c>
      <c r="E42" t="s">
        <v>184</v>
      </c>
      <c r="F42" s="75">
        <f>SUM(F40:F41)</f>
        <v>0</v>
      </c>
      <c r="G42" s="75">
        <f>SUM(G40:G41)</f>
        <v>0</v>
      </c>
      <c r="H42" s="75">
        <f>SUM(tb_4a_4ai_4.11_1[[#This Row],[PQ FFLAS|
($000)]:[ID-only FFLAS|
($000)]])</f>
        <v>0</v>
      </c>
    </row>
    <row r="43" spans="1:8" ht="14.25" x14ac:dyDescent="0.45">
      <c r="A43" t="s">
        <v>179</v>
      </c>
      <c r="B43">
        <f>ROW()</f>
        <v>43</v>
      </c>
      <c r="C43" t="s">
        <v>194</v>
      </c>
      <c r="D43" t="s">
        <v>196</v>
      </c>
      <c r="E43" t="s">
        <v>182</v>
      </c>
      <c r="F43" s="65"/>
      <c r="G43" s="65"/>
      <c r="H43" s="75">
        <f>SUM(tb_4a_4ai_4.11_1[[#This Row],[PQ FFLAS|
($000)]:[ID-only FFLAS|
($000)]])</f>
        <v>0</v>
      </c>
    </row>
    <row r="44" spans="1:8" ht="14.25" x14ac:dyDescent="0.45">
      <c r="A44" t="s">
        <v>179</v>
      </c>
      <c r="B44">
        <f>ROW()</f>
        <v>44</v>
      </c>
      <c r="C44" t="s">
        <v>194</v>
      </c>
      <c r="D44" t="s">
        <v>196</v>
      </c>
      <c r="E44" t="s">
        <v>183</v>
      </c>
      <c r="F44" s="65"/>
      <c r="G44" s="65"/>
      <c r="H44" s="75">
        <f>SUM(tb_4a_4ai_4.11_1[[#This Row],[PQ FFLAS|
($000)]:[ID-only FFLAS|
($000)]])</f>
        <v>0</v>
      </c>
    </row>
    <row r="45" spans="1:8" ht="14.25" x14ac:dyDescent="0.45">
      <c r="A45" t="s">
        <v>179</v>
      </c>
      <c r="B45">
        <f>ROW()</f>
        <v>45</v>
      </c>
      <c r="C45" t="s">
        <v>194</v>
      </c>
      <c r="D45" t="s">
        <v>196</v>
      </c>
      <c r="E45" t="s">
        <v>184</v>
      </c>
      <c r="F45" s="75">
        <f>SUM(F43:F44)</f>
        <v>0</v>
      </c>
      <c r="G45" s="75">
        <f>SUM(G43:G44)</f>
        <v>0</v>
      </c>
      <c r="H45" s="75">
        <f>SUM(tb_4a_4ai_4.11_1[[#This Row],[PQ FFLAS|
($000)]:[ID-only FFLAS|
($000)]])</f>
        <v>0</v>
      </c>
    </row>
    <row r="46" spans="1:8" ht="14.25" x14ac:dyDescent="0.45">
      <c r="A46" t="s">
        <v>179</v>
      </c>
      <c r="B46">
        <f>ROW()</f>
        <v>46</v>
      </c>
      <c r="C46" t="s">
        <v>197</v>
      </c>
      <c r="D46" t="s">
        <v>198</v>
      </c>
      <c r="E46" t="s">
        <v>182</v>
      </c>
      <c r="F46" s="65"/>
      <c r="G46" s="65"/>
      <c r="H46" s="75">
        <f>SUM(tb_4a_4ai_4.11_1[[#This Row],[PQ FFLAS|
($000)]:[ID-only FFLAS|
($000)]])</f>
        <v>0</v>
      </c>
    </row>
    <row r="47" spans="1:8" ht="14.25" x14ac:dyDescent="0.45">
      <c r="A47" t="s">
        <v>179</v>
      </c>
      <c r="B47">
        <f>ROW()</f>
        <v>47</v>
      </c>
      <c r="C47" t="s">
        <v>197</v>
      </c>
      <c r="D47" t="s">
        <v>198</v>
      </c>
      <c r="E47" t="s">
        <v>183</v>
      </c>
      <c r="F47" s="65"/>
      <c r="G47" s="65"/>
      <c r="H47" s="75">
        <f>SUM(tb_4a_4ai_4.11_1[[#This Row],[PQ FFLAS|
($000)]:[ID-only FFLAS|
($000)]])</f>
        <v>0</v>
      </c>
    </row>
    <row r="48" spans="1:8" ht="14.25" x14ac:dyDescent="0.45">
      <c r="A48" t="s">
        <v>179</v>
      </c>
      <c r="B48">
        <f>ROW()</f>
        <v>48</v>
      </c>
      <c r="C48" t="s">
        <v>197</v>
      </c>
      <c r="D48" t="s">
        <v>198</v>
      </c>
      <c r="E48" t="s">
        <v>184</v>
      </c>
      <c r="F48" s="75">
        <f>SUM(F46:F47)</f>
        <v>0</v>
      </c>
      <c r="G48" s="75">
        <f>SUM(G46:G47)</f>
        <v>0</v>
      </c>
      <c r="H48" s="75">
        <f>SUM(tb_4a_4ai_4.11_1[[#This Row],[PQ FFLAS|
($000)]:[ID-only FFLAS|
($000)]])</f>
        <v>0</v>
      </c>
    </row>
    <row r="49" spans="1:14" ht="14.25" x14ac:dyDescent="0.45">
      <c r="A49" t="s">
        <v>179</v>
      </c>
      <c r="B49">
        <f>ROW()</f>
        <v>49</v>
      </c>
      <c r="C49" t="s">
        <v>197</v>
      </c>
      <c r="D49" t="s">
        <v>199</v>
      </c>
      <c r="E49" t="s">
        <v>182</v>
      </c>
      <c r="F49" s="65"/>
      <c r="G49" s="65"/>
      <c r="H49" s="75">
        <f>SUM(tb_4a_4ai_4.11_1[[#This Row],[PQ FFLAS|
($000)]:[ID-only FFLAS|
($000)]])</f>
        <v>0</v>
      </c>
    </row>
    <row r="50" spans="1:14" ht="14.25" x14ac:dyDescent="0.45">
      <c r="A50" t="s">
        <v>179</v>
      </c>
      <c r="B50">
        <f>ROW()</f>
        <v>50</v>
      </c>
      <c r="C50" t="s">
        <v>197</v>
      </c>
      <c r="D50" t="s">
        <v>199</v>
      </c>
      <c r="E50" t="s">
        <v>183</v>
      </c>
      <c r="F50" s="65"/>
      <c r="G50" s="65"/>
      <c r="H50" s="75">
        <f>SUM(tb_4a_4ai_4.11_1[[#This Row],[PQ FFLAS|
($000)]:[ID-only FFLAS|
($000)]])</f>
        <v>0</v>
      </c>
    </row>
    <row r="51" spans="1:14" ht="14.25" x14ac:dyDescent="0.45">
      <c r="A51" t="s">
        <v>179</v>
      </c>
      <c r="B51">
        <f>ROW()</f>
        <v>51</v>
      </c>
      <c r="C51" t="s">
        <v>197</v>
      </c>
      <c r="D51" t="s">
        <v>199</v>
      </c>
      <c r="E51" t="s">
        <v>184</v>
      </c>
      <c r="F51" s="75">
        <f>SUM(F49:F50)</f>
        <v>0</v>
      </c>
      <c r="G51" s="75">
        <f>SUM(G49:G50)</f>
        <v>0</v>
      </c>
      <c r="H51" s="75">
        <f>SUM(tb_4a_4ai_4.11_1[[#This Row],[PQ FFLAS|
($000)]:[ID-only FFLAS|
($000)]])</f>
        <v>0</v>
      </c>
    </row>
    <row r="52" spans="1:14" ht="14.25" x14ac:dyDescent="0.45">
      <c r="A52" t="s">
        <v>179</v>
      </c>
      <c r="B52">
        <f>ROW()</f>
        <v>52</v>
      </c>
      <c r="C52" t="s">
        <v>197</v>
      </c>
      <c r="D52" t="s">
        <v>200</v>
      </c>
      <c r="E52" t="s">
        <v>182</v>
      </c>
      <c r="F52" s="65"/>
      <c r="G52" s="65"/>
      <c r="H52" s="75">
        <f>SUM(tb_4a_4ai_4.11_1[[#This Row],[PQ FFLAS|
($000)]:[ID-only FFLAS|
($000)]])</f>
        <v>0</v>
      </c>
    </row>
    <row r="53" spans="1:14" ht="14.25" x14ac:dyDescent="0.45">
      <c r="A53" t="s">
        <v>179</v>
      </c>
      <c r="B53">
        <f>ROW()</f>
        <v>53</v>
      </c>
      <c r="C53" t="s">
        <v>197</v>
      </c>
      <c r="D53" t="s">
        <v>200</v>
      </c>
      <c r="E53" t="s">
        <v>183</v>
      </c>
      <c r="F53" s="65"/>
      <c r="G53" s="65"/>
      <c r="H53" s="75">
        <f>SUM(tb_4a_4ai_4.11_1[[#This Row],[PQ FFLAS|
($000)]:[ID-only FFLAS|
($000)]])</f>
        <v>0</v>
      </c>
    </row>
    <row r="54" spans="1:14" ht="14.25" x14ac:dyDescent="0.45">
      <c r="A54" t="s">
        <v>179</v>
      </c>
      <c r="B54">
        <f>ROW()</f>
        <v>54</v>
      </c>
      <c r="C54" t="s">
        <v>197</v>
      </c>
      <c r="D54" t="s">
        <v>200</v>
      </c>
      <c r="E54" t="s">
        <v>184</v>
      </c>
      <c r="F54" s="75">
        <f>SUM(F52:F53)</f>
        <v>0</v>
      </c>
      <c r="G54" s="75">
        <f>SUM(G52:G53)</f>
        <v>0</v>
      </c>
      <c r="H54" s="75">
        <f>SUM(tb_4a_4ai_4.11_1[[#This Row],[PQ FFLAS|
($000)]:[ID-only FFLAS|
($000)]])</f>
        <v>0</v>
      </c>
    </row>
    <row r="55" spans="1:14" ht="14.25" x14ac:dyDescent="0.45">
      <c r="A55" t="s">
        <v>179</v>
      </c>
      <c r="B55">
        <f>ROW()</f>
        <v>55</v>
      </c>
      <c r="C55" t="s">
        <v>197</v>
      </c>
      <c r="D55" s="30" t="s">
        <v>201</v>
      </c>
      <c r="F55" s="75">
        <f>SUM(F4,F7,F10,F13,F16,F19,F22,F25,F28,F31,F34,F37,F40,F43,F46,F49,F52)</f>
        <v>0</v>
      </c>
      <c r="G55" s="75">
        <f>SUM(G4,G7,G10,G13,G16,G19,G22,G25,G28,G31,G34,G37,G40,G43,G46,G49,G52)</f>
        <v>0</v>
      </c>
      <c r="H55" s="75">
        <f>SUM(tb_4a_4ai_4.11_1[[#This Row],[PQ FFLAS|
($000)]:[ID-only FFLAS|
($000)]])</f>
        <v>0</v>
      </c>
    </row>
    <row r="56" spans="1:14" ht="14.25" x14ac:dyDescent="0.45">
      <c r="A56" t="s">
        <v>179</v>
      </c>
      <c r="B56">
        <f>ROW()</f>
        <v>56</v>
      </c>
      <c r="C56" t="s">
        <v>197</v>
      </c>
      <c r="D56" s="30" t="s">
        <v>202</v>
      </c>
      <c r="F56" s="75">
        <f>SUM(F5,F8,F11,F14,F17,F20,F23,F26,F29,F32,F35,F38,F41,F44,F47,F50,F53)</f>
        <v>0</v>
      </c>
      <c r="G56" s="75">
        <f>SUM(G5,G8,G11,G14,G17,G20,G23,G26,G29,G32,G35,G38,G41,G44,G47,G50,G53)</f>
        <v>0</v>
      </c>
      <c r="H56" s="75">
        <f>SUM(tb_4a_4ai_4.11_1[[#This Row],[PQ FFLAS|
($000)]:[ID-only FFLAS|
($000)]])</f>
        <v>0</v>
      </c>
    </row>
    <row r="57" spans="1:14" ht="14.25" x14ac:dyDescent="0.45">
      <c r="A57" t="s">
        <v>179</v>
      </c>
      <c r="B57">
        <f>ROW()</f>
        <v>57</v>
      </c>
      <c r="C57" t="s">
        <v>197</v>
      </c>
      <c r="D57" s="30" t="s">
        <v>203</v>
      </c>
      <c r="F57" s="65"/>
      <c r="G57" s="78"/>
      <c r="H57" s="75">
        <f>SUM(tb_4a_4ai_4.11_1[[#This Row],[PQ FFLAS|
($000)]:[ID-only FFLAS|
($000)]])</f>
        <v>0</v>
      </c>
    </row>
    <row r="58" spans="1:14" ht="14.25" x14ac:dyDescent="0.45">
      <c r="A58" t="s">
        <v>179</v>
      </c>
      <c r="B58">
        <f>ROW()</f>
        <v>58</v>
      </c>
      <c r="C58" t="s">
        <v>197</v>
      </c>
      <c r="D58" s="30" t="s">
        <v>119</v>
      </c>
      <c r="F58" s="75">
        <f>SUM(F6,F9,F12,F15,F18,F21,F24,F27,F30,F33,F36,F39,F42,F45,F48,F51,F54,F57)</f>
        <v>0</v>
      </c>
      <c r="G58" s="75">
        <f>SUM(G6,G9,G12,G15,G18,G21,G24,G27,G30,G33,G36,G39,G42,G45,G48,G51,G54)</f>
        <v>0</v>
      </c>
      <c r="H58" s="75">
        <f>SUM(tb_4a_4ai_4.11_1[[#This Row],[PQ FFLAS|
($000)]:[ID-only FFLAS|
($000)]])</f>
        <v>0</v>
      </c>
      <c r="J58" s="76" t="s">
        <v>204</v>
      </c>
    </row>
    <row r="59" spans="1:14" ht="14.25" x14ac:dyDescent="0.45"/>
    <row r="60" spans="1:14" ht="14.25" x14ac:dyDescent="0.45"/>
    <row r="61" spans="1:14" ht="21" x14ac:dyDescent="0.65">
      <c r="A61" s="129" t="s">
        <v>966</v>
      </c>
    </row>
    <row r="62" spans="1:14" ht="94.5" customHeight="1" x14ac:dyDescent="0.45">
      <c r="A62" s="119" t="s">
        <v>78</v>
      </c>
      <c r="B62" s="119" t="s">
        <v>79</v>
      </c>
      <c r="C62" s="119" t="s">
        <v>1244</v>
      </c>
      <c r="D62" s="119" t="s">
        <v>1245</v>
      </c>
      <c r="E62" s="119" t="s">
        <v>205</v>
      </c>
      <c r="F62" s="119" t="s">
        <v>1140</v>
      </c>
      <c r="G62" s="119" t="s">
        <v>1141</v>
      </c>
      <c r="H62" s="119" t="s">
        <v>206</v>
      </c>
      <c r="I62" s="119" t="s">
        <v>1142</v>
      </c>
      <c r="J62" s="119" t="s">
        <v>1143</v>
      </c>
      <c r="K62" s="119" t="s">
        <v>1144</v>
      </c>
      <c r="L62" s="119" t="s">
        <v>1145</v>
      </c>
      <c r="M62" s="119" t="s">
        <v>1148</v>
      </c>
      <c r="N62" s="119" t="s">
        <v>1149</v>
      </c>
    </row>
    <row r="63" spans="1:14" ht="27.95" customHeight="1" x14ac:dyDescent="0.45">
      <c r="A63" t="s">
        <v>966</v>
      </c>
      <c r="B63">
        <f>ROW()</f>
        <v>63</v>
      </c>
      <c r="C63" s="31" t="s">
        <v>1150</v>
      </c>
      <c r="D63" s="31"/>
      <c r="E63" s="174"/>
      <c r="F63" s="174"/>
      <c r="G63" s="174"/>
      <c r="H63" s="174"/>
      <c r="I63" s="65"/>
      <c r="J63" s="65"/>
      <c r="K63" s="65"/>
      <c r="L63" s="65"/>
      <c r="M63" s="65"/>
      <c r="N63" s="65"/>
    </row>
    <row r="64" spans="1:14" ht="27.95" customHeight="1" x14ac:dyDescent="0.45">
      <c r="A64" t="s">
        <v>966</v>
      </c>
      <c r="B64">
        <f>ROW()</f>
        <v>64</v>
      </c>
      <c r="C64" s="31" t="s">
        <v>1150</v>
      </c>
      <c r="E64" s="174"/>
      <c r="F64" s="174"/>
      <c r="G64" s="174"/>
      <c r="H64" s="174"/>
      <c r="I64" s="65"/>
      <c r="J64" s="65"/>
      <c r="K64" s="65"/>
      <c r="L64" s="65"/>
      <c r="M64" s="65" t="str">
        <f t="shared" ref="M64:N73" si="0">IF(L64&lt;&gt;"",J64-L64,"")</f>
        <v/>
      </c>
      <c r="N64" s="65" t="str">
        <f t="shared" si="0"/>
        <v/>
      </c>
    </row>
    <row r="65" spans="1:14" ht="27.95" customHeight="1" x14ac:dyDescent="0.45">
      <c r="A65" t="s">
        <v>966</v>
      </c>
      <c r="B65">
        <f>ROW()</f>
        <v>65</v>
      </c>
      <c r="C65" s="31" t="s">
        <v>1150</v>
      </c>
      <c r="E65" s="174"/>
      <c r="F65" s="174"/>
      <c r="G65" s="174"/>
      <c r="H65" s="174"/>
      <c r="I65" s="65"/>
      <c r="J65" s="65"/>
      <c r="K65" s="65"/>
      <c r="L65" s="65"/>
      <c r="M65" s="65" t="str">
        <f t="shared" si="0"/>
        <v/>
      </c>
      <c r="N65" s="65" t="str">
        <f t="shared" si="0"/>
        <v/>
      </c>
    </row>
    <row r="66" spans="1:14" ht="27.95" customHeight="1" x14ac:dyDescent="0.45">
      <c r="A66" t="s">
        <v>966</v>
      </c>
      <c r="B66">
        <f>ROW()</f>
        <v>66</v>
      </c>
      <c r="C66" s="31" t="s">
        <v>1150</v>
      </c>
      <c r="E66" s="174"/>
      <c r="F66" s="174"/>
      <c r="G66" s="174"/>
      <c r="H66" s="174"/>
      <c r="I66" s="65"/>
      <c r="J66" s="65"/>
      <c r="K66" s="65"/>
      <c r="L66" s="65"/>
      <c r="M66" s="65" t="str">
        <f t="shared" si="0"/>
        <v/>
      </c>
      <c r="N66" s="65" t="str">
        <f t="shared" si="0"/>
        <v/>
      </c>
    </row>
    <row r="67" spans="1:14" ht="27.95" customHeight="1" x14ac:dyDescent="0.45">
      <c r="A67" t="s">
        <v>966</v>
      </c>
      <c r="B67">
        <f>ROW()</f>
        <v>67</v>
      </c>
      <c r="C67" s="31" t="s">
        <v>1150</v>
      </c>
      <c r="E67" s="174"/>
      <c r="F67" s="174"/>
      <c r="G67" s="174"/>
      <c r="H67" s="174"/>
      <c r="I67" s="65"/>
      <c r="J67" s="65"/>
      <c r="K67" s="65"/>
      <c r="L67" s="65"/>
      <c r="M67" s="65" t="str">
        <f t="shared" si="0"/>
        <v/>
      </c>
      <c r="N67" s="65" t="str">
        <f t="shared" si="0"/>
        <v/>
      </c>
    </row>
    <row r="68" spans="1:14" ht="14.25" x14ac:dyDescent="0.45">
      <c r="A68" t="s">
        <v>966</v>
      </c>
      <c r="B68">
        <f>ROW()</f>
        <v>68</v>
      </c>
      <c r="C68" s="31" t="s">
        <v>1150</v>
      </c>
      <c r="E68" s="174"/>
      <c r="F68" s="174"/>
      <c r="G68" s="174"/>
      <c r="H68" s="174"/>
      <c r="I68" s="65"/>
      <c r="J68" s="65"/>
      <c r="K68" s="65"/>
      <c r="L68" s="65"/>
      <c r="M68" s="65" t="str">
        <f t="shared" si="0"/>
        <v/>
      </c>
      <c r="N68" s="65" t="str">
        <f t="shared" si="0"/>
        <v/>
      </c>
    </row>
    <row r="69" spans="1:14" ht="14.25" x14ac:dyDescent="0.45">
      <c r="A69" t="s">
        <v>966</v>
      </c>
      <c r="B69">
        <f>ROW()</f>
        <v>69</v>
      </c>
      <c r="C69" s="31" t="s">
        <v>1150</v>
      </c>
      <c r="E69" s="174"/>
      <c r="F69" s="174"/>
      <c r="G69" s="174"/>
      <c r="H69" s="174"/>
      <c r="I69" s="65"/>
      <c r="J69" s="65"/>
      <c r="K69" s="65"/>
      <c r="L69" s="65"/>
      <c r="M69" s="65" t="str">
        <f t="shared" si="0"/>
        <v/>
      </c>
      <c r="N69" s="65" t="str">
        <f t="shared" si="0"/>
        <v/>
      </c>
    </row>
    <row r="70" spans="1:14" ht="14.25" x14ac:dyDescent="0.45">
      <c r="A70" t="s">
        <v>966</v>
      </c>
      <c r="B70">
        <f>ROW()</f>
        <v>70</v>
      </c>
      <c r="C70" s="31" t="s">
        <v>1150</v>
      </c>
      <c r="E70" s="174"/>
      <c r="F70" s="174"/>
      <c r="G70" s="174"/>
      <c r="H70" s="174"/>
      <c r="I70" s="65"/>
      <c r="J70" s="65"/>
      <c r="K70" s="65"/>
      <c r="L70" s="65"/>
      <c r="M70" s="65" t="str">
        <f t="shared" si="0"/>
        <v/>
      </c>
      <c r="N70" s="65" t="str">
        <f t="shared" si="0"/>
        <v/>
      </c>
    </row>
    <row r="71" spans="1:14" ht="14.25" x14ac:dyDescent="0.45">
      <c r="A71" t="s">
        <v>966</v>
      </c>
      <c r="B71">
        <f>ROW()</f>
        <v>71</v>
      </c>
      <c r="C71" s="31" t="s">
        <v>1150</v>
      </c>
      <c r="E71" s="174"/>
      <c r="F71" s="174"/>
      <c r="G71" s="174"/>
      <c r="H71" s="174"/>
      <c r="I71" s="65"/>
      <c r="J71" s="65"/>
      <c r="K71" s="65"/>
      <c r="L71" s="65"/>
      <c r="M71" s="65" t="str">
        <f t="shared" si="0"/>
        <v/>
      </c>
      <c r="N71" s="65" t="str">
        <f t="shared" si="0"/>
        <v/>
      </c>
    </row>
    <row r="72" spans="1:14" ht="14.25" x14ac:dyDescent="0.45">
      <c r="A72" t="s">
        <v>966</v>
      </c>
      <c r="B72">
        <f>ROW()</f>
        <v>72</v>
      </c>
      <c r="C72" s="31" t="s">
        <v>1150</v>
      </c>
      <c r="E72" s="174"/>
      <c r="F72" s="174"/>
      <c r="G72" s="174"/>
      <c r="H72" s="174"/>
      <c r="I72" s="65"/>
      <c r="J72" s="65"/>
      <c r="K72" s="65"/>
      <c r="L72" s="65"/>
      <c r="M72" s="65" t="str">
        <f t="shared" si="0"/>
        <v/>
      </c>
      <c r="N72" s="65" t="str">
        <f t="shared" si="0"/>
        <v/>
      </c>
    </row>
    <row r="73" spans="1:14" ht="14.25" x14ac:dyDescent="0.45">
      <c r="A73" t="s">
        <v>966</v>
      </c>
      <c r="B73">
        <f>ROW()</f>
        <v>73</v>
      </c>
      <c r="C73" s="31" t="s">
        <v>1150</v>
      </c>
      <c r="E73" s="174"/>
      <c r="F73" s="174"/>
      <c r="G73" s="174"/>
      <c r="H73" s="174"/>
      <c r="I73" s="65"/>
      <c r="J73" s="65"/>
      <c r="K73" s="65"/>
      <c r="L73" s="65"/>
      <c r="M73" s="65" t="str">
        <f t="shared" si="0"/>
        <v/>
      </c>
      <c r="N73" s="65" t="str">
        <f t="shared" si="0"/>
        <v/>
      </c>
    </row>
    <row r="74" spans="1:14" ht="21" x14ac:dyDescent="0.65">
      <c r="A74" s="129"/>
    </row>
    <row r="75" spans="1:14" ht="14.25" x14ac:dyDescent="0.45">
      <c r="A75" s="64" t="s">
        <v>207</v>
      </c>
    </row>
    <row r="76" spans="1:14" ht="14.25" x14ac:dyDescent="0.45">
      <c r="A76" s="127" t="s">
        <v>967</v>
      </c>
    </row>
  </sheetData>
  <phoneticPr fontId="27" type="noConversion"/>
  <pageMargins left="0.70866141732283472" right="0.70866141732283472" top="0.74803149606299213" bottom="0.74803149606299213" header="0.31496062992125984" footer="0.31496062992125984"/>
  <pageSetup paperSize="9" scale="42" fitToHeight="0" orientation="landscape" r:id="rId1"/>
  <rowBreaks count="1" manualBreakCount="1">
    <brk id="59" max="16383" man="1"/>
  </rowBreaks>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5B1EB-668F-4AC8-ABC2-4089676DBBB2}">
  <sheetPr codeName="Sheet10">
    <pageSetUpPr fitToPage="1"/>
  </sheetPr>
  <dimension ref="A1:S115"/>
  <sheetViews>
    <sheetView zoomScale="85" zoomScaleNormal="85" workbookViewId="0"/>
  </sheetViews>
  <sheetFormatPr defaultRowHeight="14.45" customHeight="1" x14ac:dyDescent="0.45"/>
  <cols>
    <col min="1" max="1" width="50.73046875" customWidth="1"/>
    <col min="2" max="2" width="9" bestFit="1" customWidth="1"/>
    <col min="3" max="3" width="20.73046875" customWidth="1"/>
    <col min="4" max="4" width="48.73046875" customWidth="1"/>
    <col min="5" max="5" width="34.59765625" customWidth="1"/>
    <col min="6" max="14" width="15.59765625" customWidth="1"/>
    <col min="15" max="15" width="2.73046875" customWidth="1"/>
    <col min="18" max="18" width="10.265625" customWidth="1"/>
  </cols>
  <sheetData>
    <row r="1" spans="1:13" ht="23.25" x14ac:dyDescent="0.45">
      <c r="A1" s="146" t="s">
        <v>1157</v>
      </c>
    </row>
    <row r="2" spans="1:13" ht="21" x14ac:dyDescent="0.65">
      <c r="A2" s="129" t="s">
        <v>209</v>
      </c>
    </row>
    <row r="3" spans="1:13" ht="56.65" customHeight="1" x14ac:dyDescent="0.45">
      <c r="A3" s="119" t="s">
        <v>78</v>
      </c>
      <c r="B3" s="119" t="s">
        <v>79</v>
      </c>
      <c r="C3" s="119" t="s">
        <v>208</v>
      </c>
      <c r="D3" s="119" t="s">
        <v>1244</v>
      </c>
      <c r="E3" s="119" t="s">
        <v>1245</v>
      </c>
      <c r="F3" s="119" t="s">
        <v>1009</v>
      </c>
      <c r="G3" s="119" t="s">
        <v>1010</v>
      </c>
      <c r="H3" s="119" t="s">
        <v>1011</v>
      </c>
      <c r="I3" s="119" t="s">
        <v>1012</v>
      </c>
      <c r="J3" s="119" t="s">
        <v>1013</v>
      </c>
    </row>
    <row r="4" spans="1:13" ht="14.25" x14ac:dyDescent="0.45">
      <c r="A4" t="s">
        <v>209</v>
      </c>
      <c r="B4">
        <f>ROW()</f>
        <v>4</v>
      </c>
      <c r="D4" t="s">
        <v>210</v>
      </c>
      <c r="F4" s="75">
        <f>tb_4c_4ci_4.31_1[[#This Row],[RAB|
CY-4|
($000)]]+tb_4d_4di_4.41_1[[#This Row],[RAB|
CY-4|
($000)]]</f>
        <v>0</v>
      </c>
      <c r="G4" s="75">
        <f>tb_4c_4ci_4.31_1[[#This Row],[RAB|
CY-3|
($000)]]+tb_4d_4di_4.41_1[[#This Row],[RAB|
CY-3|
($000)]]</f>
        <v>0</v>
      </c>
      <c r="H4" s="75">
        <f>tb_4c_4ci_4.31_1[[#This Row],[RAB|
CY-2|
($000)]]+tb_4d_4di_4.41_1[[#This Row],[RAB|
CY-2|
($000)]]</f>
        <v>0</v>
      </c>
      <c r="I4" s="75">
        <f>tb_4c_4ci_4.31_1[[#This Row],[RAB|
CY-1|
($000)]]+tb_4d_4di_4.41_1[[#This Row],[RAB|
CY-1|
($000)]]</f>
        <v>0</v>
      </c>
      <c r="J4" s="75">
        <f>tb_4c_4ci_4.31_1[[#This Row],[RAB|
CY|
($000)]]+tb_4d_4di_4.41_1[[#This Row],[RAB|
CY|
($000)]]</f>
        <v>0</v>
      </c>
      <c r="M4" s="76" t="s">
        <v>211</v>
      </c>
    </row>
    <row r="5" spans="1:13" ht="14.25" x14ac:dyDescent="0.45">
      <c r="A5" t="s">
        <v>209</v>
      </c>
      <c r="B5">
        <f>ROW()</f>
        <v>5</v>
      </c>
      <c r="C5" t="s">
        <v>212</v>
      </c>
      <c r="D5" t="s">
        <v>213</v>
      </c>
      <c r="F5" s="75">
        <f>tb_4c_4ci_4.31_1[[#This Row],[RAB|
CY-4|
($000)]]+tb_4d_4di_4.41_1[[#This Row],[RAB|
CY-4|
($000)]]</f>
        <v>0</v>
      </c>
      <c r="G5" s="75">
        <f>tb_4c_4ci_4.31_1[[#This Row],[RAB|
CY-3|
($000)]]+tb_4d_4di_4.41_1[[#This Row],[RAB|
CY-3|
($000)]]</f>
        <v>0</v>
      </c>
      <c r="H5" s="75">
        <f>tb_4c_4ci_4.31_1[[#This Row],[RAB|
CY-2|
($000)]]+tb_4d_4di_4.41_1[[#This Row],[RAB|
CY-2|
($000)]]</f>
        <v>0</v>
      </c>
      <c r="I5" s="75">
        <f>tb_4c_4ci_4.31_1[[#This Row],[RAB|
CY-1|
($000)]]+tb_4d_4di_4.41_1[[#This Row],[RAB|
CY-1|
($000)]]</f>
        <v>0</v>
      </c>
      <c r="J5" s="75">
        <f>tb_4c_4ci_4.31_1[[#This Row],[RAB|
CY|
($000)]]+tb_4d_4di_4.41_1[[#This Row],[RAB|
CY|
($000)]]</f>
        <v>0</v>
      </c>
      <c r="M5" s="76" t="str" cm="1">
        <f t="array" aca="1" ref="M5" ca="1">"from row "&amp;CELL("row",G17)</f>
        <v>from row 17</v>
      </c>
    </row>
    <row r="6" spans="1:13" ht="14.25" x14ac:dyDescent="0.45">
      <c r="A6" t="s">
        <v>209</v>
      </c>
      <c r="B6">
        <f>ROW()</f>
        <v>6</v>
      </c>
      <c r="C6" t="s">
        <v>214</v>
      </c>
      <c r="D6" t="s">
        <v>215</v>
      </c>
      <c r="F6" s="75">
        <f>tb_4c_4ci_4.31_1[[#This Row],[RAB|
CY-4|
($000)]]+tb_4d_4di_4.41_1[[#This Row],[RAB|
CY-4|
($000)]]</f>
        <v>0</v>
      </c>
      <c r="G6" s="75">
        <f>tb_4c_4ci_4.31_1[[#This Row],[RAB|
CY-3|
($000)]]+tb_4d_4di_4.41_1[[#This Row],[RAB|
CY-3|
($000)]]</f>
        <v>0</v>
      </c>
      <c r="H6" s="75">
        <f>tb_4c_4ci_4.31_1[[#This Row],[RAB|
CY-2|
($000)]]+tb_4d_4di_4.41_1[[#This Row],[RAB|
CY-2|
($000)]]</f>
        <v>0</v>
      </c>
      <c r="I6" s="75">
        <f>tb_4c_4ci_4.31_1[[#This Row],[RAB|
CY-1|
($000)]]+tb_4d_4di_4.41_1[[#This Row],[RAB|
CY-1|
($000)]]</f>
        <v>0</v>
      </c>
      <c r="J6" s="75">
        <f>tb_4c_4ci_4.31_1[[#This Row],[RAB|
CY|
($000)]]+tb_4d_4di_4.41_1[[#This Row],[RAB|
CY|
($000)]]</f>
        <v>0</v>
      </c>
      <c r="M6" s="76" t="str" cm="1">
        <f t="array" aca="1" ref="M6" ca="1">"from row "&amp;CELL("row",G18)</f>
        <v>from row 18</v>
      </c>
    </row>
    <row r="7" spans="1:13" ht="14.25" x14ac:dyDescent="0.45">
      <c r="A7" t="s">
        <v>209</v>
      </c>
      <c r="B7">
        <f>ROW()</f>
        <v>7</v>
      </c>
      <c r="C7" t="s">
        <v>214</v>
      </c>
      <c r="D7" t="s">
        <v>109</v>
      </c>
      <c r="F7" s="75">
        <f>tb_4c_4ci_4.31_1[[#This Row],[RAB|
CY-4|
($000)]]+tb_4d_4di_4.41_1[[#This Row],[RAB|
CY-4|
($000)]]</f>
        <v>0</v>
      </c>
      <c r="G7" s="75">
        <f>tb_4c_4ci_4.31_1[[#This Row],[RAB|
CY-3|
($000)]]+tb_4d_4di_4.41_1[[#This Row],[RAB|
CY-3|
($000)]]</f>
        <v>0</v>
      </c>
      <c r="H7" s="75">
        <f>tb_4c_4ci_4.31_1[[#This Row],[RAB|
CY-2|
($000)]]+tb_4d_4di_4.41_1[[#This Row],[RAB|
CY-2|
($000)]]</f>
        <v>0</v>
      </c>
      <c r="I7" s="75">
        <f>tb_4c_4ci_4.31_1[[#This Row],[RAB|
CY-1|
($000)]]+tb_4d_4di_4.41_1[[#This Row],[RAB|
CY-1|
($000)]]</f>
        <v>0</v>
      </c>
      <c r="J7" s="75">
        <f>tb_4c_4ci_4.31_1[[#This Row],[RAB|
CY|
($000)]]+tb_4d_4di_4.41_1[[#This Row],[RAB|
CY|
($000)]]</f>
        <v>0</v>
      </c>
      <c r="M7" s="76" t="str" cm="1">
        <f t="array" aca="1" ref="M7" ca="1">"from row "&amp;CELL("row",G22)&amp;" &amp; to S4b"</f>
        <v>from row 22 &amp; to S4b</v>
      </c>
    </row>
    <row r="8" spans="1:13" ht="14.25" x14ac:dyDescent="0.45">
      <c r="A8" t="s">
        <v>209</v>
      </c>
      <c r="B8">
        <f>ROW()</f>
        <v>8</v>
      </c>
      <c r="C8" t="s">
        <v>212</v>
      </c>
      <c r="D8" t="s">
        <v>111</v>
      </c>
      <c r="F8" s="75">
        <f>tb_4c_4ci_4.31_1[[#This Row],[RAB|
CY-4|
($000)]]+tb_4d_4di_4.41_1[[#This Row],[RAB|
CY-4|
($000)]]</f>
        <v>0</v>
      </c>
      <c r="G8" s="75">
        <f>tb_4c_4ci_4.31_1[[#This Row],[RAB|
CY-3|
($000)]]+tb_4d_4di_4.41_1[[#This Row],[RAB|
CY-3|
($000)]]</f>
        <v>0</v>
      </c>
      <c r="H8" s="75">
        <f>tb_4c_4ci_4.31_1[[#This Row],[RAB|
CY-2|
($000)]]+tb_4d_4di_4.41_1[[#This Row],[RAB|
CY-2|
($000)]]</f>
        <v>0</v>
      </c>
      <c r="I8" s="75">
        <f>tb_4c_4ci_4.31_1[[#This Row],[RAB|
CY-1|
($000)]]+tb_4d_4di_4.41_1[[#This Row],[RAB|
CY-1|
($000)]]</f>
        <v>0</v>
      </c>
      <c r="J8" s="75">
        <f>tb_4c_4ci_4.31_1[[#This Row],[RAB|
CY|
($000)]]+tb_4d_4di_4.41_1[[#This Row],[RAB|
CY|
($000)]]</f>
        <v>0</v>
      </c>
      <c r="M8" s="76" t="str" cm="1">
        <f t="array" aca="1" ref="M8" ca="1">"from row "&amp;CELL("row",G23)&amp;" &amp; to S4b"</f>
        <v>from row 23 &amp; to S4b</v>
      </c>
    </row>
    <row r="9" spans="1:13" ht="14.25" x14ac:dyDescent="0.45">
      <c r="A9" t="s">
        <v>209</v>
      </c>
      <c r="B9">
        <f>ROW()</f>
        <v>9</v>
      </c>
      <c r="C9" t="s">
        <v>212</v>
      </c>
      <c r="D9" t="s">
        <v>216</v>
      </c>
      <c r="F9" s="75">
        <f>tb_4c_4ci_4.31_1[[#This Row],[RAB|
CY-4|
($000)]]</f>
        <v>0</v>
      </c>
      <c r="G9" s="75">
        <f>tb_4c_4ci_4.31_1[[#This Row],[RAB|
CY-3|
($000)]]</f>
        <v>0</v>
      </c>
      <c r="H9" s="75">
        <f>tb_4c_4ci_4.31_1[[#This Row],[RAB|
CY-2|
($000)]]</f>
        <v>0</v>
      </c>
      <c r="I9" s="75">
        <f>tb_4c_4ci_4.31_1[[#This Row],[RAB|
CY-1|
($000)]]</f>
        <v>0</v>
      </c>
      <c r="J9" s="75">
        <f>tb_4c_4ci_4.31_1[[#This Row],[RAB|
CY|
($000)]]</f>
        <v>0</v>
      </c>
      <c r="M9" s="76" t="str" cm="1">
        <f t="array" aca="1" ref="M9" ca="1">"from row "&amp;CELL("row",G27)&amp;" &amp; to S4b"</f>
        <v>from row 27 &amp; to S4b</v>
      </c>
    </row>
    <row r="10" spans="1:13" ht="14.25" x14ac:dyDescent="0.45">
      <c r="A10" t="s">
        <v>209</v>
      </c>
      <c r="B10">
        <f>ROW()</f>
        <v>10</v>
      </c>
      <c r="C10" t="s">
        <v>214</v>
      </c>
      <c r="D10" t="s">
        <v>120</v>
      </c>
      <c r="F10" s="75">
        <f>tb_4c_4ci_4.31_1[[#This Row],[RAB|
CY-4|
($000)]]+'S4d.ID-only RAB Value Rolled F'!F9</f>
        <v>0</v>
      </c>
      <c r="G10" s="75">
        <f>tb_4c_4ci_4.31_1[[#This Row],[RAB|
CY-3|
($000)]]+'S4d.ID-only RAB Value Rolled F'!G9</f>
        <v>0</v>
      </c>
      <c r="H10" s="75">
        <f>tb_4c_4ci_4.31_1[[#This Row],[RAB|
CY-2|
($000)]]+'S4d.ID-only RAB Value Rolled F'!H9</f>
        <v>0</v>
      </c>
      <c r="I10" s="75">
        <f>tb_4c_4ci_4.31_1[[#This Row],[RAB|
CY-1|
($000)]]+'S4d.ID-only RAB Value Rolled F'!I9</f>
        <v>0</v>
      </c>
      <c r="J10" s="75">
        <f>tb_4c_4ci_4.31_1[[#This Row],[RAB|
CY|
($000)]]+'S4d.ID-only RAB Value Rolled F'!J9</f>
        <v>0</v>
      </c>
      <c r="M10" s="76" t="str" cm="1">
        <f t="array" aca="1" ref="M10" ca="1">"from row "&amp;CELL("row",G28)&amp;" &amp; to S4b"</f>
        <v>from row 28 &amp; to S4b</v>
      </c>
    </row>
    <row r="11" spans="1:13" ht="14.25" x14ac:dyDescent="0.45">
      <c r="A11" t="s">
        <v>209</v>
      </c>
      <c r="B11">
        <f>ROW()</f>
        <v>11</v>
      </c>
      <c r="D11" t="s">
        <v>119</v>
      </c>
      <c r="F11" s="75">
        <f>tb_4c_4ci_4.31_1[[#This Row],[RAB|
CY-4|
($000)]]+'S4d.ID-only RAB Value Rolled F'!F10</f>
        <v>0</v>
      </c>
      <c r="G11" s="75">
        <f>tb_4c_4ci_4.31_1[[#This Row],[RAB|
CY-3|
($000)]]+'S4d.ID-only RAB Value Rolled F'!G10</f>
        <v>0</v>
      </c>
      <c r="H11" s="75">
        <f>tb_4c_4ci_4.31_1[[#This Row],[RAB|
CY-2|
($000)]]+'S4d.ID-only RAB Value Rolled F'!H10</f>
        <v>0</v>
      </c>
      <c r="I11" s="75">
        <f>tb_4c_4ci_4.31_1[[#This Row],[RAB|
CY-1|
($000)]]+'S4d.ID-only RAB Value Rolled F'!I10</f>
        <v>0</v>
      </c>
      <c r="J11" s="75">
        <f>tb_4c_4ci_4.31_1[[#This Row],[RAB|
CY|
($000)]]+'S4d.ID-only RAB Value Rolled F'!J10</f>
        <v>0</v>
      </c>
      <c r="M11" s="76" t="s">
        <v>217</v>
      </c>
    </row>
    <row r="12" spans="1:13" ht="14.25" x14ac:dyDescent="0.45"/>
    <row r="13" spans="1:13" ht="14.25" x14ac:dyDescent="0.45"/>
    <row r="14" spans="1:13" ht="21" x14ac:dyDescent="0.65">
      <c r="A14" s="129" t="s">
        <v>786</v>
      </c>
      <c r="F14" s="162"/>
    </row>
    <row r="15" spans="1:13" ht="56.65" customHeight="1" x14ac:dyDescent="0.45">
      <c r="A15" s="119" t="s">
        <v>78</v>
      </c>
      <c r="B15" s="119" t="s">
        <v>79</v>
      </c>
      <c r="C15" s="119" t="s">
        <v>208</v>
      </c>
      <c r="D15" s="119" t="s">
        <v>1244</v>
      </c>
      <c r="E15" s="119" t="s">
        <v>1245</v>
      </c>
      <c r="F15" s="119" t="s">
        <v>1014</v>
      </c>
      <c r="G15" s="119" t="s">
        <v>1015</v>
      </c>
    </row>
    <row r="16" spans="1:13" ht="14.25" x14ac:dyDescent="0.45">
      <c r="A16" t="s">
        <v>786</v>
      </c>
      <c r="B16">
        <f>ROW()</f>
        <v>16</v>
      </c>
      <c r="D16" t="s">
        <v>210</v>
      </c>
      <c r="F16" s="215"/>
      <c r="G16" s="75">
        <f>tb_4c_4cii_4.32_1[[#This Row],[RAB|
($000)]]+tb_4d_4dii_4.42_1[[#This Row],[RAB|
($000)]]</f>
        <v>0</v>
      </c>
      <c r="I16" s="76" t="str" cm="1">
        <f t="array" aca="1" ref="I16" ca="1">"from row "&amp;CELL("row",K4)</f>
        <v>from row 4</v>
      </c>
    </row>
    <row r="17" spans="1:9" ht="14.25" x14ac:dyDescent="0.45">
      <c r="A17" t="s">
        <v>786</v>
      </c>
      <c r="B17">
        <f>ROW()</f>
        <v>17</v>
      </c>
      <c r="C17" t="s">
        <v>212</v>
      </c>
      <c r="D17" t="s">
        <v>213</v>
      </c>
      <c r="F17" s="215"/>
      <c r="G17" s="75">
        <f>tb_4c_4cii_4.32_1[[#This Row],[RAB|
($000)]]+tb_4d_4dii_4.42_1[[#This Row],[RAB|
($000)]]</f>
        <v>0</v>
      </c>
      <c r="I17" s="76" t="str" cm="1">
        <f t="array" aca="1" ref="I17" ca="1">"from row "&amp;CELL("row",G71)</f>
        <v>from row 71</v>
      </c>
    </row>
    <row r="18" spans="1:9" ht="14.25" x14ac:dyDescent="0.45">
      <c r="A18" t="s">
        <v>786</v>
      </c>
      <c r="B18">
        <f>ROW()</f>
        <v>18</v>
      </c>
      <c r="C18" t="s">
        <v>214</v>
      </c>
      <c r="D18" t="s">
        <v>215</v>
      </c>
      <c r="F18" s="215"/>
      <c r="G18" s="75">
        <f>tb_4c_4cii_4.32_1[[#This Row],[RAB|
($000)]]+tb_4d_4dii_4.42_1[[#This Row],[RAB|
($000)]]</f>
        <v>0</v>
      </c>
      <c r="I18" s="76" t="str" cm="1">
        <f t="array" aca="1" ref="I18" ca="1">"from row "&amp;CELL("row",G50)</f>
        <v>from row 50</v>
      </c>
    </row>
    <row r="19" spans="1:9" ht="14.25" x14ac:dyDescent="0.45">
      <c r="A19" t="s">
        <v>786</v>
      </c>
      <c r="B19">
        <f>ROW()</f>
        <v>19</v>
      </c>
      <c r="C19" t="s">
        <v>214</v>
      </c>
      <c r="D19" t="s">
        <v>219</v>
      </c>
      <c r="E19" t="s">
        <v>220</v>
      </c>
      <c r="F19" s="215"/>
      <c r="G19" s="75">
        <f>tb_4c_4cii_4.32_1[[#This Row],[RAB|
($000)]]+tb_4d_4dii_4.42_1[[#This Row],[RAB|
($000)]]</f>
        <v>0</v>
      </c>
      <c r="I19" s="76"/>
    </row>
    <row r="20" spans="1:9" ht="14.25" x14ac:dyDescent="0.45">
      <c r="A20" t="s">
        <v>786</v>
      </c>
      <c r="B20">
        <f>ROW()</f>
        <v>20</v>
      </c>
      <c r="C20" t="s">
        <v>214</v>
      </c>
      <c r="D20" t="s">
        <v>219</v>
      </c>
      <c r="E20" t="s">
        <v>221</v>
      </c>
      <c r="F20" s="215"/>
      <c r="G20" s="75">
        <f>tb_4c_4cii_4.32_1[[#This Row],[RAB|
($000)]]+tb_4d_4dii_4.42_1[[#This Row],[RAB|
($000)]]</f>
        <v>0</v>
      </c>
      <c r="I20" s="76"/>
    </row>
    <row r="21" spans="1:9" ht="14.25" x14ac:dyDescent="0.45">
      <c r="A21" t="s">
        <v>786</v>
      </c>
      <c r="B21">
        <f>ROW()</f>
        <v>21</v>
      </c>
      <c r="C21" t="s">
        <v>214</v>
      </c>
      <c r="D21" t="s">
        <v>219</v>
      </c>
      <c r="E21" t="s">
        <v>222</v>
      </c>
      <c r="F21" s="215"/>
      <c r="G21" s="75">
        <f>tb_4c_4cii_4.32_1[[#This Row],[RAB|
($000)]]+tb_4d_4dii_4.42_1[[#This Row],[RAB|
($000)]]</f>
        <v>0</v>
      </c>
      <c r="I21" s="76"/>
    </row>
    <row r="22" spans="1:9" ht="14.25" x14ac:dyDescent="0.45">
      <c r="A22" t="s">
        <v>786</v>
      </c>
      <c r="B22">
        <f>ROW()</f>
        <v>22</v>
      </c>
      <c r="C22" t="s">
        <v>214</v>
      </c>
      <c r="D22" t="s">
        <v>109</v>
      </c>
      <c r="F22" s="182">
        <f>SUM(F19:F21)</f>
        <v>0</v>
      </c>
      <c r="G22" s="175">
        <f>SUM(G19:G21)</f>
        <v>0</v>
      </c>
      <c r="I22" s="76" t="str" cm="1">
        <f t="array" aca="1" ref="I22" ca="1">"to row "&amp;CELL("row",K7)</f>
        <v>to row 7</v>
      </c>
    </row>
    <row r="23" spans="1:9" ht="14.25" x14ac:dyDescent="0.45">
      <c r="A23" t="s">
        <v>786</v>
      </c>
      <c r="B23">
        <f>ROW()</f>
        <v>23</v>
      </c>
      <c r="C23" t="s">
        <v>212</v>
      </c>
      <c r="D23" t="s">
        <v>111</v>
      </c>
      <c r="E23" t="s">
        <v>223</v>
      </c>
      <c r="F23" s="215"/>
      <c r="G23" s="75">
        <f>tb_4c_4cii_4.32_1[[#This Row],[RAB|
($000)]]+tb_4d_4dii_4.42_1[[#This Row],[RAB|
($000)]]</f>
        <v>0</v>
      </c>
      <c r="I23" s="76"/>
    </row>
    <row r="24" spans="1:9" ht="14.25" x14ac:dyDescent="0.45">
      <c r="A24" t="s">
        <v>786</v>
      </c>
      <c r="B24">
        <f>ROW()</f>
        <v>24</v>
      </c>
      <c r="C24" t="s">
        <v>212</v>
      </c>
      <c r="D24" t="s">
        <v>111</v>
      </c>
      <c r="E24" t="s">
        <v>224</v>
      </c>
      <c r="F24" s="215"/>
      <c r="G24" s="75">
        <f>tb_4c_4cii_4.32_1[[#This Row],[RAB|
($000)]]+tb_4d_4dii_4.42_1[[#This Row],[RAB|
($000)]]</f>
        <v>0</v>
      </c>
      <c r="I24" s="76"/>
    </row>
    <row r="25" spans="1:9" ht="14.25" x14ac:dyDescent="0.45">
      <c r="A25" t="s">
        <v>786</v>
      </c>
      <c r="B25">
        <f>ROW()</f>
        <v>25</v>
      </c>
      <c r="C25" t="s">
        <v>212</v>
      </c>
      <c r="D25" t="s">
        <v>111</v>
      </c>
      <c r="E25" t="s">
        <v>225</v>
      </c>
      <c r="F25" s="215"/>
      <c r="G25" s="75">
        <f>tb_4c_4cii_4.32_1[[#This Row],[RAB|
($000)]]+tb_4d_4dii_4.42_1[[#This Row],[RAB|
($000)]]</f>
        <v>0</v>
      </c>
      <c r="I25" s="76"/>
    </row>
    <row r="26" spans="1:9" ht="14.25" x14ac:dyDescent="0.45">
      <c r="A26" t="s">
        <v>786</v>
      </c>
      <c r="B26">
        <f>ROW()</f>
        <v>26</v>
      </c>
      <c r="C26" t="s">
        <v>212</v>
      </c>
      <c r="D26" t="s">
        <v>111</v>
      </c>
      <c r="F26" s="175">
        <f>SUM(F23:F25)</f>
        <v>0</v>
      </c>
      <c r="G26" s="175">
        <f>SUM(G23:G25)</f>
        <v>0</v>
      </c>
      <c r="I26" s="76"/>
    </row>
    <row r="27" spans="1:9" ht="14.25" x14ac:dyDescent="0.45">
      <c r="A27" t="s">
        <v>786</v>
      </c>
      <c r="B27">
        <f>ROW()</f>
        <v>27</v>
      </c>
      <c r="C27" t="s">
        <v>212</v>
      </c>
      <c r="D27" t="s">
        <v>216</v>
      </c>
      <c r="F27" s="78"/>
      <c r="G27" s="75">
        <f>I112</f>
        <v>0</v>
      </c>
      <c r="I27" s="76" t="str" cm="1">
        <f t="array" aca="1" ref="I27" ca="1">"from cell "&amp;CELL("address",I112)</f>
        <v>from cell $I$112</v>
      </c>
    </row>
    <row r="28" spans="1:9" ht="14.25" x14ac:dyDescent="0.45">
      <c r="A28" t="s">
        <v>786</v>
      </c>
      <c r="B28">
        <f>ROW()</f>
        <v>28</v>
      </c>
      <c r="C28" t="s">
        <v>214</v>
      </c>
      <c r="D28" t="s">
        <v>120</v>
      </c>
      <c r="F28" s="78"/>
      <c r="G28" s="175">
        <f>G29-(G16-G17+G18+G22-G23+G24)</f>
        <v>0</v>
      </c>
      <c r="I28" s="76"/>
    </row>
    <row r="29" spans="1:9" ht="14.25" x14ac:dyDescent="0.45">
      <c r="A29" t="s">
        <v>786</v>
      </c>
      <c r="B29">
        <f>ROW()</f>
        <v>29</v>
      </c>
      <c r="D29" s="30" t="s">
        <v>119</v>
      </c>
      <c r="F29" s="75">
        <f>SUM(F16,-F17,F18,F22,-F26)</f>
        <v>0</v>
      </c>
      <c r="G29" s="217">
        <f>'S4a.Asset Allocations'!H58</f>
        <v>0</v>
      </c>
      <c r="I29" s="76" t="s">
        <v>226</v>
      </c>
    </row>
    <row r="30" spans="1:9" ht="14.25" x14ac:dyDescent="0.45">
      <c r="I30" s="37"/>
    </row>
    <row r="31" spans="1:9" ht="14.25" x14ac:dyDescent="0.45">
      <c r="A31" s="64" t="s">
        <v>1266</v>
      </c>
      <c r="I31" s="38"/>
    </row>
    <row r="32" spans="1:9" ht="14.25" x14ac:dyDescent="0.45"/>
    <row r="33" spans="1:9" ht="14.25" x14ac:dyDescent="0.45"/>
    <row r="34" spans="1:9" ht="21" x14ac:dyDescent="0.65">
      <c r="A34" s="129" t="s">
        <v>787</v>
      </c>
    </row>
    <row r="35" spans="1:9" ht="30" customHeight="1" x14ac:dyDescent="0.45">
      <c r="A35" s="119" t="s">
        <v>78</v>
      </c>
      <c r="B35" s="119" t="s">
        <v>79</v>
      </c>
      <c r="C35" s="119" t="s">
        <v>208</v>
      </c>
      <c r="D35" s="119" t="s">
        <v>1244</v>
      </c>
      <c r="E35" s="119" t="s">
        <v>1245</v>
      </c>
      <c r="F35" s="119" t="s">
        <v>227</v>
      </c>
      <c r="H35" s="76"/>
    </row>
    <row r="36" spans="1:9" ht="14.25" x14ac:dyDescent="0.45">
      <c r="A36" t="s">
        <v>787</v>
      </c>
      <c r="B36">
        <f>ROW()</f>
        <v>36</v>
      </c>
      <c r="D36" t="s">
        <v>229</v>
      </c>
      <c r="F36" s="156"/>
      <c r="H36" s="76" t="s">
        <v>230</v>
      </c>
    </row>
    <row r="37" spans="1:9" ht="14.25" x14ac:dyDescent="0.45">
      <c r="A37" t="s">
        <v>787</v>
      </c>
      <c r="B37">
        <f>ROW()</f>
        <v>37</v>
      </c>
      <c r="D37" t="s">
        <v>231</v>
      </c>
      <c r="F37" s="156"/>
      <c r="H37" s="76" t="s">
        <v>230</v>
      </c>
    </row>
    <row r="38" spans="1:9" ht="14.25" x14ac:dyDescent="0.45">
      <c r="H38" s="76"/>
    </row>
    <row r="39" spans="1:9" ht="14.25" x14ac:dyDescent="0.45"/>
    <row r="40" spans="1:9" ht="21" x14ac:dyDescent="0.65">
      <c r="A40" s="129" t="s">
        <v>787</v>
      </c>
    </row>
    <row r="41" spans="1:9" ht="30" customHeight="1" x14ac:dyDescent="0.45">
      <c r="A41" s="119" t="s">
        <v>78</v>
      </c>
      <c r="B41" s="119" t="s">
        <v>79</v>
      </c>
      <c r="C41" s="119" t="s">
        <v>208</v>
      </c>
      <c r="D41" s="119" t="s">
        <v>1244</v>
      </c>
      <c r="E41" s="119" t="s">
        <v>1245</v>
      </c>
      <c r="F41" s="119" t="s">
        <v>125</v>
      </c>
    </row>
    <row r="42" spans="1:9" ht="14.25" x14ac:dyDescent="0.45">
      <c r="A42" t="s">
        <v>787</v>
      </c>
      <c r="B42">
        <f>ROW()</f>
        <v>42</v>
      </c>
      <c r="D42" t="s">
        <v>232</v>
      </c>
      <c r="F42" s="159">
        <f>IF(F36&lt;&gt;0,F36/F37-1, 0)</f>
        <v>0</v>
      </c>
    </row>
    <row r="43" spans="1:9" ht="14.25" x14ac:dyDescent="0.45"/>
    <row r="44" spans="1:9" ht="14.25" x14ac:dyDescent="0.45"/>
    <row r="45" spans="1:9" ht="21" x14ac:dyDescent="0.65">
      <c r="A45" s="129" t="s">
        <v>787</v>
      </c>
      <c r="I45" s="76"/>
    </row>
    <row r="46" spans="1:9" ht="56.65" customHeight="1" x14ac:dyDescent="0.45">
      <c r="A46" s="119" t="s">
        <v>78</v>
      </c>
      <c r="B46" s="119" t="s">
        <v>79</v>
      </c>
      <c r="C46" s="119" t="s">
        <v>208</v>
      </c>
      <c r="D46" s="119" t="s">
        <v>1244</v>
      </c>
      <c r="E46" s="119" t="s">
        <v>1245</v>
      </c>
      <c r="F46" s="119" t="s">
        <v>1014</v>
      </c>
      <c r="G46" s="119" t="s">
        <v>1015</v>
      </c>
      <c r="I46" s="76"/>
    </row>
    <row r="47" spans="1:9" ht="14.25" x14ac:dyDescent="0.45">
      <c r="A47" t="s">
        <v>787</v>
      </c>
      <c r="B47">
        <f>ROW()</f>
        <v>47</v>
      </c>
      <c r="D47" t="s">
        <v>210</v>
      </c>
      <c r="F47" s="75">
        <f>F16</f>
        <v>0</v>
      </c>
      <c r="G47" s="75">
        <f>G16</f>
        <v>0</v>
      </c>
      <c r="I47" s="76" t="str" cm="1">
        <f t="array" aca="1" ref="I47" ca="1">"from row "&amp;CELL("row",G16)&amp;" (and row"&amp;CELL("row",K4)&amp;")"</f>
        <v>from row 16 (and row4)</v>
      </c>
    </row>
    <row r="48" spans="1:9" ht="14.25" x14ac:dyDescent="0.45">
      <c r="A48" t="s">
        <v>787</v>
      </c>
      <c r="B48">
        <f>ROW()</f>
        <v>48</v>
      </c>
      <c r="D48" t="s">
        <v>234</v>
      </c>
      <c r="F48" s="215"/>
      <c r="G48" s="75">
        <f>tb_4c_4ciii_4.33_2[[#This Row],[RAB|
($000)]]+tb_4d_4diii_4.43_2[[#This Row],[RAB|
($000)]]</f>
        <v>0</v>
      </c>
      <c r="I48" s="76"/>
    </row>
    <row r="49" spans="1:9" ht="14.25" x14ac:dyDescent="0.45">
      <c r="A49" t="s">
        <v>787</v>
      </c>
      <c r="B49">
        <f>ROW()</f>
        <v>49</v>
      </c>
      <c r="C49" t="s">
        <v>212</v>
      </c>
      <c r="D49" t="s">
        <v>1261</v>
      </c>
      <c r="F49" s="75">
        <f>F47-F48</f>
        <v>0</v>
      </c>
      <c r="G49" s="75">
        <f>G47-G48</f>
        <v>0</v>
      </c>
      <c r="I49" s="76"/>
    </row>
    <row r="50" spans="1:9" ht="14.25" x14ac:dyDescent="0.45">
      <c r="A50" t="s">
        <v>787</v>
      </c>
      <c r="B50">
        <f>ROW()</f>
        <v>50</v>
      </c>
      <c r="D50" s="30" t="s">
        <v>215</v>
      </c>
      <c r="F50" s="75">
        <f>IF(F49&lt;&gt;0,F49*$F$42,0)</f>
        <v>0</v>
      </c>
      <c r="G50" s="75">
        <f>IF(G49&lt;&gt;0,G49*$F$42,0)</f>
        <v>0</v>
      </c>
      <c r="I50" s="76" t="str" cm="1">
        <f t="array" aca="1" ref="I50" ca="1">"to row "&amp;CELL("row",G18)&amp;" &amp; S3"</f>
        <v>to row 18 &amp; S3</v>
      </c>
    </row>
    <row r="51" spans="1:9" ht="14.25" x14ac:dyDescent="0.45"/>
    <row r="52" spans="1:9" ht="14.25" x14ac:dyDescent="0.45">
      <c r="I52" s="43"/>
    </row>
    <row r="53" spans="1:9" ht="14.25" x14ac:dyDescent="0.45"/>
    <row r="54" spans="1:9" ht="21" x14ac:dyDescent="0.65">
      <c r="A54" s="129" t="s">
        <v>789</v>
      </c>
    </row>
    <row r="55" spans="1:9" ht="75.599999999999994" customHeight="1" x14ac:dyDescent="0.45">
      <c r="A55" s="119" t="s">
        <v>78</v>
      </c>
      <c r="B55" s="119" t="s">
        <v>79</v>
      </c>
      <c r="C55" s="119" t="s">
        <v>208</v>
      </c>
      <c r="D55" s="119" t="s">
        <v>1244</v>
      </c>
      <c r="E55" s="119" t="s">
        <v>1245</v>
      </c>
      <c r="F55" s="119" t="s">
        <v>1016</v>
      </c>
      <c r="G55" s="119" t="s">
        <v>1017</v>
      </c>
    </row>
    <row r="56" spans="1:9" ht="14.25" x14ac:dyDescent="0.45">
      <c r="A56" t="s">
        <v>789</v>
      </c>
      <c r="B56">
        <f>ROW()</f>
        <v>56</v>
      </c>
      <c r="D56" t="s">
        <v>236</v>
      </c>
      <c r="F56" s="215"/>
      <c r="G56" s="75">
        <f>tb_4c_4civ_4.34_1[[#This Row],[Allocated works under construction|
($000)]]+tb_4d_4div_4.44_1[[#This Row],[Allocated works under construction|
($000)]]</f>
        <v>0</v>
      </c>
    </row>
    <row r="57" spans="1:9" ht="14.25" x14ac:dyDescent="0.45">
      <c r="A57" t="s">
        <v>789</v>
      </c>
      <c r="B57">
        <f>ROW()</f>
        <v>57</v>
      </c>
      <c r="C57" t="s">
        <v>214</v>
      </c>
      <c r="D57" t="s">
        <v>237</v>
      </c>
      <c r="E57" t="s">
        <v>238</v>
      </c>
      <c r="F57" s="215"/>
      <c r="G57" s="75">
        <f>tb_4c_4civ_4.34_1[[#This Row],[Allocated works under construction|
($000)]]+tb_4d_4div_4.44_1[[#This Row],[Allocated works under construction|
($000)]]</f>
        <v>0</v>
      </c>
    </row>
    <row r="58" spans="1:9" ht="14.25" x14ac:dyDescent="0.45">
      <c r="A58" t="s">
        <v>789</v>
      </c>
      <c r="B58">
        <f>ROW()</f>
        <v>58</v>
      </c>
      <c r="C58" t="s">
        <v>212</v>
      </c>
      <c r="D58" t="s">
        <v>237</v>
      </c>
      <c r="E58" t="s">
        <v>109</v>
      </c>
      <c r="F58" s="75">
        <f>F22</f>
        <v>0</v>
      </c>
      <c r="G58" s="75">
        <f>tb_4c_4civ_4.34_1[[#This Row],[Allocated works under construction|
($000)]]+tb_4d_4div_4.44_1[[#This Row],[Allocated works under construction|
($000)]]</f>
        <v>0</v>
      </c>
    </row>
    <row r="59" spans="1:9" ht="14.25" x14ac:dyDescent="0.45">
      <c r="A59" t="s">
        <v>789</v>
      </c>
      <c r="B59">
        <f>ROW()</f>
        <v>59</v>
      </c>
      <c r="C59" t="s">
        <v>214</v>
      </c>
      <c r="D59" t="s">
        <v>237</v>
      </c>
      <c r="E59" t="s">
        <v>120</v>
      </c>
      <c r="F59" s="78"/>
      <c r="G59" s="75">
        <f>tb_4c_4civ_4.34_1[[#This Row],[Allocated works under construction|
($000)]]+tb_4d_4div_4.44_1[[#This Row],[Allocated works under construction|
($000)]]</f>
        <v>0</v>
      </c>
    </row>
    <row r="60" spans="1:9" ht="14.25" x14ac:dyDescent="0.45">
      <c r="A60" t="s">
        <v>789</v>
      </c>
      <c r="B60">
        <f>ROW()</f>
        <v>60</v>
      </c>
      <c r="D60" s="30" t="s">
        <v>237</v>
      </c>
      <c r="F60" s="75">
        <f>SUM(F56,F57,-F58)</f>
        <v>0</v>
      </c>
      <c r="G60" s="75">
        <f>SUM(G56,G57,-G58,G59)</f>
        <v>0</v>
      </c>
    </row>
    <row r="61" spans="1:9" ht="14.25" x14ac:dyDescent="0.45"/>
    <row r="62" spans="1:9" ht="21" x14ac:dyDescent="0.65">
      <c r="A62" s="129" t="s">
        <v>789</v>
      </c>
      <c r="F62" s="61"/>
      <c r="G62" s="61"/>
    </row>
    <row r="63" spans="1:9" ht="30" customHeight="1" x14ac:dyDescent="0.45">
      <c r="A63" s="119" t="s">
        <v>78</v>
      </c>
      <c r="B63" s="119" t="s">
        <v>79</v>
      </c>
      <c r="C63" s="119" t="s">
        <v>208</v>
      </c>
      <c r="D63" s="119" t="s">
        <v>1244</v>
      </c>
      <c r="E63" s="119" t="s">
        <v>1245</v>
      </c>
      <c r="F63" s="119" t="s">
        <v>125</v>
      </c>
    </row>
    <row r="64" spans="1:9" ht="14.25" x14ac:dyDescent="0.45">
      <c r="A64" t="s">
        <v>789</v>
      </c>
      <c r="B64">
        <f>ROW()</f>
        <v>64</v>
      </c>
      <c r="D64" t="s">
        <v>239</v>
      </c>
      <c r="F64" s="169" cm="1">
        <f t="array" ref="F64">tb_4c_4civ_4.34_2[%]</f>
        <v>0</v>
      </c>
      <c r="G64" s="61"/>
    </row>
    <row r="65" spans="1:9" ht="14.25" x14ac:dyDescent="0.45">
      <c r="G65" s="61"/>
    </row>
    <row r="66" spans="1:9" ht="14.25" x14ac:dyDescent="0.45">
      <c r="F66" s="61"/>
      <c r="G66" s="61"/>
    </row>
    <row r="67" spans="1:9" ht="21" x14ac:dyDescent="0.65">
      <c r="A67" s="129" t="s">
        <v>790</v>
      </c>
      <c r="G67" s="43"/>
    </row>
    <row r="68" spans="1:9" ht="56.65" customHeight="1" x14ac:dyDescent="0.45">
      <c r="A68" s="119" t="s">
        <v>78</v>
      </c>
      <c r="B68" s="119" t="s">
        <v>79</v>
      </c>
      <c r="C68" s="119" t="s">
        <v>208</v>
      </c>
      <c r="D68" s="119" t="s">
        <v>1244</v>
      </c>
      <c r="E68" s="119" t="s">
        <v>1245</v>
      </c>
      <c r="F68" s="119" t="s">
        <v>1014</v>
      </c>
      <c r="G68" s="119" t="s">
        <v>1015</v>
      </c>
    </row>
    <row r="69" spans="1:9" ht="14.25" x14ac:dyDescent="0.45">
      <c r="A69" t="s">
        <v>790</v>
      </c>
      <c r="B69">
        <f>ROW()</f>
        <v>69</v>
      </c>
      <c r="D69" t="s">
        <v>1267</v>
      </c>
      <c r="F69" s="215">
        <f t="shared" ref="F69:G71" si="0">SUM(F67:F68)</f>
        <v>0</v>
      </c>
      <c r="G69" s="75">
        <f>'S4c.PQ RAB Value Rolled F.'!G70+'S4d.ID-only RAB Value Rolled F'!G70</f>
        <v>0</v>
      </c>
    </row>
    <row r="70" spans="1:9" ht="14.25" x14ac:dyDescent="0.45">
      <c r="A70" t="s">
        <v>790</v>
      </c>
      <c r="B70">
        <f>ROW()</f>
        <v>70</v>
      </c>
      <c r="D70" t="s">
        <v>241</v>
      </c>
      <c r="F70" s="215">
        <f t="shared" si="0"/>
        <v>0</v>
      </c>
      <c r="G70" s="75">
        <f>'S4c.PQ RAB Value Rolled F.'!G71+'S4d.ID-only RAB Value Rolled F'!G71</f>
        <v>0</v>
      </c>
    </row>
    <row r="71" spans="1:9" ht="14.25" x14ac:dyDescent="0.45">
      <c r="A71" t="s">
        <v>790</v>
      </c>
      <c r="B71">
        <f>ROW()</f>
        <v>71</v>
      </c>
      <c r="D71" s="30" t="s">
        <v>242</v>
      </c>
      <c r="F71" s="75">
        <f t="shared" si="0"/>
        <v>0</v>
      </c>
      <c r="G71" s="75">
        <f t="shared" si="0"/>
        <v>0</v>
      </c>
    </row>
    <row r="72" spans="1:9" ht="14.25" x14ac:dyDescent="0.45"/>
    <row r="73" spans="1:9" ht="14.25" x14ac:dyDescent="0.45"/>
    <row r="74" spans="1:9" ht="21" x14ac:dyDescent="0.65">
      <c r="A74" s="129" t="s">
        <v>788</v>
      </c>
    </row>
    <row r="75" spans="1:9" ht="113.45" customHeight="1" x14ac:dyDescent="0.45">
      <c r="A75" s="119" t="s">
        <v>78</v>
      </c>
      <c r="B75" s="119" t="s">
        <v>79</v>
      </c>
      <c r="C75" s="119" t="s">
        <v>208</v>
      </c>
      <c r="D75" s="119" t="s">
        <v>1244</v>
      </c>
      <c r="E75" s="119" t="s">
        <v>1245</v>
      </c>
      <c r="F75" s="119" t="s">
        <v>1018</v>
      </c>
      <c r="G75" s="119" t="s">
        <v>1019</v>
      </c>
      <c r="H75" s="119" t="s">
        <v>1020</v>
      </c>
      <c r="I75" s="119" t="s">
        <v>1021</v>
      </c>
    </row>
    <row r="76" spans="1:9" ht="14.25" x14ac:dyDescent="0.45">
      <c r="A76" t="s">
        <v>788</v>
      </c>
      <c r="B76">
        <f>ROW()</f>
        <v>76</v>
      </c>
      <c r="C76" t="s">
        <v>243</v>
      </c>
      <c r="D76" s="170"/>
      <c r="E76" s="61"/>
      <c r="F76" s="170"/>
      <c r="G76" s="65"/>
      <c r="H76" s="170"/>
      <c r="I76" s="170"/>
    </row>
    <row r="77" spans="1:9" ht="14.25" x14ac:dyDescent="0.45">
      <c r="A77" t="s">
        <v>788</v>
      </c>
      <c r="B77">
        <f>ROW()</f>
        <v>77</v>
      </c>
      <c r="C77" t="s">
        <v>243</v>
      </c>
      <c r="D77" s="170"/>
      <c r="E77" s="61"/>
      <c r="F77" s="170"/>
      <c r="G77" s="65"/>
      <c r="H77" s="170"/>
      <c r="I77" s="170"/>
    </row>
    <row r="78" spans="1:9" ht="14.25" x14ac:dyDescent="0.45">
      <c r="A78" t="s">
        <v>788</v>
      </c>
      <c r="B78">
        <f>ROW()</f>
        <v>78</v>
      </c>
      <c r="C78" t="s">
        <v>243</v>
      </c>
      <c r="D78" s="170"/>
      <c r="E78" s="61"/>
      <c r="F78" s="170"/>
      <c r="G78" s="65"/>
      <c r="H78" s="170"/>
      <c r="I78" s="170"/>
    </row>
    <row r="79" spans="1:9" ht="14.25" x14ac:dyDescent="0.45">
      <c r="A79" t="s">
        <v>788</v>
      </c>
      <c r="B79">
        <f>ROW()</f>
        <v>79</v>
      </c>
      <c r="C79" t="s">
        <v>243</v>
      </c>
      <c r="D79" s="170"/>
      <c r="F79" s="170"/>
      <c r="G79" s="170"/>
      <c r="H79" s="170"/>
      <c r="I79" s="170"/>
    </row>
    <row r="80" spans="1:9" ht="14.25" x14ac:dyDescent="0.45">
      <c r="A80" t="s">
        <v>788</v>
      </c>
      <c r="B80">
        <f>ROW()</f>
        <v>80</v>
      </c>
      <c r="C80" t="s">
        <v>243</v>
      </c>
      <c r="D80" s="170"/>
      <c r="F80" s="170"/>
      <c r="G80" s="170"/>
      <c r="H80" s="170"/>
      <c r="I80" s="170"/>
    </row>
    <row r="81" spans="1:19" ht="14.25" x14ac:dyDescent="0.45">
      <c r="A81" t="s">
        <v>788</v>
      </c>
      <c r="B81">
        <f>ROW()</f>
        <v>81</v>
      </c>
      <c r="C81" t="s">
        <v>243</v>
      </c>
      <c r="D81" s="170"/>
      <c r="F81" s="170"/>
      <c r="G81" s="170"/>
      <c r="H81" s="170"/>
      <c r="I81" s="170"/>
    </row>
    <row r="82" spans="1:19" ht="14.25" x14ac:dyDescent="0.45">
      <c r="A82" t="s">
        <v>788</v>
      </c>
      <c r="B82">
        <f>ROW()</f>
        <v>82</v>
      </c>
      <c r="C82" t="s">
        <v>243</v>
      </c>
      <c r="D82" s="170"/>
      <c r="F82" s="170"/>
      <c r="G82" s="170"/>
      <c r="H82" s="170"/>
      <c r="I82" s="170"/>
    </row>
    <row r="83" spans="1:19" ht="14.25" x14ac:dyDescent="0.45">
      <c r="A83" t="s">
        <v>788</v>
      </c>
      <c r="B83">
        <f>ROW()</f>
        <v>83</v>
      </c>
      <c r="C83" t="s">
        <v>243</v>
      </c>
      <c r="D83" s="170"/>
      <c r="F83" s="170"/>
      <c r="G83" s="170"/>
      <c r="H83" s="170"/>
      <c r="I83" s="170"/>
    </row>
    <row r="84" spans="1:19" ht="14.25" x14ac:dyDescent="0.45"/>
    <row r="85" spans="1:19" ht="14.25" x14ac:dyDescent="0.45">
      <c r="A85" s="64" t="s">
        <v>244</v>
      </c>
    </row>
    <row r="86" spans="1:19" ht="14.25" x14ac:dyDescent="0.45">
      <c r="A86" s="64"/>
      <c r="E86" s="216"/>
    </row>
    <row r="87" spans="1:19" ht="14.25" x14ac:dyDescent="0.45">
      <c r="A87" s="64"/>
    </row>
    <row r="88" spans="1:19" ht="21.4" thickBot="1" x14ac:dyDescent="0.7">
      <c r="A88" s="129" t="s">
        <v>791</v>
      </c>
    </row>
    <row r="89" spans="1:19" ht="76.5" customHeight="1" thickBot="1" x14ac:dyDescent="0.5">
      <c r="A89" s="119" t="s">
        <v>78</v>
      </c>
      <c r="B89" s="119" t="s">
        <v>79</v>
      </c>
      <c r="C89" s="119" t="s">
        <v>1244</v>
      </c>
      <c r="D89" s="119" t="s">
        <v>1245</v>
      </c>
      <c r="E89" s="119" t="s">
        <v>92</v>
      </c>
      <c r="F89" s="119" t="s">
        <v>245</v>
      </c>
      <c r="G89" s="119" t="s">
        <v>246</v>
      </c>
      <c r="H89" s="119" t="s">
        <v>247</v>
      </c>
      <c r="I89" s="119" t="s">
        <v>248</v>
      </c>
      <c r="J89" s="119" t="s">
        <v>249</v>
      </c>
      <c r="K89" s="119" t="s">
        <v>250</v>
      </c>
      <c r="L89" s="119" t="s">
        <v>325</v>
      </c>
      <c r="M89" s="119" t="s">
        <v>251</v>
      </c>
      <c r="N89" s="119" t="s">
        <v>252</v>
      </c>
      <c r="R89" s="67" t="s">
        <v>253</v>
      </c>
      <c r="S89" s="68" t="s">
        <v>254</v>
      </c>
    </row>
    <row r="90" spans="1:19" ht="14.25" x14ac:dyDescent="0.45">
      <c r="A90" t="s">
        <v>791</v>
      </c>
      <c r="B90">
        <f>ROW()</f>
        <v>90</v>
      </c>
      <c r="C90" t="s">
        <v>256</v>
      </c>
      <c r="D90" t="s">
        <v>181</v>
      </c>
      <c r="E90" s="158">
        <f>'S4c.PQ RAB Value Rolled F.'!F90+'S4d.ID-only RAB Value Rolled F'!E90</f>
        <v>0</v>
      </c>
      <c r="F90" s="158">
        <f>'S4c.PQ RAB Value Rolled F.'!G90+'S4d.ID-only RAB Value Rolled F'!F90</f>
        <v>0</v>
      </c>
      <c r="G90" s="158">
        <f>'S4c.PQ RAB Value Rolled F.'!H90+'S4d.ID-only RAB Value Rolled F'!G90</f>
        <v>0</v>
      </c>
      <c r="H90" s="158">
        <f>'S4c.PQ RAB Value Rolled F.'!I90+'S4d.ID-only RAB Value Rolled F'!H90</f>
        <v>0</v>
      </c>
      <c r="I90" s="158">
        <f>'S4c.PQ RAB Value Rolled F.'!J90+'S4d.ID-only RAB Value Rolled F'!I90</f>
        <v>0</v>
      </c>
      <c r="J90" s="158">
        <f>'S4c.PQ RAB Value Rolled F.'!K90+'S4d.ID-only RAB Value Rolled F'!J90</f>
        <v>0</v>
      </c>
      <c r="K90" s="158">
        <f>'S4c.PQ RAB Value Rolled F.'!L90+'S4d.ID-only RAB Value Rolled F'!K90</f>
        <v>0</v>
      </c>
      <c r="L90"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90" s="65"/>
      <c r="N90" s="65"/>
      <c r="R90" s="69">
        <f>G16</f>
        <v>0</v>
      </c>
      <c r="S90" s="70" t="b">
        <f>ROUND(R90,0)=ROUND(E113,0)</f>
        <v>1</v>
      </c>
    </row>
    <row r="91" spans="1:19" ht="14.25" x14ac:dyDescent="0.45">
      <c r="A91" t="s">
        <v>791</v>
      </c>
      <c r="B91">
        <f>ROW()</f>
        <v>91</v>
      </c>
      <c r="C91" t="s">
        <v>256</v>
      </c>
      <c r="D91" t="s">
        <v>185</v>
      </c>
      <c r="E91" s="158">
        <f>'S4c.PQ RAB Value Rolled F.'!F91+'S4d.ID-only RAB Value Rolled F'!E91</f>
        <v>0</v>
      </c>
      <c r="F91" s="158">
        <f>'S4c.PQ RAB Value Rolled F.'!G91+'S4d.ID-only RAB Value Rolled F'!F91</f>
        <v>0</v>
      </c>
      <c r="G91" s="158">
        <f>'S4c.PQ RAB Value Rolled F.'!H91+'S4d.ID-only RAB Value Rolled F'!G91</f>
        <v>0</v>
      </c>
      <c r="H91" s="158">
        <f>'S4c.PQ RAB Value Rolled F.'!I91+'S4d.ID-only RAB Value Rolled F'!H91</f>
        <v>0</v>
      </c>
      <c r="I91" s="158">
        <f>'S4c.PQ RAB Value Rolled F.'!J91+'S4d.ID-only RAB Value Rolled F'!I91</f>
        <v>0</v>
      </c>
      <c r="J91" s="158">
        <f>'S4c.PQ RAB Value Rolled F.'!K91+'S4d.ID-only RAB Value Rolled F'!J91</f>
        <v>0</v>
      </c>
      <c r="K91" s="158">
        <f>'S4c.PQ RAB Value Rolled F.'!L91+'S4d.ID-only RAB Value Rolled F'!K91</f>
        <v>0</v>
      </c>
      <c r="L91"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91" s="65"/>
      <c r="N91" s="65"/>
      <c r="R91" s="69">
        <f>G17</f>
        <v>0</v>
      </c>
      <c r="S91" s="71" t="b">
        <f>ROUND(R91,0)=ROUND(F113,0)</f>
        <v>1</v>
      </c>
    </row>
    <row r="92" spans="1:19" ht="14.25" x14ac:dyDescent="0.45">
      <c r="A92" t="s">
        <v>791</v>
      </c>
      <c r="B92">
        <f>ROW()</f>
        <v>92</v>
      </c>
      <c r="C92" t="s">
        <v>256</v>
      </c>
      <c r="D92" t="s">
        <v>186</v>
      </c>
      <c r="E92" s="158">
        <f>'S4c.PQ RAB Value Rolled F.'!F92+'S4d.ID-only RAB Value Rolled F'!E92</f>
        <v>0</v>
      </c>
      <c r="F92" s="158">
        <f>'S4c.PQ RAB Value Rolled F.'!G92+'S4d.ID-only RAB Value Rolled F'!F92</f>
        <v>0</v>
      </c>
      <c r="G92" s="158">
        <f>'S4c.PQ RAB Value Rolled F.'!H92+'S4d.ID-only RAB Value Rolled F'!G92</f>
        <v>0</v>
      </c>
      <c r="H92" s="158">
        <f>'S4c.PQ RAB Value Rolled F.'!I92+'S4d.ID-only RAB Value Rolled F'!H92</f>
        <v>0</v>
      </c>
      <c r="I92" s="158">
        <f>'S4c.PQ RAB Value Rolled F.'!J92+'S4d.ID-only RAB Value Rolled F'!I92</f>
        <v>0</v>
      </c>
      <c r="J92" s="158">
        <f>'S4c.PQ RAB Value Rolled F.'!K92+'S4d.ID-only RAB Value Rolled F'!J92</f>
        <v>0</v>
      </c>
      <c r="K92" s="158">
        <f>'S4c.PQ RAB Value Rolled F.'!L92+'S4d.ID-only RAB Value Rolled F'!K92</f>
        <v>0</v>
      </c>
      <c r="L92"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92" s="65"/>
      <c r="N92" s="65"/>
      <c r="R92" s="69">
        <f>G18</f>
        <v>0</v>
      </c>
      <c r="S92" s="71" t="b">
        <f>ROUND(R92,0)=ROUND(G113,0)</f>
        <v>1</v>
      </c>
    </row>
    <row r="93" spans="1:19" ht="14.25" x14ac:dyDescent="0.45">
      <c r="A93" t="s">
        <v>791</v>
      </c>
      <c r="B93">
        <f>ROW()</f>
        <v>93</v>
      </c>
      <c r="C93" t="s">
        <v>256</v>
      </c>
      <c r="D93" t="s">
        <v>187</v>
      </c>
      <c r="E93" s="158">
        <f>'S4c.PQ RAB Value Rolled F.'!F93+'S4d.ID-only RAB Value Rolled F'!E93</f>
        <v>0</v>
      </c>
      <c r="F93" s="158">
        <f>'S4c.PQ RAB Value Rolled F.'!G93+'S4d.ID-only RAB Value Rolled F'!F93</f>
        <v>0</v>
      </c>
      <c r="G93" s="158">
        <f>'S4c.PQ RAB Value Rolled F.'!H93+'S4d.ID-only RAB Value Rolled F'!G93</f>
        <v>0</v>
      </c>
      <c r="H93" s="158">
        <f>'S4c.PQ RAB Value Rolled F.'!I93+'S4d.ID-only RAB Value Rolled F'!H93</f>
        <v>0</v>
      </c>
      <c r="I93" s="158">
        <f>'S4c.PQ RAB Value Rolled F.'!J93+'S4d.ID-only RAB Value Rolled F'!I93</f>
        <v>0</v>
      </c>
      <c r="J93" s="158">
        <f>'S4c.PQ RAB Value Rolled F.'!K93+'S4d.ID-only RAB Value Rolled F'!J93</f>
        <v>0</v>
      </c>
      <c r="K93" s="158">
        <f>'S4c.PQ RAB Value Rolled F.'!L93+'S4d.ID-only RAB Value Rolled F'!K93</f>
        <v>0</v>
      </c>
      <c r="L93"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93" s="65"/>
      <c r="N93" s="65"/>
      <c r="R93" s="69">
        <f>G22</f>
        <v>0</v>
      </c>
      <c r="S93" s="71" t="b">
        <f>ROUND(R93,0)=ROUND(H113,0)</f>
        <v>1</v>
      </c>
    </row>
    <row r="94" spans="1:19" ht="14.25" x14ac:dyDescent="0.45">
      <c r="A94" t="s">
        <v>791</v>
      </c>
      <c r="B94">
        <f>ROW()</f>
        <v>94</v>
      </c>
      <c r="C94" t="s">
        <v>256</v>
      </c>
      <c r="D94" t="s">
        <v>257</v>
      </c>
      <c r="E94" s="158">
        <f>'S4c.PQ RAB Value Rolled F.'!F94+'S4d.ID-only RAB Value Rolled F'!E94</f>
        <v>0</v>
      </c>
      <c r="F94" s="158">
        <f>'S4c.PQ RAB Value Rolled F.'!G94+'S4d.ID-only RAB Value Rolled F'!F94</f>
        <v>0</v>
      </c>
      <c r="G94" s="158">
        <f>'S4c.PQ RAB Value Rolled F.'!H94+'S4d.ID-only RAB Value Rolled F'!G94</f>
        <v>0</v>
      </c>
      <c r="H94" s="158">
        <f>'S4c.PQ RAB Value Rolled F.'!I94+'S4d.ID-only RAB Value Rolled F'!H94</f>
        <v>0</v>
      </c>
      <c r="I94" s="158">
        <f>'S4c.PQ RAB Value Rolled F.'!J94+'S4d.ID-only RAB Value Rolled F'!I94</f>
        <v>0</v>
      </c>
      <c r="J94" s="158">
        <f>'S4c.PQ RAB Value Rolled F.'!K94+'S4d.ID-only RAB Value Rolled F'!J94</f>
        <v>0</v>
      </c>
      <c r="K94" s="158">
        <f>'S4c.PQ RAB Value Rolled F.'!L94+'S4d.ID-only RAB Value Rolled F'!K94</f>
        <v>0</v>
      </c>
      <c r="L94"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94" s="65"/>
      <c r="N94" s="65"/>
      <c r="R94" s="69">
        <f>G26</f>
        <v>0</v>
      </c>
      <c r="S94" s="71" t="b">
        <f>ROUND(R94,0)=ROUND(I113,0)</f>
        <v>1</v>
      </c>
    </row>
    <row r="95" spans="1:19" ht="14.25" x14ac:dyDescent="0.45">
      <c r="A95" t="s">
        <v>791</v>
      </c>
      <c r="B95">
        <f>ROW()</f>
        <v>95</v>
      </c>
      <c r="C95" t="s">
        <v>256</v>
      </c>
      <c r="D95" t="s">
        <v>189</v>
      </c>
      <c r="E95" s="158">
        <f>'S4c.PQ RAB Value Rolled F.'!F95+'S4d.ID-only RAB Value Rolled F'!E95</f>
        <v>0</v>
      </c>
      <c r="F95" s="158">
        <f>'S4c.PQ RAB Value Rolled F.'!G95+'S4d.ID-only RAB Value Rolled F'!F95</f>
        <v>0</v>
      </c>
      <c r="G95" s="158">
        <f>'S4c.PQ RAB Value Rolled F.'!H95+'S4d.ID-only RAB Value Rolled F'!G95</f>
        <v>0</v>
      </c>
      <c r="H95" s="158">
        <f>'S4c.PQ RAB Value Rolled F.'!I95+'S4d.ID-only RAB Value Rolled F'!H95</f>
        <v>0</v>
      </c>
      <c r="I95" s="158">
        <f>'S4c.PQ RAB Value Rolled F.'!J95+'S4d.ID-only RAB Value Rolled F'!I95</f>
        <v>0</v>
      </c>
      <c r="J95" s="158">
        <f>'S4c.PQ RAB Value Rolled F.'!K95+'S4d.ID-only RAB Value Rolled F'!J95</f>
        <v>0</v>
      </c>
      <c r="K95" s="158">
        <f>'S4c.PQ RAB Value Rolled F.'!L95+'S4d.ID-only RAB Value Rolled F'!K95</f>
        <v>0</v>
      </c>
      <c r="L95"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95" s="65"/>
      <c r="N95" s="65"/>
      <c r="R95" s="69">
        <f>G28</f>
        <v>0</v>
      </c>
      <c r="S95" s="71" t="b">
        <f>ROUND(R95,0)=ROUND((J113+K113),0)</f>
        <v>1</v>
      </c>
    </row>
    <row r="96" spans="1:19" ht="14.25" x14ac:dyDescent="0.45">
      <c r="A96" t="s">
        <v>791</v>
      </c>
      <c r="B96">
        <f>ROW()</f>
        <v>96</v>
      </c>
      <c r="C96" t="s">
        <v>256</v>
      </c>
      <c r="D96" t="s">
        <v>190</v>
      </c>
      <c r="E96" s="158">
        <f>'S4c.PQ RAB Value Rolled F.'!F96+'S4d.ID-only RAB Value Rolled F'!E96</f>
        <v>0</v>
      </c>
      <c r="F96" s="158">
        <f>'S4c.PQ RAB Value Rolled F.'!G96+'S4d.ID-only RAB Value Rolled F'!F96</f>
        <v>0</v>
      </c>
      <c r="G96" s="158">
        <f>'S4c.PQ RAB Value Rolled F.'!H96+'S4d.ID-only RAB Value Rolled F'!G96</f>
        <v>0</v>
      </c>
      <c r="H96" s="158">
        <f>'S4c.PQ RAB Value Rolled F.'!I96+'S4d.ID-only RAB Value Rolled F'!H96</f>
        <v>0</v>
      </c>
      <c r="I96" s="158">
        <f>'S4c.PQ RAB Value Rolled F.'!J96+'S4d.ID-only RAB Value Rolled F'!I96</f>
        <v>0</v>
      </c>
      <c r="J96" s="158">
        <f>'S4c.PQ RAB Value Rolled F.'!K96+'S4d.ID-only RAB Value Rolled F'!J96</f>
        <v>0</v>
      </c>
      <c r="K96" s="158">
        <f>'S4c.PQ RAB Value Rolled F.'!L96+'S4d.ID-only RAB Value Rolled F'!K96</f>
        <v>0</v>
      </c>
      <c r="L96"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96" s="65"/>
      <c r="N96" s="65"/>
      <c r="R96" s="69"/>
      <c r="S96" s="71"/>
    </row>
    <row r="97" spans="1:19" ht="14.65" thickBot="1" x14ac:dyDescent="0.5">
      <c r="A97" t="s">
        <v>791</v>
      </c>
      <c r="B97">
        <f>ROW()</f>
        <v>97</v>
      </c>
      <c r="C97" t="s">
        <v>256</v>
      </c>
      <c r="D97" t="s">
        <v>191</v>
      </c>
      <c r="E97" s="158">
        <f>'S4c.PQ RAB Value Rolled F.'!F97+'S4d.ID-only RAB Value Rolled F'!E97</f>
        <v>0</v>
      </c>
      <c r="F97" s="158">
        <f>'S4c.PQ RAB Value Rolled F.'!G97+'S4d.ID-only RAB Value Rolled F'!F97</f>
        <v>0</v>
      </c>
      <c r="G97" s="158">
        <f>'S4c.PQ RAB Value Rolled F.'!H97+'S4d.ID-only RAB Value Rolled F'!G97</f>
        <v>0</v>
      </c>
      <c r="H97" s="158">
        <f>'S4c.PQ RAB Value Rolled F.'!I97+'S4d.ID-only RAB Value Rolled F'!H97</f>
        <v>0</v>
      </c>
      <c r="I97" s="158">
        <f>'S4c.PQ RAB Value Rolled F.'!J97+'S4d.ID-only RAB Value Rolled F'!I97</f>
        <v>0</v>
      </c>
      <c r="J97" s="158">
        <f>'S4c.PQ RAB Value Rolled F.'!K97+'S4d.ID-only RAB Value Rolled F'!J97</f>
        <v>0</v>
      </c>
      <c r="K97" s="158">
        <f>'S4c.PQ RAB Value Rolled F.'!L97+'S4d.ID-only RAB Value Rolled F'!K97</f>
        <v>0</v>
      </c>
      <c r="L97"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97" s="65"/>
      <c r="N97" s="65"/>
      <c r="R97" s="72">
        <f>G29</f>
        <v>0</v>
      </c>
      <c r="S97" s="73" t="b">
        <f>ROUND(R97,0)=ROUND(L113,0)</f>
        <v>1</v>
      </c>
    </row>
    <row r="98" spans="1:19" ht="14.25" x14ac:dyDescent="0.45">
      <c r="A98" t="s">
        <v>791</v>
      </c>
      <c r="B98">
        <f>ROW()</f>
        <v>98</v>
      </c>
      <c r="C98" t="s">
        <v>256</v>
      </c>
      <c r="D98" s="30" t="s">
        <v>258</v>
      </c>
      <c r="E98" s="158">
        <f>SUM(E90:E97)</f>
        <v>0</v>
      </c>
      <c r="F98" s="158">
        <f t="shared" ref="F98:K98" si="1">SUM(F90:F97)</f>
        <v>0</v>
      </c>
      <c r="G98" s="158">
        <f t="shared" si="1"/>
        <v>0</v>
      </c>
      <c r="H98" s="158">
        <f t="shared" si="1"/>
        <v>0</v>
      </c>
      <c r="I98" s="158">
        <f t="shared" si="1"/>
        <v>0</v>
      </c>
      <c r="J98" s="158">
        <f t="shared" si="1"/>
        <v>0</v>
      </c>
      <c r="K98" s="158">
        <f t="shared" si="1"/>
        <v>0</v>
      </c>
      <c r="L98"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98" s="83"/>
      <c r="N98" s="83"/>
      <c r="P98" s="77" t="str">
        <f>IF(E98-F98+G98+H98-I98+J98+K98=L98,"OK","ERROR")</f>
        <v>OK</v>
      </c>
    </row>
    <row r="99" spans="1:19" ht="14.25" x14ac:dyDescent="0.45">
      <c r="A99" t="s">
        <v>791</v>
      </c>
      <c r="B99">
        <f>ROW()</f>
        <v>99</v>
      </c>
      <c r="C99" t="s">
        <v>259</v>
      </c>
      <c r="D99" t="s">
        <v>257</v>
      </c>
      <c r="E99" s="158">
        <f>'S4c.PQ RAB Value Rolled F.'!F99+'S4d.ID-only RAB Value Rolled F'!E99</f>
        <v>0</v>
      </c>
      <c r="F99" s="158">
        <f>'S4c.PQ RAB Value Rolled F.'!G99+'S4d.ID-only RAB Value Rolled F'!F99</f>
        <v>0</v>
      </c>
      <c r="G99" s="158">
        <f>'S4c.PQ RAB Value Rolled F.'!H99+'S4d.ID-only RAB Value Rolled F'!G99</f>
        <v>0</v>
      </c>
      <c r="H99" s="158">
        <f>'S4c.PQ RAB Value Rolled F.'!I99+'S4d.ID-only RAB Value Rolled F'!H99</f>
        <v>0</v>
      </c>
      <c r="I99" s="158">
        <f>'S4c.PQ RAB Value Rolled F.'!J99+'S4d.ID-only RAB Value Rolled F'!I99</f>
        <v>0</v>
      </c>
      <c r="J99" s="158">
        <f>'S4c.PQ RAB Value Rolled F.'!K99+'S4d.ID-only RAB Value Rolled F'!J99</f>
        <v>0</v>
      </c>
      <c r="K99" s="158">
        <f>'S4c.PQ RAB Value Rolled F.'!L99+'S4d.ID-only RAB Value Rolled F'!K99</f>
        <v>0</v>
      </c>
      <c r="L99"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99" s="65"/>
      <c r="N99" s="65"/>
    </row>
    <row r="100" spans="1:19" ht="14.25" x14ac:dyDescent="0.45">
      <c r="A100" t="s">
        <v>791</v>
      </c>
      <c r="B100">
        <f>ROW()</f>
        <v>100</v>
      </c>
      <c r="C100" t="s">
        <v>259</v>
      </c>
      <c r="D100" t="s">
        <v>189</v>
      </c>
      <c r="E100" s="158">
        <f>'S4c.PQ RAB Value Rolled F.'!F100+'S4d.ID-only RAB Value Rolled F'!E100</f>
        <v>0</v>
      </c>
      <c r="F100" s="158">
        <f>'S4c.PQ RAB Value Rolled F.'!G100+'S4d.ID-only RAB Value Rolled F'!F100</f>
        <v>0</v>
      </c>
      <c r="G100" s="158">
        <f>'S4c.PQ RAB Value Rolled F.'!H100+'S4d.ID-only RAB Value Rolled F'!G100</f>
        <v>0</v>
      </c>
      <c r="H100" s="158">
        <f>'S4c.PQ RAB Value Rolled F.'!I100+'S4d.ID-only RAB Value Rolled F'!H100</f>
        <v>0</v>
      </c>
      <c r="I100" s="158">
        <f>'S4c.PQ RAB Value Rolled F.'!J100+'S4d.ID-only RAB Value Rolled F'!I100</f>
        <v>0</v>
      </c>
      <c r="J100" s="158">
        <f>'S4c.PQ RAB Value Rolled F.'!K100+'S4d.ID-only RAB Value Rolled F'!J100</f>
        <v>0</v>
      </c>
      <c r="K100" s="158">
        <f>'S4c.PQ RAB Value Rolled F.'!L100+'S4d.ID-only RAB Value Rolled F'!K100</f>
        <v>0</v>
      </c>
      <c r="L100"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00" s="65"/>
      <c r="N100" s="65"/>
    </row>
    <row r="101" spans="1:19" ht="14.25" x14ac:dyDescent="0.45">
      <c r="A101" t="s">
        <v>791</v>
      </c>
      <c r="B101">
        <f>ROW()</f>
        <v>101</v>
      </c>
      <c r="C101" t="s">
        <v>259</v>
      </c>
      <c r="D101" t="s">
        <v>190</v>
      </c>
      <c r="E101" s="158">
        <f>'S4c.PQ RAB Value Rolled F.'!F101+'S4d.ID-only RAB Value Rolled F'!E101</f>
        <v>0</v>
      </c>
      <c r="F101" s="158">
        <f>'S4c.PQ RAB Value Rolled F.'!G101+'S4d.ID-only RAB Value Rolled F'!F101</f>
        <v>0</v>
      </c>
      <c r="G101" s="158">
        <f>'S4c.PQ RAB Value Rolled F.'!H101+'S4d.ID-only RAB Value Rolled F'!G101</f>
        <v>0</v>
      </c>
      <c r="H101" s="158">
        <f>'S4c.PQ RAB Value Rolled F.'!I101+'S4d.ID-only RAB Value Rolled F'!H101</f>
        <v>0</v>
      </c>
      <c r="I101" s="158">
        <f>'S4c.PQ RAB Value Rolled F.'!J101+'S4d.ID-only RAB Value Rolled F'!I101</f>
        <v>0</v>
      </c>
      <c r="J101" s="158">
        <f>'S4c.PQ RAB Value Rolled F.'!K101+'S4d.ID-only RAB Value Rolled F'!J101</f>
        <v>0</v>
      </c>
      <c r="K101" s="158">
        <f>'S4c.PQ RAB Value Rolled F.'!L101+'S4d.ID-only RAB Value Rolled F'!K101</f>
        <v>0</v>
      </c>
      <c r="L101"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01" s="65"/>
      <c r="N101" s="65"/>
    </row>
    <row r="102" spans="1:19" ht="14.25" x14ac:dyDescent="0.45">
      <c r="A102" t="s">
        <v>791</v>
      </c>
      <c r="B102">
        <f>ROW()</f>
        <v>102</v>
      </c>
      <c r="C102" t="s">
        <v>259</v>
      </c>
      <c r="D102" t="s">
        <v>193</v>
      </c>
      <c r="E102" s="158">
        <f>'S4c.PQ RAB Value Rolled F.'!F102+'S4d.ID-only RAB Value Rolled F'!E102</f>
        <v>0</v>
      </c>
      <c r="F102" s="158">
        <f>'S4c.PQ RAB Value Rolled F.'!G102+'S4d.ID-only RAB Value Rolled F'!F102</f>
        <v>0</v>
      </c>
      <c r="G102" s="158">
        <f>'S4c.PQ RAB Value Rolled F.'!H102+'S4d.ID-only RAB Value Rolled F'!G102</f>
        <v>0</v>
      </c>
      <c r="H102" s="158">
        <f>'S4c.PQ RAB Value Rolled F.'!I102+'S4d.ID-only RAB Value Rolled F'!H102</f>
        <v>0</v>
      </c>
      <c r="I102" s="158">
        <f>'S4c.PQ RAB Value Rolled F.'!J102+'S4d.ID-only RAB Value Rolled F'!I102</f>
        <v>0</v>
      </c>
      <c r="J102" s="158">
        <f>'S4c.PQ RAB Value Rolled F.'!K102+'S4d.ID-only RAB Value Rolled F'!J102</f>
        <v>0</v>
      </c>
      <c r="K102" s="158">
        <f>'S4c.PQ RAB Value Rolled F.'!L102+'S4d.ID-only RAB Value Rolled F'!K102</f>
        <v>0</v>
      </c>
      <c r="L102"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02" s="65"/>
      <c r="N102" s="65"/>
    </row>
    <row r="103" spans="1:19" ht="14.25" x14ac:dyDescent="0.45">
      <c r="A103" t="s">
        <v>791</v>
      </c>
      <c r="B103">
        <f>ROW()</f>
        <v>103</v>
      </c>
      <c r="C103" t="s">
        <v>259</v>
      </c>
      <c r="D103" s="30" t="s">
        <v>260</v>
      </c>
      <c r="E103" s="158">
        <f t="shared" ref="E103:K103" si="2">SUM(E99:E102)</f>
        <v>0</v>
      </c>
      <c r="F103" s="158">
        <f t="shared" si="2"/>
        <v>0</v>
      </c>
      <c r="G103" s="158">
        <f t="shared" si="2"/>
        <v>0</v>
      </c>
      <c r="H103" s="158">
        <f t="shared" si="2"/>
        <v>0</v>
      </c>
      <c r="I103" s="158">
        <f t="shared" si="2"/>
        <v>0</v>
      </c>
      <c r="J103" s="158">
        <f t="shared" si="2"/>
        <v>0</v>
      </c>
      <c r="K103" s="158">
        <f t="shared" si="2"/>
        <v>0</v>
      </c>
      <c r="L103"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03" s="83"/>
      <c r="N103" s="83"/>
      <c r="P103" s="77" t="str">
        <f>IF(E103-F103+G103+H103-I103+J103+K103=L103,"OK","ERROR")</f>
        <v>OK</v>
      </c>
    </row>
    <row r="104" spans="1:19" ht="14.25" x14ac:dyDescent="0.45">
      <c r="A104" t="s">
        <v>791</v>
      </c>
      <c r="B104">
        <f>ROW()</f>
        <v>104</v>
      </c>
      <c r="C104" t="s">
        <v>261</v>
      </c>
      <c r="D104" t="s">
        <v>195</v>
      </c>
      <c r="E104" s="158">
        <f>'S4c.PQ RAB Value Rolled F.'!F104+'S4d.ID-only RAB Value Rolled F'!E104</f>
        <v>0</v>
      </c>
      <c r="F104" s="158">
        <f>'S4c.PQ RAB Value Rolled F.'!G104+'S4d.ID-only RAB Value Rolled F'!F104</f>
        <v>0</v>
      </c>
      <c r="G104" s="158">
        <f>'S4c.PQ RAB Value Rolled F.'!H104+'S4d.ID-only RAB Value Rolled F'!G104</f>
        <v>0</v>
      </c>
      <c r="H104" s="158">
        <f>'S4c.PQ RAB Value Rolled F.'!I104+'S4d.ID-only RAB Value Rolled F'!H104</f>
        <v>0</v>
      </c>
      <c r="I104" s="158">
        <f>'S4c.PQ RAB Value Rolled F.'!J104+'S4d.ID-only RAB Value Rolled F'!I104</f>
        <v>0</v>
      </c>
      <c r="J104" s="158">
        <f>'S4c.PQ RAB Value Rolled F.'!K104+'S4d.ID-only RAB Value Rolled F'!J104</f>
        <v>0</v>
      </c>
      <c r="K104" s="158">
        <f>'S4c.PQ RAB Value Rolled F.'!L104+'S4d.ID-only RAB Value Rolled F'!K104</f>
        <v>0</v>
      </c>
      <c r="L104"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04" s="65"/>
      <c r="N104" s="65"/>
    </row>
    <row r="105" spans="1:19" ht="13.9" customHeight="1" x14ac:dyDescent="0.45">
      <c r="A105" t="s">
        <v>791</v>
      </c>
      <c r="B105">
        <f>ROW()</f>
        <v>105</v>
      </c>
      <c r="C105" t="s">
        <v>261</v>
      </c>
      <c r="D105" t="s">
        <v>196</v>
      </c>
      <c r="E105" s="158">
        <f>'S4c.PQ RAB Value Rolled F.'!F105+'S4d.ID-only RAB Value Rolled F'!E105</f>
        <v>0</v>
      </c>
      <c r="F105" s="158">
        <f>'S4c.PQ RAB Value Rolled F.'!G105+'S4d.ID-only RAB Value Rolled F'!F105</f>
        <v>0</v>
      </c>
      <c r="G105" s="158">
        <f>'S4c.PQ RAB Value Rolled F.'!H105+'S4d.ID-only RAB Value Rolled F'!G105</f>
        <v>0</v>
      </c>
      <c r="H105" s="158">
        <f>'S4c.PQ RAB Value Rolled F.'!I105+'S4d.ID-only RAB Value Rolled F'!H105</f>
        <v>0</v>
      </c>
      <c r="I105" s="158">
        <f>'S4c.PQ RAB Value Rolled F.'!J105+'S4d.ID-only RAB Value Rolled F'!I105</f>
        <v>0</v>
      </c>
      <c r="J105" s="158">
        <f>'S4c.PQ RAB Value Rolled F.'!K105+'S4d.ID-only RAB Value Rolled F'!J105</f>
        <v>0</v>
      </c>
      <c r="K105" s="158">
        <f>'S4c.PQ RAB Value Rolled F.'!L105+'S4d.ID-only RAB Value Rolled F'!K105</f>
        <v>0</v>
      </c>
      <c r="L105"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05" s="65"/>
      <c r="N105" s="65"/>
    </row>
    <row r="106" spans="1:19" ht="14.25" x14ac:dyDescent="0.45">
      <c r="A106" t="s">
        <v>791</v>
      </c>
      <c r="B106">
        <f>ROW()</f>
        <v>106</v>
      </c>
      <c r="C106" t="s">
        <v>261</v>
      </c>
      <c r="D106" s="30" t="s">
        <v>262</v>
      </c>
      <c r="E106" s="158">
        <f t="shared" ref="E106:K106" si="3">SUM(E98,E103,E104:E105)</f>
        <v>0</v>
      </c>
      <c r="F106" s="158">
        <f t="shared" si="3"/>
        <v>0</v>
      </c>
      <c r="G106" s="158">
        <f t="shared" si="3"/>
        <v>0</v>
      </c>
      <c r="H106" s="158">
        <f t="shared" si="3"/>
        <v>0</v>
      </c>
      <c r="I106" s="158">
        <f t="shared" si="3"/>
        <v>0</v>
      </c>
      <c r="J106" s="158">
        <f t="shared" si="3"/>
        <v>0</v>
      </c>
      <c r="K106" s="158">
        <f t="shared" si="3"/>
        <v>0</v>
      </c>
      <c r="L106"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06" s="83"/>
      <c r="N106" s="83"/>
      <c r="P106" s="77" t="str">
        <f>IF(E106-F106+G106+H106-I106+J106+K106=L106,"OK","ERROR")</f>
        <v>OK</v>
      </c>
    </row>
    <row r="107" spans="1:19" ht="14.25" x14ac:dyDescent="0.45">
      <c r="A107" t="s">
        <v>791</v>
      </c>
      <c r="B107">
        <f>ROW()</f>
        <v>107</v>
      </c>
      <c r="C107" t="s">
        <v>263</v>
      </c>
      <c r="D107" t="s">
        <v>198</v>
      </c>
      <c r="E107" s="158">
        <f>'S4c.PQ RAB Value Rolled F.'!F107+'S4d.ID-only RAB Value Rolled F'!E107</f>
        <v>0</v>
      </c>
      <c r="F107" s="158">
        <f>'S4c.PQ RAB Value Rolled F.'!G107+'S4d.ID-only RAB Value Rolled F'!F107</f>
        <v>0</v>
      </c>
      <c r="G107" s="158">
        <f>'S4c.PQ RAB Value Rolled F.'!H107+'S4d.ID-only RAB Value Rolled F'!G107</f>
        <v>0</v>
      </c>
      <c r="H107" s="158">
        <f>'S4c.PQ RAB Value Rolled F.'!I107+'S4d.ID-only RAB Value Rolled F'!H107</f>
        <v>0</v>
      </c>
      <c r="I107" s="158">
        <f>'S4c.PQ RAB Value Rolled F.'!J107+'S4d.ID-only RAB Value Rolled F'!I107</f>
        <v>0</v>
      </c>
      <c r="J107" s="158">
        <f>'S4c.PQ RAB Value Rolled F.'!K107+'S4d.ID-only RAB Value Rolled F'!J107</f>
        <v>0</v>
      </c>
      <c r="K107" s="158">
        <f>'S4c.PQ RAB Value Rolled F.'!L107+'S4d.ID-only RAB Value Rolled F'!K107</f>
        <v>0</v>
      </c>
      <c r="L107"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07" s="170"/>
      <c r="N107" s="170"/>
    </row>
    <row r="108" spans="1:19" ht="14.25" x14ac:dyDescent="0.45">
      <c r="A108" t="s">
        <v>791</v>
      </c>
      <c r="B108">
        <f>ROW()</f>
        <v>108</v>
      </c>
      <c r="C108" t="s">
        <v>263</v>
      </c>
      <c r="D108" t="s">
        <v>199</v>
      </c>
      <c r="E108" s="158">
        <f>'S4c.PQ RAB Value Rolled F.'!F108+'S4d.ID-only RAB Value Rolled F'!E108</f>
        <v>0</v>
      </c>
      <c r="F108" s="158">
        <f>'S4c.PQ RAB Value Rolled F.'!G108+'S4d.ID-only RAB Value Rolled F'!F108</f>
        <v>0</v>
      </c>
      <c r="G108" s="158">
        <f>'S4c.PQ RAB Value Rolled F.'!H108+'S4d.ID-only RAB Value Rolled F'!G108</f>
        <v>0</v>
      </c>
      <c r="H108" s="158">
        <f>'S4c.PQ RAB Value Rolled F.'!I108+'S4d.ID-only RAB Value Rolled F'!H108</f>
        <v>0</v>
      </c>
      <c r="I108" s="158">
        <f>'S4c.PQ RAB Value Rolled F.'!J108+'S4d.ID-only RAB Value Rolled F'!I108</f>
        <v>0</v>
      </c>
      <c r="J108" s="158">
        <f>'S4c.PQ RAB Value Rolled F.'!K108+'S4d.ID-only RAB Value Rolled F'!J108</f>
        <v>0</v>
      </c>
      <c r="K108" s="158">
        <f>'S4c.PQ RAB Value Rolled F.'!L108+'S4d.ID-only RAB Value Rolled F'!K108</f>
        <v>0</v>
      </c>
      <c r="L108"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08" s="65"/>
      <c r="N108" s="65"/>
    </row>
    <row r="109" spans="1:19" ht="14.25" x14ac:dyDescent="0.45">
      <c r="A109" t="s">
        <v>791</v>
      </c>
      <c r="B109">
        <f>ROW()</f>
        <v>109</v>
      </c>
      <c r="C109" t="s">
        <v>263</v>
      </c>
      <c r="D109" t="s">
        <v>200</v>
      </c>
      <c r="E109" s="158">
        <f>'S4c.PQ RAB Value Rolled F.'!F109+'S4d.ID-only RAB Value Rolled F'!E109</f>
        <v>0</v>
      </c>
      <c r="F109" s="158">
        <f>'S4c.PQ RAB Value Rolled F.'!G109+'S4d.ID-only RAB Value Rolled F'!F109</f>
        <v>0</v>
      </c>
      <c r="G109" s="158">
        <f>'S4c.PQ RAB Value Rolled F.'!H109+'S4d.ID-only RAB Value Rolled F'!G109</f>
        <v>0</v>
      </c>
      <c r="H109" s="158">
        <f>'S4c.PQ RAB Value Rolled F.'!I109+'S4d.ID-only RAB Value Rolled F'!H109</f>
        <v>0</v>
      </c>
      <c r="I109" s="158">
        <f>'S4c.PQ RAB Value Rolled F.'!J109+'S4d.ID-only RAB Value Rolled F'!I109</f>
        <v>0</v>
      </c>
      <c r="J109" s="158">
        <f>'S4c.PQ RAB Value Rolled F.'!K109+'S4d.ID-only RAB Value Rolled F'!J109</f>
        <v>0</v>
      </c>
      <c r="K109" s="158">
        <f>'S4c.PQ RAB Value Rolled F.'!L109+'S4d.ID-only RAB Value Rolled F'!K109</f>
        <v>0</v>
      </c>
      <c r="L109"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09" s="65"/>
      <c r="N109" s="65"/>
    </row>
    <row r="110" spans="1:19" ht="14.25" x14ac:dyDescent="0.45">
      <c r="A110" t="s">
        <v>791</v>
      </c>
      <c r="B110">
        <f>ROW()</f>
        <v>110</v>
      </c>
      <c r="C110" t="s">
        <v>263</v>
      </c>
      <c r="D110" s="30" t="s">
        <v>264</v>
      </c>
      <c r="E110" s="158">
        <f t="shared" ref="E110:K110" si="4">SUM(E107:E109)</f>
        <v>0</v>
      </c>
      <c r="F110" s="158">
        <f t="shared" si="4"/>
        <v>0</v>
      </c>
      <c r="G110" s="158">
        <f t="shared" si="4"/>
        <v>0</v>
      </c>
      <c r="H110" s="158">
        <f t="shared" si="4"/>
        <v>0</v>
      </c>
      <c r="I110" s="158">
        <f t="shared" si="4"/>
        <v>0</v>
      </c>
      <c r="J110" s="158">
        <f t="shared" si="4"/>
        <v>0</v>
      </c>
      <c r="K110" s="158">
        <f t="shared" si="4"/>
        <v>0</v>
      </c>
      <c r="L110"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10" s="83"/>
      <c r="N110" s="83"/>
      <c r="P110" s="77" t="str">
        <f>IF(E110-F110+G110+H110-I110+J110+K110=L110,"OK","ERROR")</f>
        <v>OK</v>
      </c>
    </row>
    <row r="111" spans="1:19" ht="14.25" x14ac:dyDescent="0.45">
      <c r="A111" t="s">
        <v>791</v>
      </c>
      <c r="B111">
        <f>ROW()</f>
        <v>111</v>
      </c>
      <c r="C111" t="s">
        <v>263</v>
      </c>
      <c r="D111" s="30" t="s">
        <v>265</v>
      </c>
      <c r="E111" s="158">
        <f t="shared" ref="E111:K111" si="5">SUM(E106,E110)</f>
        <v>0</v>
      </c>
      <c r="F111" s="158">
        <f t="shared" si="5"/>
        <v>0</v>
      </c>
      <c r="G111" s="158">
        <f t="shared" si="5"/>
        <v>0</v>
      </c>
      <c r="H111" s="158">
        <f t="shared" si="5"/>
        <v>0</v>
      </c>
      <c r="I111" s="158">
        <f t="shared" si="5"/>
        <v>0</v>
      </c>
      <c r="J111" s="158">
        <f t="shared" si="5"/>
        <v>0</v>
      </c>
      <c r="K111" s="158">
        <f t="shared" si="5"/>
        <v>0</v>
      </c>
      <c r="L111"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11" s="83"/>
      <c r="N111" s="83"/>
      <c r="P111" s="77" t="str">
        <f>IF(E111-F111+G111+H111-I111+J111+K111=L111,"OK","ERROR")</f>
        <v>OK</v>
      </c>
    </row>
    <row r="112" spans="1:19" ht="14.25" x14ac:dyDescent="0.45">
      <c r="A112" t="s">
        <v>791</v>
      </c>
      <c r="B112">
        <f>ROW()</f>
        <v>112</v>
      </c>
      <c r="C112" t="s">
        <v>203</v>
      </c>
      <c r="D112" s="30"/>
      <c r="E112" s="158">
        <f>'S4c.PQ RAB Value Rolled F.'!F112</f>
        <v>0</v>
      </c>
      <c r="F112" s="158">
        <f>'S4c.PQ RAB Value Rolled F.'!G112</f>
        <v>0</v>
      </c>
      <c r="G112" s="158">
        <f>'S4c.PQ RAB Value Rolled F.'!H112</f>
        <v>0</v>
      </c>
      <c r="H112" s="176"/>
      <c r="I112" s="158">
        <f>'S4c.PQ RAB Value Rolled F.'!J112</f>
        <v>0</v>
      </c>
      <c r="J112" s="176"/>
      <c r="K112" s="176"/>
      <c r="L112"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12" s="65"/>
      <c r="N112" s="65"/>
    </row>
    <row r="113" spans="1:16" ht="14.25" x14ac:dyDescent="0.45">
      <c r="A113" t="s">
        <v>791</v>
      </c>
      <c r="B113">
        <f>ROW()</f>
        <v>113</v>
      </c>
      <c r="C113" s="30" t="s">
        <v>266</v>
      </c>
      <c r="E113" s="158">
        <f t="shared" ref="E113:K113" si="6">SUM(E111,E112)</f>
        <v>0</v>
      </c>
      <c r="F113" s="158">
        <f t="shared" si="6"/>
        <v>0</v>
      </c>
      <c r="G113" s="158">
        <f t="shared" si="6"/>
        <v>0</v>
      </c>
      <c r="H113" s="158">
        <f t="shared" si="6"/>
        <v>0</v>
      </c>
      <c r="I113" s="158">
        <f t="shared" si="6"/>
        <v>0</v>
      </c>
      <c r="J113" s="158">
        <f t="shared" si="6"/>
        <v>0</v>
      </c>
      <c r="K113" s="158">
        <f t="shared" si="6"/>
        <v>0</v>
      </c>
      <c r="L113" s="158">
        <f>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M113" s="83"/>
      <c r="N113" s="83"/>
      <c r="P113" s="77" t="str">
        <f>IF(E113-F113+G113+H113-I113+J113+K113=L113,"OK","ERROR")</f>
        <v>OK</v>
      </c>
    </row>
    <row r="114" spans="1:16" ht="14.25" x14ac:dyDescent="0.45"/>
    <row r="115" spans="1:16" ht="14.25" x14ac:dyDescent="0.45"/>
  </sheetData>
  <dataConsolidate/>
  <pageMargins left="0.70866141732283472" right="0.70866141732283472" top="0.74803149606299213" bottom="0.74803149606299213" header="0.31496062992125984" footer="0.31496062992125984"/>
  <pageSetup paperSize="9" scale="42" fitToHeight="0" orientation="landscape" r:id="rId1"/>
  <rowBreaks count="1" manualBreakCount="1">
    <brk id="61" max="14" man="1"/>
  </rowBreaks>
  <tableParts count="10">
    <tablePart r:id="rId2"/>
    <tablePart r:id="rId3"/>
    <tablePart r:id="rId4"/>
    <tablePart r:id="rId5"/>
    <tablePart r:id="rId6"/>
    <tablePart r:id="rId7"/>
    <tablePart r:id="rId8"/>
    <tablePart r:id="rId9"/>
    <tablePart r:id="rId10"/>
    <tablePart r:id="rId1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C30D9-ECED-4B21-87E5-AC2345AEE632}">
  <sheetPr codeName="Sheet11">
    <pageSetUpPr fitToPage="1"/>
  </sheetPr>
  <dimension ref="A1:T115"/>
  <sheetViews>
    <sheetView zoomScale="85" zoomScaleNormal="85" workbookViewId="0"/>
  </sheetViews>
  <sheetFormatPr defaultRowHeight="14.45" customHeight="1" x14ac:dyDescent="0.45"/>
  <cols>
    <col min="1" max="1" width="50.3984375" customWidth="1"/>
    <col min="2" max="2" width="7.86328125" customWidth="1"/>
    <col min="3" max="3" width="47.73046875" customWidth="1"/>
    <col min="4" max="4" width="48.1328125" customWidth="1"/>
    <col min="5" max="5" width="34.59765625" bestFit="1" customWidth="1"/>
    <col min="6" max="15" width="20.59765625" customWidth="1"/>
    <col min="16" max="16" width="3.1328125" customWidth="1"/>
  </cols>
  <sheetData>
    <row r="1" spans="1:12" ht="23.25" x14ac:dyDescent="0.45">
      <c r="A1" s="146" t="s">
        <v>1158</v>
      </c>
    </row>
    <row r="2" spans="1:12" ht="21" x14ac:dyDescent="0.65">
      <c r="A2" s="129" t="s">
        <v>267</v>
      </c>
    </row>
    <row r="3" spans="1:12" ht="56.65" customHeight="1" x14ac:dyDescent="0.45">
      <c r="A3" s="119" t="s">
        <v>78</v>
      </c>
      <c r="B3" s="119" t="s">
        <v>79</v>
      </c>
      <c r="C3" s="119" t="s">
        <v>208</v>
      </c>
      <c r="D3" s="119" t="s">
        <v>1244</v>
      </c>
      <c r="E3" s="119" t="s">
        <v>1245</v>
      </c>
      <c r="F3" s="119" t="s">
        <v>1009</v>
      </c>
      <c r="G3" s="119" t="s">
        <v>1010</v>
      </c>
      <c r="H3" s="119" t="s">
        <v>1011</v>
      </c>
      <c r="I3" s="119" t="s">
        <v>1012</v>
      </c>
      <c r="J3" s="119" t="s">
        <v>1013</v>
      </c>
    </row>
    <row r="4" spans="1:12" ht="14.25" x14ac:dyDescent="0.45">
      <c r="A4" t="s">
        <v>267</v>
      </c>
      <c r="B4">
        <f>ROW()</f>
        <v>4</v>
      </c>
      <c r="D4" s="30" t="s">
        <v>210</v>
      </c>
      <c r="F4" s="65"/>
      <c r="G4" s="65"/>
      <c r="H4" s="65"/>
      <c r="I4" s="65"/>
      <c r="J4" s="66"/>
      <c r="L4" s="76" t="s">
        <v>211</v>
      </c>
    </row>
    <row r="5" spans="1:12" ht="14.25" x14ac:dyDescent="0.45">
      <c r="A5" t="s">
        <v>267</v>
      </c>
      <c r="B5">
        <f>ROW()</f>
        <v>5</v>
      </c>
      <c r="C5" t="s">
        <v>212</v>
      </c>
      <c r="D5" s="30" t="s">
        <v>213</v>
      </c>
      <c r="F5" s="65"/>
      <c r="G5" s="65"/>
      <c r="H5" s="65"/>
      <c r="I5" s="65"/>
      <c r="J5" s="75">
        <f>G17</f>
        <v>0</v>
      </c>
      <c r="L5" s="76" t="str" cm="1">
        <f t="array" aca="1" ref="L5" ca="1">"from row "&amp;CELL("row",G17)</f>
        <v>from row 17</v>
      </c>
    </row>
    <row r="6" spans="1:12" ht="14.25" x14ac:dyDescent="0.45">
      <c r="A6" t="s">
        <v>267</v>
      </c>
      <c r="B6">
        <f>ROW()</f>
        <v>6</v>
      </c>
      <c r="C6" t="s">
        <v>214</v>
      </c>
      <c r="D6" s="30" t="s">
        <v>215</v>
      </c>
      <c r="F6" s="65"/>
      <c r="G6" s="65"/>
      <c r="H6" s="65"/>
      <c r="I6" s="65"/>
      <c r="J6" s="75">
        <f>G18</f>
        <v>0</v>
      </c>
      <c r="L6" s="76" t="str" cm="1">
        <f t="array" aca="1" ref="L6" ca="1">"from row "&amp;CELL("row",G18)</f>
        <v>from row 18</v>
      </c>
    </row>
    <row r="7" spans="1:12" ht="14.25" x14ac:dyDescent="0.45">
      <c r="A7" t="s">
        <v>267</v>
      </c>
      <c r="B7">
        <f>ROW()</f>
        <v>7</v>
      </c>
      <c r="C7" t="s">
        <v>214</v>
      </c>
      <c r="D7" s="30" t="s">
        <v>109</v>
      </c>
      <c r="F7" s="65"/>
      <c r="G7" s="65"/>
      <c r="H7" s="65"/>
      <c r="I7" s="65"/>
      <c r="J7" s="75">
        <f>G22</f>
        <v>0</v>
      </c>
      <c r="L7" s="76" t="str" cm="1">
        <f t="array" aca="1" ref="L7" ca="1">"from row "&amp;CELL("row",G22)&amp;" &amp; to S4b"</f>
        <v>from row 22 &amp; to S4b</v>
      </c>
    </row>
    <row r="8" spans="1:12" ht="14.25" x14ac:dyDescent="0.45">
      <c r="A8" t="s">
        <v>267</v>
      </c>
      <c r="B8">
        <f>ROW()</f>
        <v>8</v>
      </c>
      <c r="C8" t="s">
        <v>212</v>
      </c>
      <c r="D8" s="30" t="s">
        <v>111</v>
      </c>
      <c r="F8" s="65"/>
      <c r="G8" s="65"/>
      <c r="H8" s="65"/>
      <c r="I8" s="65"/>
      <c r="J8" s="75">
        <f>G26</f>
        <v>0</v>
      </c>
      <c r="L8" s="76" t="str" cm="1">
        <f t="array" aca="1" ref="L8" ca="1">"from row "&amp;CELL("row",G23)&amp;" &amp; to S4b"</f>
        <v>from row 23 &amp; to S4b</v>
      </c>
    </row>
    <row r="9" spans="1:12" ht="14.25" x14ac:dyDescent="0.45">
      <c r="A9" t="s">
        <v>267</v>
      </c>
      <c r="B9">
        <f>ROW()</f>
        <v>9</v>
      </c>
      <c r="C9" t="s">
        <v>212</v>
      </c>
      <c r="D9" s="30" t="s">
        <v>216</v>
      </c>
      <c r="F9" s="65"/>
      <c r="G9" s="65"/>
      <c r="H9" s="65"/>
      <c r="I9" s="65"/>
      <c r="J9" s="75">
        <f>G27</f>
        <v>0</v>
      </c>
      <c r="L9" s="76" t="str" cm="1">
        <f t="array" aca="1" ref="L9" ca="1">"from row "&amp;CELL("row",G27)&amp;" &amp; to S4b"</f>
        <v>from row 27 &amp; to S4b</v>
      </c>
    </row>
    <row r="10" spans="1:12" ht="14.25" x14ac:dyDescent="0.45">
      <c r="A10" t="s">
        <v>267</v>
      </c>
      <c r="B10">
        <f>ROW()</f>
        <v>10</v>
      </c>
      <c r="C10" t="s">
        <v>214</v>
      </c>
      <c r="D10" s="30" t="s">
        <v>120</v>
      </c>
      <c r="F10" s="65"/>
      <c r="G10" s="65"/>
      <c r="H10" s="65"/>
      <c r="I10" s="65"/>
      <c r="J10" s="75">
        <f>G28</f>
        <v>0</v>
      </c>
      <c r="L10" s="76" t="str" cm="1">
        <f t="array" aca="1" ref="L10" ca="1">"from row "&amp;CELL("row",G28)&amp;" &amp; to S4b"</f>
        <v>from row 28 &amp; to S4b</v>
      </c>
    </row>
    <row r="11" spans="1:12" ht="14.25" x14ac:dyDescent="0.45">
      <c r="A11" t="s">
        <v>267</v>
      </c>
      <c r="B11">
        <f>ROW()</f>
        <v>11</v>
      </c>
      <c r="D11" s="30" t="s">
        <v>119</v>
      </c>
      <c r="F11" s="75">
        <f>SUM(F4,-F5,F6,F7,-F8,-F9,F10)</f>
        <v>0</v>
      </c>
      <c r="G11" s="75">
        <f>SUM(G4,-G5,G6,G7,-G8,-G9,G10)</f>
        <v>0</v>
      </c>
      <c r="H11" s="75">
        <f>SUM(H4,-H5,H6,H7,-H8,-H9,H10)</f>
        <v>0</v>
      </c>
      <c r="I11" s="75">
        <f>SUM(I4,-I5,I6,I7,-I8,-I9,I10)</f>
        <v>0</v>
      </c>
      <c r="J11" s="75">
        <f>SUM(J4,-J5,J6,J7,-J8,-J9,J10)</f>
        <v>0</v>
      </c>
      <c r="L11" s="76" t="s">
        <v>217</v>
      </c>
    </row>
    <row r="12" spans="1:12" ht="14.25" x14ac:dyDescent="0.45"/>
    <row r="13" spans="1:12" ht="14.25" x14ac:dyDescent="0.45"/>
    <row r="14" spans="1:12" ht="21" x14ac:dyDescent="0.65">
      <c r="A14" s="129" t="s">
        <v>218</v>
      </c>
    </row>
    <row r="15" spans="1:12" ht="37.9" customHeight="1" x14ac:dyDescent="0.45">
      <c r="A15" s="119" t="s">
        <v>78</v>
      </c>
      <c r="B15" s="119" t="s">
        <v>79</v>
      </c>
      <c r="C15" s="119" t="s">
        <v>208</v>
      </c>
      <c r="D15" s="119" t="s">
        <v>1244</v>
      </c>
      <c r="E15" s="119" t="s">
        <v>1245</v>
      </c>
      <c r="F15" s="119" t="s">
        <v>1014</v>
      </c>
      <c r="G15" s="119" t="s">
        <v>1015</v>
      </c>
    </row>
    <row r="16" spans="1:12" ht="14.25" x14ac:dyDescent="0.45">
      <c r="A16" t="s">
        <v>218</v>
      </c>
      <c r="B16">
        <f>ROW()</f>
        <v>16</v>
      </c>
      <c r="D16" s="30" t="s">
        <v>210</v>
      </c>
      <c r="F16" s="65"/>
      <c r="G16" s="175">
        <f>J4</f>
        <v>0</v>
      </c>
      <c r="I16" s="76" t="str" cm="1">
        <f t="array" aca="1" ref="I16" ca="1">"from row "&amp;CELL("row",J4)</f>
        <v>from row 4</v>
      </c>
    </row>
    <row r="17" spans="1:9" ht="14.25" x14ac:dyDescent="0.45">
      <c r="A17" t="s">
        <v>218</v>
      </c>
      <c r="B17">
        <f>ROW()</f>
        <v>17</v>
      </c>
      <c r="C17" t="s">
        <v>212</v>
      </c>
      <c r="D17" s="30" t="s">
        <v>213</v>
      </c>
      <c r="F17" s="175">
        <f>F72</f>
        <v>0</v>
      </c>
      <c r="G17" s="175">
        <f>G72</f>
        <v>0</v>
      </c>
      <c r="I17" s="76" t="str" cm="1">
        <f t="array" aca="1" ref="I17" ca="1">"from row "&amp;CELL("row",G72)</f>
        <v>from row 72</v>
      </c>
    </row>
    <row r="18" spans="1:9" ht="14.25" x14ac:dyDescent="0.45">
      <c r="A18" t="s">
        <v>218</v>
      </c>
      <c r="B18">
        <f>ROW()</f>
        <v>18</v>
      </c>
      <c r="C18" t="s">
        <v>214</v>
      </c>
      <c r="D18" s="30" t="s">
        <v>215</v>
      </c>
      <c r="F18" s="175">
        <f>F50</f>
        <v>0</v>
      </c>
      <c r="G18" s="175">
        <f>G50</f>
        <v>0</v>
      </c>
      <c r="I18" s="76" t="str" cm="1">
        <f t="array" aca="1" ref="I18" ca="1">"from row "&amp;CELL("row",G50)</f>
        <v>from row 50</v>
      </c>
    </row>
    <row r="19" spans="1:9" ht="14.25" x14ac:dyDescent="0.45">
      <c r="A19" t="s">
        <v>218</v>
      </c>
      <c r="B19">
        <f>ROW()</f>
        <v>19</v>
      </c>
      <c r="C19" t="s">
        <v>214</v>
      </c>
      <c r="D19" t="s">
        <v>219</v>
      </c>
      <c r="E19" t="s">
        <v>220</v>
      </c>
      <c r="F19" s="65"/>
      <c r="G19" s="65"/>
      <c r="I19" s="76"/>
    </row>
    <row r="20" spans="1:9" ht="14.25" x14ac:dyDescent="0.45">
      <c r="A20" t="s">
        <v>218</v>
      </c>
      <c r="B20">
        <f>ROW()</f>
        <v>20</v>
      </c>
      <c r="C20" t="s">
        <v>214</v>
      </c>
      <c r="D20" t="s">
        <v>219</v>
      </c>
      <c r="E20" t="s">
        <v>221</v>
      </c>
      <c r="F20" s="65"/>
      <c r="G20" s="65"/>
      <c r="I20" s="76"/>
    </row>
    <row r="21" spans="1:9" ht="14.25" x14ac:dyDescent="0.45">
      <c r="A21" t="s">
        <v>218</v>
      </c>
      <c r="B21">
        <f>ROW()</f>
        <v>21</v>
      </c>
      <c r="C21" t="s">
        <v>214</v>
      </c>
      <c r="D21" t="s">
        <v>219</v>
      </c>
      <c r="E21" t="s">
        <v>222</v>
      </c>
      <c r="F21" s="65"/>
      <c r="G21" s="65"/>
      <c r="I21" s="76"/>
    </row>
    <row r="22" spans="1:9" ht="14.25" x14ac:dyDescent="0.45">
      <c r="A22" t="s">
        <v>218</v>
      </c>
      <c r="B22">
        <f>ROW()</f>
        <v>22</v>
      </c>
      <c r="C22" t="s">
        <v>214</v>
      </c>
      <c r="D22" s="30" t="s">
        <v>109</v>
      </c>
      <c r="F22" s="175">
        <f>SUM(F19:F21)</f>
        <v>0</v>
      </c>
      <c r="G22" s="175">
        <f>SUM(G19:G21)</f>
        <v>0</v>
      </c>
      <c r="I22" s="76" t="str" cm="1">
        <f t="array" aca="1" ref="I22" ca="1">"to row "&amp;CELL("row",J7)</f>
        <v>to row 7</v>
      </c>
    </row>
    <row r="23" spans="1:9" ht="14.25" x14ac:dyDescent="0.45">
      <c r="A23" t="s">
        <v>218</v>
      </c>
      <c r="B23">
        <f>ROW()</f>
        <v>23</v>
      </c>
      <c r="C23" t="s">
        <v>212</v>
      </c>
      <c r="D23" t="s">
        <v>111</v>
      </c>
      <c r="E23" t="s">
        <v>223</v>
      </c>
      <c r="F23" s="65"/>
      <c r="G23" s="65"/>
      <c r="I23" s="76"/>
    </row>
    <row r="24" spans="1:9" ht="14.25" x14ac:dyDescent="0.45">
      <c r="A24" t="s">
        <v>218</v>
      </c>
      <c r="B24">
        <f>ROW()</f>
        <v>24</v>
      </c>
      <c r="C24" t="s">
        <v>212</v>
      </c>
      <c r="D24" t="s">
        <v>111</v>
      </c>
      <c r="E24" t="s">
        <v>224</v>
      </c>
      <c r="F24" s="65"/>
      <c r="G24" s="65"/>
      <c r="I24" s="76"/>
    </row>
    <row r="25" spans="1:9" ht="14.25" x14ac:dyDescent="0.45">
      <c r="A25" t="s">
        <v>218</v>
      </c>
      <c r="B25">
        <f>ROW()</f>
        <v>25</v>
      </c>
      <c r="C25" t="s">
        <v>212</v>
      </c>
      <c r="D25" t="s">
        <v>111</v>
      </c>
      <c r="E25" t="s">
        <v>225</v>
      </c>
      <c r="F25" s="65"/>
      <c r="G25" s="65"/>
      <c r="I25" s="76"/>
    </row>
    <row r="26" spans="1:9" ht="14.25" x14ac:dyDescent="0.45">
      <c r="A26" t="s">
        <v>218</v>
      </c>
      <c r="B26">
        <f>ROW()</f>
        <v>26</v>
      </c>
      <c r="C26" t="s">
        <v>212</v>
      </c>
      <c r="D26" t="s">
        <v>111</v>
      </c>
      <c r="F26" s="175">
        <f>SUM(F23:F25)</f>
        <v>0</v>
      </c>
      <c r="G26" s="175">
        <f>SUM(G23:G25)</f>
        <v>0</v>
      </c>
      <c r="I26" s="76" t="str" cm="1">
        <f t="array" aca="1" ref="I26" ca="1">"to row "&amp;CELL("row",J8)</f>
        <v>to row 8</v>
      </c>
    </row>
    <row r="27" spans="1:9" ht="14.25" x14ac:dyDescent="0.45">
      <c r="A27" t="s">
        <v>218</v>
      </c>
      <c r="B27">
        <f>ROW()</f>
        <v>27</v>
      </c>
      <c r="C27" t="s">
        <v>212</v>
      </c>
      <c r="D27" s="30" t="s">
        <v>216</v>
      </c>
      <c r="F27" s="177"/>
      <c r="G27" s="75">
        <f>J112</f>
        <v>0</v>
      </c>
      <c r="I27" s="76" t="str" cm="1">
        <f t="array" aca="1" ref="I27" ca="1">"from cell "&amp;CELL("address",J112)</f>
        <v>from cell $J$112</v>
      </c>
    </row>
    <row r="28" spans="1:9" ht="14.25" x14ac:dyDescent="0.45">
      <c r="A28" t="s">
        <v>218</v>
      </c>
      <c r="B28">
        <f>ROW()</f>
        <v>28</v>
      </c>
      <c r="C28" t="s">
        <v>214</v>
      </c>
      <c r="D28" s="30" t="s">
        <v>120</v>
      </c>
      <c r="F28" s="177"/>
      <c r="G28" s="175">
        <f>G29-SUM(G16,-G17,G18,G22,-G26,-G27)</f>
        <v>0</v>
      </c>
      <c r="I28" s="76" t="str" cm="1">
        <f t="array" aca="1" ref="I28" ca="1">"to row "&amp;CELL("row",J10)</f>
        <v>to row 10</v>
      </c>
    </row>
    <row r="29" spans="1:9" ht="14.25" x14ac:dyDescent="0.45">
      <c r="A29" t="s">
        <v>218</v>
      </c>
      <c r="B29">
        <f>ROW()</f>
        <v>29</v>
      </c>
      <c r="D29" s="30" t="s">
        <v>119</v>
      </c>
      <c r="F29" s="75">
        <f>SUM(F16,-F17,F18,F22,-F26)</f>
        <v>0</v>
      </c>
      <c r="G29" s="217">
        <f>'S4a.Asset Allocations'!F58</f>
        <v>0</v>
      </c>
      <c r="I29" s="76" t="s">
        <v>226</v>
      </c>
    </row>
    <row r="30" spans="1:9" ht="14.25" x14ac:dyDescent="0.45">
      <c r="I30" s="37"/>
    </row>
    <row r="31" spans="1:9" ht="14.25" x14ac:dyDescent="0.45">
      <c r="A31" s="64" t="s">
        <v>1266</v>
      </c>
      <c r="I31" s="38"/>
    </row>
    <row r="32" spans="1:9" ht="14.25" x14ac:dyDescent="0.45"/>
    <row r="33" spans="1:9" ht="14.25" x14ac:dyDescent="0.45"/>
    <row r="34" spans="1:9" ht="21" x14ac:dyDescent="0.65">
      <c r="A34" s="129" t="s">
        <v>228</v>
      </c>
    </row>
    <row r="35" spans="1:9" ht="30" customHeight="1" x14ac:dyDescent="0.45">
      <c r="A35" s="119" t="s">
        <v>78</v>
      </c>
      <c r="B35" s="119" t="s">
        <v>79</v>
      </c>
      <c r="C35" s="119" t="s">
        <v>208</v>
      </c>
      <c r="D35" s="119" t="s">
        <v>1244</v>
      </c>
      <c r="E35" s="119" t="s">
        <v>1245</v>
      </c>
      <c r="F35" s="119" t="s">
        <v>227</v>
      </c>
      <c r="H35" s="76"/>
    </row>
    <row r="36" spans="1:9" ht="14.25" x14ac:dyDescent="0.45">
      <c r="A36" t="s">
        <v>228</v>
      </c>
      <c r="B36">
        <f>ROW()</f>
        <v>36</v>
      </c>
      <c r="D36" t="s">
        <v>229</v>
      </c>
      <c r="F36" s="156"/>
      <c r="H36" s="76" t="s">
        <v>230</v>
      </c>
    </row>
    <row r="37" spans="1:9" ht="14.25" x14ac:dyDescent="0.45">
      <c r="A37" t="s">
        <v>228</v>
      </c>
      <c r="B37">
        <f>ROW()</f>
        <v>37</v>
      </c>
      <c r="D37" t="s">
        <v>231</v>
      </c>
      <c r="F37" s="156"/>
      <c r="H37" s="76" t="s">
        <v>230</v>
      </c>
    </row>
    <row r="38" spans="1:9" ht="14.25" x14ac:dyDescent="0.45">
      <c r="H38" s="76"/>
    </row>
    <row r="39" spans="1:9" ht="14.25" x14ac:dyDescent="0.45"/>
    <row r="40" spans="1:9" ht="21" x14ac:dyDescent="0.65">
      <c r="A40" s="129" t="s">
        <v>228</v>
      </c>
    </row>
    <row r="41" spans="1:9" ht="30" customHeight="1" x14ac:dyDescent="0.45">
      <c r="A41" s="119" t="s">
        <v>78</v>
      </c>
      <c r="B41" s="119" t="s">
        <v>79</v>
      </c>
      <c r="C41" s="119" t="s">
        <v>208</v>
      </c>
      <c r="D41" s="119" t="s">
        <v>1244</v>
      </c>
      <c r="E41" s="119" t="s">
        <v>1245</v>
      </c>
      <c r="F41" s="119" t="s">
        <v>125</v>
      </c>
    </row>
    <row r="42" spans="1:9" ht="14.25" x14ac:dyDescent="0.45">
      <c r="A42" t="s">
        <v>228</v>
      </c>
      <c r="B42">
        <f>ROW()</f>
        <v>42</v>
      </c>
      <c r="D42" t="s">
        <v>232</v>
      </c>
      <c r="F42" s="159">
        <f>IF(F36&lt;&gt;0,F36/F37-1, 0)</f>
        <v>0</v>
      </c>
    </row>
    <row r="43" spans="1:9" ht="14.25" x14ac:dyDescent="0.45"/>
    <row r="44" spans="1:9" ht="14.25" x14ac:dyDescent="0.45"/>
    <row r="45" spans="1:9" ht="21" x14ac:dyDescent="0.65">
      <c r="A45" s="129" t="s">
        <v>228</v>
      </c>
      <c r="I45" s="76"/>
    </row>
    <row r="46" spans="1:9" ht="37.9" customHeight="1" x14ac:dyDescent="0.45">
      <c r="A46" s="119" t="s">
        <v>78</v>
      </c>
      <c r="B46" s="119" t="s">
        <v>79</v>
      </c>
      <c r="C46" s="119" t="s">
        <v>208</v>
      </c>
      <c r="D46" s="119" t="s">
        <v>1244</v>
      </c>
      <c r="E46" s="119" t="s">
        <v>1245</v>
      </c>
      <c r="F46" s="119" t="s">
        <v>1014</v>
      </c>
      <c r="G46" s="119" t="s">
        <v>1015</v>
      </c>
      <c r="I46" s="76"/>
    </row>
    <row r="47" spans="1:9" ht="14.25" x14ac:dyDescent="0.45">
      <c r="A47" t="s">
        <v>228</v>
      </c>
      <c r="B47">
        <f>ROW()</f>
        <v>47</v>
      </c>
      <c r="D47" t="s">
        <v>210</v>
      </c>
      <c r="F47" s="75">
        <f>F16</f>
        <v>0</v>
      </c>
      <c r="G47" s="75">
        <f>G16</f>
        <v>0</v>
      </c>
      <c r="I47" s="76" t="str" cm="1">
        <f t="array" aca="1" ref="I47" ca="1">"from row "&amp;CELL("row",G16)&amp;" (and row"&amp;CELL("row",J4)&amp;")"</f>
        <v>from row 16 (and row4)</v>
      </c>
    </row>
    <row r="48" spans="1:9" ht="14.25" x14ac:dyDescent="0.45">
      <c r="A48" t="s">
        <v>228</v>
      </c>
      <c r="B48">
        <f>ROW()</f>
        <v>48</v>
      </c>
      <c r="D48" t="s">
        <v>234</v>
      </c>
      <c r="F48" s="65"/>
      <c r="G48" s="65"/>
      <c r="I48" s="76"/>
    </row>
    <row r="49" spans="1:9" ht="14.25" x14ac:dyDescent="0.45">
      <c r="A49" t="s">
        <v>228</v>
      </c>
      <c r="B49">
        <f>ROW()</f>
        <v>49</v>
      </c>
      <c r="C49" t="s">
        <v>212</v>
      </c>
      <c r="D49" t="s">
        <v>1261</v>
      </c>
      <c r="F49" s="75">
        <f>F47-F48</f>
        <v>0</v>
      </c>
      <c r="G49" s="75">
        <f>G47-G48</f>
        <v>0</v>
      </c>
      <c r="I49" s="76"/>
    </row>
    <row r="50" spans="1:9" ht="14.25" x14ac:dyDescent="0.45">
      <c r="A50" t="s">
        <v>228</v>
      </c>
      <c r="B50">
        <f>ROW()</f>
        <v>50</v>
      </c>
      <c r="D50" s="30" t="s">
        <v>215</v>
      </c>
      <c r="F50" s="75">
        <f>IF(F49&lt;&gt;0,F49*$F$42,0)</f>
        <v>0</v>
      </c>
      <c r="G50" s="178">
        <f>IF(G49&lt;&gt;0,G49*$F$42,0)</f>
        <v>0</v>
      </c>
      <c r="I50" s="76" t="str" cm="1">
        <f t="array" aca="1" ref="I50" ca="1">"to row "&amp;CELL("row",G18)&amp;" &amp; S3"</f>
        <v>to row 18 &amp; S3</v>
      </c>
    </row>
    <row r="51" spans="1:9" ht="14.25" x14ac:dyDescent="0.45"/>
    <row r="52" spans="1:9" ht="14.25" x14ac:dyDescent="0.45">
      <c r="I52" s="43"/>
    </row>
    <row r="53" spans="1:9" ht="14.25" x14ac:dyDescent="0.45"/>
    <row r="54" spans="1:9" ht="21" x14ac:dyDescent="0.65">
      <c r="A54" s="129" t="s">
        <v>235</v>
      </c>
    </row>
    <row r="55" spans="1:9" ht="75.599999999999994" customHeight="1" x14ac:dyDescent="0.45">
      <c r="A55" s="119" t="s">
        <v>78</v>
      </c>
      <c r="B55" s="119" t="s">
        <v>79</v>
      </c>
      <c r="C55" s="119" t="s">
        <v>208</v>
      </c>
      <c r="D55" s="119" t="s">
        <v>1244</v>
      </c>
      <c r="E55" s="119" t="s">
        <v>1245</v>
      </c>
      <c r="F55" s="119" t="s">
        <v>1016</v>
      </c>
      <c r="G55" s="119" t="s">
        <v>1017</v>
      </c>
    </row>
    <row r="56" spans="1:9" ht="14.25" x14ac:dyDescent="0.45">
      <c r="A56" t="s">
        <v>235</v>
      </c>
      <c r="B56">
        <f>ROW()</f>
        <v>56</v>
      </c>
      <c r="D56" s="30" t="s">
        <v>236</v>
      </c>
      <c r="F56" s="65"/>
      <c r="G56" s="65"/>
    </row>
    <row r="57" spans="1:9" ht="14.25" x14ac:dyDescent="0.45">
      <c r="A57" t="s">
        <v>235</v>
      </c>
      <c r="B57">
        <f>ROW()</f>
        <v>57</v>
      </c>
      <c r="C57" t="s">
        <v>214</v>
      </c>
      <c r="D57" t="s">
        <v>237</v>
      </c>
      <c r="E57" t="s">
        <v>238</v>
      </c>
      <c r="F57" s="65"/>
      <c r="G57" s="75">
        <f>'S6.Actual Expenditure Capex'!F28</f>
        <v>0</v>
      </c>
      <c r="I57" s="38" t="s">
        <v>268</v>
      </c>
    </row>
    <row r="58" spans="1:9" ht="14.25" x14ac:dyDescent="0.45">
      <c r="A58" t="s">
        <v>235</v>
      </c>
      <c r="B58">
        <f>ROW()</f>
        <v>58</v>
      </c>
      <c r="C58" t="s">
        <v>212</v>
      </c>
      <c r="D58" t="s">
        <v>237</v>
      </c>
      <c r="E58" t="s">
        <v>109</v>
      </c>
      <c r="F58" s="75">
        <f>F22</f>
        <v>0</v>
      </c>
      <c r="G58" s="75">
        <f>G22</f>
        <v>0</v>
      </c>
      <c r="I58" s="76" t="str" cm="1">
        <f t="array" aca="1" ref="I58" ca="1">"from row "&amp;CELL("row",G22)</f>
        <v>from row 22</v>
      </c>
    </row>
    <row r="59" spans="1:9" ht="14.25" x14ac:dyDescent="0.45">
      <c r="A59" t="s">
        <v>235</v>
      </c>
      <c r="B59">
        <f>ROW()</f>
        <v>59</v>
      </c>
      <c r="C59" t="s">
        <v>214</v>
      </c>
      <c r="D59" t="s">
        <v>237</v>
      </c>
      <c r="E59" t="s">
        <v>120</v>
      </c>
      <c r="F59" s="177"/>
      <c r="G59" s="65"/>
    </row>
    <row r="60" spans="1:9" ht="14.25" x14ac:dyDescent="0.45">
      <c r="A60" t="s">
        <v>235</v>
      </c>
      <c r="B60">
        <f>ROW()</f>
        <v>60</v>
      </c>
      <c r="D60" s="30" t="s">
        <v>237</v>
      </c>
      <c r="F60" s="75">
        <f>SUM(F56,F57,-F58)</f>
        <v>0</v>
      </c>
      <c r="G60" s="75">
        <f>SUM(G56,G57,-G58,G59)</f>
        <v>0</v>
      </c>
    </row>
    <row r="61" spans="1:9" ht="14.25" x14ac:dyDescent="0.45"/>
    <row r="62" spans="1:9" ht="14.25" x14ac:dyDescent="0.45"/>
    <row r="63" spans="1:9" ht="21" x14ac:dyDescent="0.65">
      <c r="A63" s="129" t="s">
        <v>235</v>
      </c>
      <c r="F63" s="61"/>
      <c r="G63" s="61"/>
    </row>
    <row r="64" spans="1:9" ht="30" customHeight="1" x14ac:dyDescent="0.45">
      <c r="A64" s="119" t="s">
        <v>78</v>
      </c>
      <c r="B64" s="119" t="s">
        <v>79</v>
      </c>
      <c r="C64" s="119" t="s">
        <v>208</v>
      </c>
      <c r="D64" s="119" t="s">
        <v>1244</v>
      </c>
      <c r="E64" s="119" t="s">
        <v>1245</v>
      </c>
      <c r="F64" s="119" t="s">
        <v>125</v>
      </c>
    </row>
    <row r="65" spans="1:9" ht="14.25" x14ac:dyDescent="0.45">
      <c r="A65" t="s">
        <v>235</v>
      </c>
      <c r="B65">
        <f>ROW()</f>
        <v>65</v>
      </c>
      <c r="D65" t="s">
        <v>239</v>
      </c>
      <c r="F65" s="179"/>
      <c r="G65" s="61"/>
    </row>
    <row r="66" spans="1:9" ht="14.25" x14ac:dyDescent="0.45">
      <c r="G66" s="61"/>
    </row>
    <row r="67" spans="1:9" ht="14.25" x14ac:dyDescent="0.45">
      <c r="F67" s="61"/>
      <c r="G67" s="61"/>
    </row>
    <row r="68" spans="1:9" ht="21" x14ac:dyDescent="0.65">
      <c r="A68" s="129" t="s">
        <v>240</v>
      </c>
      <c r="G68" s="43"/>
    </row>
    <row r="69" spans="1:9" ht="37.9" customHeight="1" x14ac:dyDescent="0.45">
      <c r="A69" s="119" t="s">
        <v>78</v>
      </c>
      <c r="B69" s="119" t="s">
        <v>79</v>
      </c>
      <c r="C69" s="119" t="s">
        <v>208</v>
      </c>
      <c r="D69" s="119" t="s">
        <v>1244</v>
      </c>
      <c r="E69" s="119" t="s">
        <v>1245</v>
      </c>
      <c r="F69" s="119" t="s">
        <v>1014</v>
      </c>
      <c r="G69" s="119" t="s">
        <v>1015</v>
      </c>
    </row>
    <row r="70" spans="1:9" ht="14.25" x14ac:dyDescent="0.45">
      <c r="A70" t="s">
        <v>240</v>
      </c>
      <c r="B70">
        <f>ROW()</f>
        <v>70</v>
      </c>
      <c r="D70" t="s">
        <v>1267</v>
      </c>
      <c r="F70" s="65"/>
      <c r="G70" s="65"/>
    </row>
    <row r="71" spans="1:9" ht="14.25" x14ac:dyDescent="0.45">
      <c r="A71" t="s">
        <v>240</v>
      </c>
      <c r="B71">
        <f>ROW()</f>
        <v>71</v>
      </c>
      <c r="D71" t="s">
        <v>241</v>
      </c>
      <c r="F71" s="65"/>
      <c r="G71" s="65"/>
    </row>
    <row r="72" spans="1:9" ht="14.25" x14ac:dyDescent="0.45">
      <c r="A72" t="s">
        <v>240</v>
      </c>
      <c r="B72">
        <f>ROW()</f>
        <v>72</v>
      </c>
      <c r="D72" s="30" t="s">
        <v>242</v>
      </c>
      <c r="F72" s="75">
        <f>SUM(F70:F71)</f>
        <v>0</v>
      </c>
      <c r="G72" s="75">
        <f>SUM(G70:G71)</f>
        <v>0</v>
      </c>
    </row>
    <row r="73" spans="1:9" ht="14.25" x14ac:dyDescent="0.45"/>
    <row r="74" spans="1:9" ht="21" x14ac:dyDescent="0.65">
      <c r="A74" s="129" t="s">
        <v>233</v>
      </c>
    </row>
    <row r="75" spans="1:9" ht="94.5" customHeight="1" x14ac:dyDescent="0.45">
      <c r="A75" s="119" t="s">
        <v>78</v>
      </c>
      <c r="B75" s="119" t="s">
        <v>79</v>
      </c>
      <c r="C75" s="119" t="s">
        <v>208</v>
      </c>
      <c r="D75" s="119" t="s">
        <v>1244</v>
      </c>
      <c r="E75" s="119" t="s">
        <v>1245</v>
      </c>
      <c r="F75" s="119" t="s">
        <v>1018</v>
      </c>
      <c r="G75" s="119" t="s">
        <v>1019</v>
      </c>
      <c r="H75" s="119" t="s">
        <v>1020</v>
      </c>
      <c r="I75" s="119" t="s">
        <v>1021</v>
      </c>
    </row>
    <row r="76" spans="1:9" ht="14.25" x14ac:dyDescent="0.45">
      <c r="A76" t="s">
        <v>233</v>
      </c>
      <c r="B76">
        <f>ROW()</f>
        <v>76</v>
      </c>
      <c r="C76" t="s">
        <v>243</v>
      </c>
      <c r="D76" s="170"/>
      <c r="E76" s="61"/>
      <c r="F76" s="170"/>
      <c r="G76" s="65"/>
      <c r="H76" s="170"/>
      <c r="I76" s="170"/>
    </row>
    <row r="77" spans="1:9" ht="14.25" x14ac:dyDescent="0.45">
      <c r="A77" t="s">
        <v>233</v>
      </c>
      <c r="B77">
        <f>ROW()</f>
        <v>77</v>
      </c>
      <c r="C77" t="s">
        <v>243</v>
      </c>
      <c r="D77" s="170"/>
      <c r="E77" s="61"/>
      <c r="F77" s="170"/>
      <c r="G77" s="65"/>
      <c r="H77" s="170"/>
      <c r="I77" s="170"/>
    </row>
    <row r="78" spans="1:9" ht="14.25" x14ac:dyDescent="0.45">
      <c r="A78" t="s">
        <v>233</v>
      </c>
      <c r="B78">
        <f>ROW()</f>
        <v>78</v>
      </c>
      <c r="C78" t="s">
        <v>243</v>
      </c>
      <c r="D78" s="170"/>
      <c r="E78" s="61"/>
      <c r="F78" s="170"/>
      <c r="G78" s="65"/>
      <c r="H78" s="170"/>
      <c r="I78" s="170"/>
    </row>
    <row r="79" spans="1:9" ht="14.25" x14ac:dyDescent="0.45">
      <c r="A79" t="s">
        <v>233</v>
      </c>
      <c r="B79">
        <f>ROW()</f>
        <v>79</v>
      </c>
      <c r="C79" t="s">
        <v>243</v>
      </c>
      <c r="D79" s="170"/>
      <c r="F79" s="170"/>
      <c r="G79" s="170"/>
      <c r="H79" s="170"/>
      <c r="I79" s="170"/>
    </row>
    <row r="80" spans="1:9" ht="14.25" x14ac:dyDescent="0.45">
      <c r="A80" t="s">
        <v>233</v>
      </c>
      <c r="B80">
        <f>ROW()</f>
        <v>80</v>
      </c>
      <c r="C80" t="s">
        <v>243</v>
      </c>
      <c r="D80" s="170"/>
      <c r="F80" s="170"/>
      <c r="G80" s="170"/>
      <c r="H80" s="170"/>
      <c r="I80" s="170"/>
    </row>
    <row r="81" spans="1:20" ht="14.25" x14ac:dyDescent="0.45">
      <c r="A81" t="s">
        <v>233</v>
      </c>
      <c r="B81">
        <f>ROW()</f>
        <v>81</v>
      </c>
      <c r="C81" t="s">
        <v>243</v>
      </c>
      <c r="D81" s="170"/>
      <c r="F81" s="170"/>
      <c r="G81" s="170"/>
      <c r="H81" s="170"/>
      <c r="I81" s="170"/>
    </row>
    <row r="82" spans="1:20" ht="14.25" x14ac:dyDescent="0.45">
      <c r="A82" t="s">
        <v>233</v>
      </c>
      <c r="B82">
        <f>ROW()</f>
        <v>82</v>
      </c>
      <c r="C82" t="s">
        <v>243</v>
      </c>
      <c r="D82" s="170"/>
      <c r="F82" s="170"/>
      <c r="G82" s="170"/>
      <c r="H82" s="170"/>
      <c r="I82" s="170"/>
    </row>
    <row r="83" spans="1:20" ht="14.25" x14ac:dyDescent="0.45">
      <c r="A83" t="s">
        <v>233</v>
      </c>
      <c r="B83">
        <f>ROW()</f>
        <v>83</v>
      </c>
      <c r="C83" t="s">
        <v>243</v>
      </c>
      <c r="D83" s="170"/>
      <c r="F83" s="170"/>
      <c r="G83" s="170"/>
      <c r="H83" s="170"/>
      <c r="I83" s="170"/>
    </row>
    <row r="84" spans="1:20" ht="14.25" x14ac:dyDescent="0.45"/>
    <row r="85" spans="1:20" ht="14.25" x14ac:dyDescent="0.45">
      <c r="A85" s="64" t="s">
        <v>244</v>
      </c>
    </row>
    <row r="86" spans="1:20" ht="14.25" x14ac:dyDescent="0.45">
      <c r="A86" s="64"/>
    </row>
    <row r="87" spans="1:20" ht="14.25" x14ac:dyDescent="0.45">
      <c r="A87" s="64"/>
    </row>
    <row r="88" spans="1:20" ht="21.4" thickBot="1" x14ac:dyDescent="0.7">
      <c r="A88" s="129" t="s">
        <v>255</v>
      </c>
    </row>
    <row r="89" spans="1:20" ht="57.6" customHeight="1" thickBot="1" x14ac:dyDescent="0.5">
      <c r="A89" s="119" t="s">
        <v>78</v>
      </c>
      <c r="B89" s="119" t="s">
        <v>79</v>
      </c>
      <c r="C89" s="119" t="s">
        <v>208</v>
      </c>
      <c r="D89" s="119" t="s">
        <v>1244</v>
      </c>
      <c r="E89" s="119" t="s">
        <v>1245</v>
      </c>
      <c r="F89" s="119" t="s">
        <v>92</v>
      </c>
      <c r="G89" s="119" t="s">
        <v>245</v>
      </c>
      <c r="H89" s="119" t="s">
        <v>246</v>
      </c>
      <c r="I89" s="119" t="s">
        <v>247</v>
      </c>
      <c r="J89" s="119" t="s">
        <v>248</v>
      </c>
      <c r="K89" s="119" t="s">
        <v>249</v>
      </c>
      <c r="L89" s="119" t="s">
        <v>250</v>
      </c>
      <c r="M89" s="119" t="s">
        <v>325</v>
      </c>
      <c r="N89" s="119" t="s">
        <v>251</v>
      </c>
      <c r="O89" s="119" t="s">
        <v>252</v>
      </c>
      <c r="S89" s="67" t="s">
        <v>253</v>
      </c>
      <c r="T89" s="68" t="s">
        <v>254</v>
      </c>
    </row>
    <row r="90" spans="1:20" ht="14.25" x14ac:dyDescent="0.45">
      <c r="A90" t="s">
        <v>255</v>
      </c>
      <c r="B90">
        <f>ROW()</f>
        <v>90</v>
      </c>
      <c r="D90" t="s">
        <v>256</v>
      </c>
      <c r="E90" t="s">
        <v>181</v>
      </c>
      <c r="F90" s="156"/>
      <c r="G90" s="156"/>
      <c r="H90" s="156"/>
      <c r="I90" s="156"/>
      <c r="J90" s="156"/>
      <c r="K90" s="156"/>
      <c r="L90" s="156"/>
      <c r="M90"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0" s="65"/>
      <c r="O90" s="65"/>
      <c r="S90" s="69">
        <f>G16</f>
        <v>0</v>
      </c>
      <c r="T90" s="70" t="b">
        <f>ROUND(S90,0)=ROUND(F113,0)</f>
        <v>1</v>
      </c>
    </row>
    <row r="91" spans="1:20" ht="14.25" x14ac:dyDescent="0.45">
      <c r="A91" t="s">
        <v>255</v>
      </c>
      <c r="B91">
        <f>ROW()</f>
        <v>91</v>
      </c>
      <c r="D91" t="s">
        <v>256</v>
      </c>
      <c r="E91" t="s">
        <v>185</v>
      </c>
      <c r="F91" s="156"/>
      <c r="G91" s="156"/>
      <c r="H91" s="156"/>
      <c r="I91" s="156"/>
      <c r="J91" s="156"/>
      <c r="K91" s="156"/>
      <c r="L91" s="156"/>
      <c r="M91"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1" s="65"/>
      <c r="O91" s="65"/>
      <c r="S91" s="69">
        <f>G17</f>
        <v>0</v>
      </c>
      <c r="T91" s="71" t="b">
        <f>ROUND(S91,0)=ROUND(G113,0)</f>
        <v>1</v>
      </c>
    </row>
    <row r="92" spans="1:20" ht="14.25" x14ac:dyDescent="0.45">
      <c r="A92" t="s">
        <v>255</v>
      </c>
      <c r="B92">
        <f>ROW()</f>
        <v>92</v>
      </c>
      <c r="D92" t="s">
        <v>256</v>
      </c>
      <c r="E92" t="s">
        <v>186</v>
      </c>
      <c r="F92" s="156"/>
      <c r="G92" s="156"/>
      <c r="H92" s="156"/>
      <c r="I92" s="156"/>
      <c r="J92" s="156"/>
      <c r="K92" s="156"/>
      <c r="L92" s="156"/>
      <c r="M92"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2" s="65"/>
      <c r="O92" s="65"/>
      <c r="S92" s="69">
        <f>G18</f>
        <v>0</v>
      </c>
      <c r="T92" s="71" t="b">
        <f>ROUND(S92,0)=ROUND(H113,0)</f>
        <v>1</v>
      </c>
    </row>
    <row r="93" spans="1:20" ht="14.25" x14ac:dyDescent="0.45">
      <c r="A93" t="s">
        <v>255</v>
      </c>
      <c r="B93">
        <f>ROW()</f>
        <v>93</v>
      </c>
      <c r="D93" t="s">
        <v>256</v>
      </c>
      <c r="E93" t="s">
        <v>187</v>
      </c>
      <c r="F93" s="156"/>
      <c r="G93" s="156"/>
      <c r="H93" s="156"/>
      <c r="I93" s="156"/>
      <c r="J93" s="156"/>
      <c r="K93" s="156"/>
      <c r="L93" s="156"/>
      <c r="M93"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3" s="65"/>
      <c r="O93" s="65"/>
      <c r="S93" s="69">
        <f>G22</f>
        <v>0</v>
      </c>
      <c r="T93" s="71" t="b">
        <f>ROUND(S93,0)=ROUND(I113,0)</f>
        <v>1</v>
      </c>
    </row>
    <row r="94" spans="1:20" ht="14.25" x14ac:dyDescent="0.45">
      <c r="A94" t="s">
        <v>255</v>
      </c>
      <c r="B94">
        <f>ROW()</f>
        <v>94</v>
      </c>
      <c r="D94" t="s">
        <v>256</v>
      </c>
      <c r="E94" t="s">
        <v>257</v>
      </c>
      <c r="F94" s="156"/>
      <c r="G94" s="156"/>
      <c r="H94" s="156"/>
      <c r="I94" s="156"/>
      <c r="J94" s="156"/>
      <c r="K94" s="156"/>
      <c r="L94" s="156"/>
      <c r="M94"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4" s="65"/>
      <c r="O94" s="65"/>
      <c r="S94" s="69">
        <f>G26</f>
        <v>0</v>
      </c>
      <c r="T94" s="71" t="b">
        <f>ROUND(S94,0)=ROUND(J113,0)</f>
        <v>1</v>
      </c>
    </row>
    <row r="95" spans="1:20" ht="14.25" x14ac:dyDescent="0.45">
      <c r="A95" t="s">
        <v>255</v>
      </c>
      <c r="B95">
        <f>ROW()</f>
        <v>95</v>
      </c>
      <c r="D95" t="s">
        <v>256</v>
      </c>
      <c r="E95" t="s">
        <v>189</v>
      </c>
      <c r="F95" s="156"/>
      <c r="G95" s="156"/>
      <c r="H95" s="156"/>
      <c r="I95" s="156"/>
      <c r="J95" s="156"/>
      <c r="K95" s="156"/>
      <c r="L95" s="156"/>
      <c r="M95"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5" s="65"/>
      <c r="O95" s="65"/>
      <c r="S95" s="69">
        <f>G28</f>
        <v>0</v>
      </c>
      <c r="T95" s="71" t="b">
        <f>ROUND(S95,0)=ROUND((K113+L113),0)</f>
        <v>1</v>
      </c>
    </row>
    <row r="96" spans="1:20" ht="14.25" x14ac:dyDescent="0.45">
      <c r="A96" t="s">
        <v>255</v>
      </c>
      <c r="B96">
        <f>ROW()</f>
        <v>96</v>
      </c>
      <c r="D96" t="s">
        <v>256</v>
      </c>
      <c r="E96" t="s">
        <v>190</v>
      </c>
      <c r="F96" s="156"/>
      <c r="G96" s="156"/>
      <c r="H96" s="156"/>
      <c r="I96" s="156"/>
      <c r="J96" s="156"/>
      <c r="K96" s="156"/>
      <c r="L96" s="156"/>
      <c r="M96"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6" s="65"/>
      <c r="O96" s="65"/>
      <c r="S96" s="69"/>
      <c r="T96" s="71"/>
    </row>
    <row r="97" spans="1:20" ht="14.65" thickBot="1" x14ac:dyDescent="0.5">
      <c r="A97" t="s">
        <v>255</v>
      </c>
      <c r="B97">
        <f>ROW()</f>
        <v>97</v>
      </c>
      <c r="D97" t="s">
        <v>256</v>
      </c>
      <c r="E97" t="s">
        <v>191</v>
      </c>
      <c r="F97" s="156"/>
      <c r="G97" s="156"/>
      <c r="H97" s="156"/>
      <c r="I97" s="156"/>
      <c r="J97" s="156"/>
      <c r="K97" s="156"/>
      <c r="L97" s="156"/>
      <c r="M97"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7" s="65"/>
      <c r="O97" s="65"/>
      <c r="S97" s="72">
        <f>G29</f>
        <v>0</v>
      </c>
      <c r="T97" s="73" t="b">
        <f>ROUND(S97,0)=ROUND(M113,0)</f>
        <v>1</v>
      </c>
    </row>
    <row r="98" spans="1:20" ht="14.25" x14ac:dyDescent="0.45">
      <c r="A98" t="s">
        <v>255</v>
      </c>
      <c r="B98">
        <f>ROW()</f>
        <v>98</v>
      </c>
      <c r="D98" t="s">
        <v>256</v>
      </c>
      <c r="E98" s="30" t="s">
        <v>258</v>
      </c>
      <c r="F98" s="158">
        <f t="shared" ref="F98:L98" si="0">SUM(F90:F97)</f>
        <v>0</v>
      </c>
      <c r="G98" s="158">
        <f t="shared" si="0"/>
        <v>0</v>
      </c>
      <c r="H98" s="158">
        <f t="shared" si="0"/>
        <v>0</v>
      </c>
      <c r="I98" s="158">
        <f t="shared" si="0"/>
        <v>0</v>
      </c>
      <c r="J98" s="158">
        <f t="shared" si="0"/>
        <v>0</v>
      </c>
      <c r="K98" s="158">
        <f t="shared" si="0"/>
        <v>0</v>
      </c>
      <c r="L98" s="158">
        <f t="shared" si="0"/>
        <v>0</v>
      </c>
      <c r="M98" s="158">
        <f>SUM(M90:M97)</f>
        <v>0</v>
      </c>
      <c r="N98" s="83"/>
      <c r="O98" s="83"/>
      <c r="Q98" s="77" t="str">
        <f>IF(F98-G98+H98+I98-J98+K98+L98=M98,"OK","ERROR")</f>
        <v>OK</v>
      </c>
    </row>
    <row r="99" spans="1:20" ht="14.25" x14ac:dyDescent="0.45">
      <c r="A99" t="s">
        <v>255</v>
      </c>
      <c r="B99">
        <f>ROW()</f>
        <v>99</v>
      </c>
      <c r="D99" t="s">
        <v>259</v>
      </c>
      <c r="E99" t="s">
        <v>257</v>
      </c>
      <c r="F99" s="156"/>
      <c r="G99" s="156"/>
      <c r="H99" s="156"/>
      <c r="I99" s="156"/>
      <c r="J99" s="156"/>
      <c r="K99" s="156"/>
      <c r="L99" s="156"/>
      <c r="M99"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9" s="65"/>
      <c r="O99" s="65"/>
    </row>
    <row r="100" spans="1:20" ht="14.25" x14ac:dyDescent="0.45">
      <c r="A100" t="s">
        <v>255</v>
      </c>
      <c r="B100">
        <f>ROW()</f>
        <v>100</v>
      </c>
      <c r="D100" t="s">
        <v>259</v>
      </c>
      <c r="E100" t="s">
        <v>189</v>
      </c>
      <c r="F100" s="156"/>
      <c r="G100" s="156"/>
      <c r="H100" s="156"/>
      <c r="I100" s="156"/>
      <c r="J100" s="156"/>
      <c r="K100" s="156"/>
      <c r="L100" s="156"/>
      <c r="M100"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0" s="65"/>
      <c r="O100" s="65"/>
    </row>
    <row r="101" spans="1:20" ht="14.25" x14ac:dyDescent="0.45">
      <c r="A101" t="s">
        <v>255</v>
      </c>
      <c r="B101">
        <f>ROW()</f>
        <v>101</v>
      </c>
      <c r="D101" t="s">
        <v>259</v>
      </c>
      <c r="E101" t="s">
        <v>190</v>
      </c>
      <c r="F101" s="156"/>
      <c r="G101" s="156"/>
      <c r="H101" s="156"/>
      <c r="I101" s="156"/>
      <c r="J101" s="156"/>
      <c r="K101" s="156"/>
      <c r="L101" s="156"/>
      <c r="M101"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1" s="65"/>
      <c r="O101" s="65"/>
    </row>
    <row r="102" spans="1:20" ht="14.25" x14ac:dyDescent="0.45">
      <c r="A102" t="s">
        <v>255</v>
      </c>
      <c r="B102">
        <f>ROW()</f>
        <v>102</v>
      </c>
      <c r="D102" t="s">
        <v>259</v>
      </c>
      <c r="E102" t="s">
        <v>193</v>
      </c>
      <c r="F102" s="156"/>
      <c r="G102" s="156"/>
      <c r="H102" s="156"/>
      <c r="I102" s="156"/>
      <c r="J102" s="156"/>
      <c r="K102" s="156"/>
      <c r="L102" s="156"/>
      <c r="M102"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2" s="65"/>
      <c r="O102" s="65"/>
    </row>
    <row r="103" spans="1:20" ht="14.25" x14ac:dyDescent="0.45">
      <c r="A103" t="s">
        <v>255</v>
      </c>
      <c r="B103">
        <f>ROW()</f>
        <v>103</v>
      </c>
      <c r="D103" t="s">
        <v>259</v>
      </c>
      <c r="E103" s="30" t="s">
        <v>260</v>
      </c>
      <c r="F103" s="158">
        <f t="shared" ref="F103:L103" si="1">SUM(F99:F102)</f>
        <v>0</v>
      </c>
      <c r="G103" s="158">
        <f t="shared" si="1"/>
        <v>0</v>
      </c>
      <c r="H103" s="158">
        <f t="shared" si="1"/>
        <v>0</v>
      </c>
      <c r="I103" s="158">
        <f t="shared" si="1"/>
        <v>0</v>
      </c>
      <c r="J103" s="158">
        <f t="shared" si="1"/>
        <v>0</v>
      </c>
      <c r="K103" s="158">
        <f t="shared" si="1"/>
        <v>0</v>
      </c>
      <c r="L103" s="158">
        <f t="shared" si="1"/>
        <v>0</v>
      </c>
      <c r="M103" s="158">
        <f>SUM(M99:M102)</f>
        <v>0</v>
      </c>
      <c r="N103" s="83"/>
      <c r="O103" s="83"/>
      <c r="Q103" s="77" t="str">
        <f>IF(F103-G103+H103+I103-J103+K103+L103=M103,"OK","ERROR")</f>
        <v>OK</v>
      </c>
    </row>
    <row r="104" spans="1:20" ht="14.25" x14ac:dyDescent="0.45">
      <c r="A104" t="s">
        <v>255</v>
      </c>
      <c r="B104">
        <f>ROW()</f>
        <v>104</v>
      </c>
      <c r="D104" s="30" t="s">
        <v>261</v>
      </c>
      <c r="E104" t="s">
        <v>195</v>
      </c>
      <c r="F104" s="156"/>
      <c r="G104" s="156"/>
      <c r="H104" s="156"/>
      <c r="I104" s="156"/>
      <c r="J104" s="156"/>
      <c r="K104" s="156"/>
      <c r="L104" s="156"/>
      <c r="M104"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4" s="65"/>
      <c r="O104" s="65"/>
    </row>
    <row r="105" spans="1:20" ht="14.25" x14ac:dyDescent="0.45">
      <c r="A105" t="s">
        <v>255</v>
      </c>
      <c r="B105">
        <f>ROW()</f>
        <v>105</v>
      </c>
      <c r="D105" t="s">
        <v>261</v>
      </c>
      <c r="E105" t="s">
        <v>196</v>
      </c>
      <c r="F105" s="156"/>
      <c r="G105" s="156"/>
      <c r="H105" s="156"/>
      <c r="I105" s="156"/>
      <c r="J105" s="156"/>
      <c r="K105" s="156"/>
      <c r="L105" s="156"/>
      <c r="M105"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5" s="65"/>
      <c r="O105" s="65"/>
    </row>
    <row r="106" spans="1:20" ht="14.25" x14ac:dyDescent="0.45">
      <c r="A106" t="s">
        <v>255</v>
      </c>
      <c r="B106">
        <f>ROW()</f>
        <v>106</v>
      </c>
      <c r="D106" t="s">
        <v>261</v>
      </c>
      <c r="E106" s="30" t="s">
        <v>262</v>
      </c>
      <c r="F106" s="158">
        <f t="shared" ref="F106:L106" si="2">SUM(F98,F103,F104:F105)</f>
        <v>0</v>
      </c>
      <c r="G106" s="158">
        <f t="shared" si="2"/>
        <v>0</v>
      </c>
      <c r="H106" s="158">
        <f t="shared" si="2"/>
        <v>0</v>
      </c>
      <c r="I106" s="158">
        <f t="shared" si="2"/>
        <v>0</v>
      </c>
      <c r="J106" s="158">
        <f t="shared" si="2"/>
        <v>0</v>
      </c>
      <c r="K106" s="158">
        <f t="shared" si="2"/>
        <v>0</v>
      </c>
      <c r="L106" s="158">
        <f t="shared" si="2"/>
        <v>0</v>
      </c>
      <c r="M106" s="158">
        <f>SUM(M104,M105,M98,M103)</f>
        <v>0</v>
      </c>
      <c r="N106" s="83"/>
      <c r="O106" s="83"/>
      <c r="Q106" s="77" t="str">
        <f>IF(F106-G106+H106+I106-J106+K106+L106=M106,"OK","ERROR")</f>
        <v>OK</v>
      </c>
    </row>
    <row r="107" spans="1:20" ht="14.25" x14ac:dyDescent="0.45">
      <c r="A107" t="s">
        <v>255</v>
      </c>
      <c r="B107">
        <f>ROW()</f>
        <v>107</v>
      </c>
      <c r="D107" s="30" t="s">
        <v>263</v>
      </c>
      <c r="E107" t="s">
        <v>198</v>
      </c>
      <c r="F107" s="156"/>
      <c r="G107" s="156"/>
      <c r="H107" s="156"/>
      <c r="I107" s="156"/>
      <c r="J107" s="156"/>
      <c r="K107" s="156"/>
      <c r="L107" s="156"/>
      <c r="M107"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7" s="65"/>
      <c r="O107" s="65"/>
    </row>
    <row r="108" spans="1:20" ht="14.25" x14ac:dyDescent="0.45">
      <c r="A108" t="s">
        <v>255</v>
      </c>
      <c r="B108">
        <f>ROW()</f>
        <v>108</v>
      </c>
      <c r="D108" t="s">
        <v>263</v>
      </c>
      <c r="E108" t="s">
        <v>199</v>
      </c>
      <c r="F108" s="156"/>
      <c r="G108" s="156"/>
      <c r="H108" s="156"/>
      <c r="I108" s="156"/>
      <c r="J108" s="156"/>
      <c r="K108" s="156"/>
      <c r="L108" s="156"/>
      <c r="M108"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8" s="65"/>
      <c r="O108" s="65"/>
    </row>
    <row r="109" spans="1:20" ht="14.25" x14ac:dyDescent="0.45">
      <c r="A109" t="s">
        <v>255</v>
      </c>
      <c r="B109">
        <f>ROW()</f>
        <v>109</v>
      </c>
      <c r="D109" t="s">
        <v>263</v>
      </c>
      <c r="E109" t="s">
        <v>200</v>
      </c>
      <c r="F109" s="156"/>
      <c r="G109" s="156"/>
      <c r="H109" s="156"/>
      <c r="I109" s="156"/>
      <c r="J109" s="156"/>
      <c r="K109" s="156"/>
      <c r="L109" s="156"/>
      <c r="M109" s="158">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9" s="83"/>
      <c r="O109" s="83"/>
    </row>
    <row r="110" spans="1:20" ht="14.25" x14ac:dyDescent="0.45">
      <c r="A110" t="s">
        <v>255</v>
      </c>
      <c r="B110">
        <f>ROW()</f>
        <v>110</v>
      </c>
      <c r="D110" t="s">
        <v>263</v>
      </c>
      <c r="E110" s="30" t="s">
        <v>264</v>
      </c>
      <c r="F110" s="158">
        <f t="shared" ref="F110:L110" si="3">SUM(F107:F109)</f>
        <v>0</v>
      </c>
      <c r="G110" s="158">
        <f t="shared" si="3"/>
        <v>0</v>
      </c>
      <c r="H110" s="158">
        <f t="shared" si="3"/>
        <v>0</v>
      </c>
      <c r="I110" s="158">
        <f t="shared" si="3"/>
        <v>0</v>
      </c>
      <c r="J110" s="158">
        <f t="shared" si="3"/>
        <v>0</v>
      </c>
      <c r="K110" s="158">
        <f t="shared" si="3"/>
        <v>0</v>
      </c>
      <c r="L110" s="158">
        <f t="shared" si="3"/>
        <v>0</v>
      </c>
      <c r="M110" s="158">
        <f>SUM(M107:M109)</f>
        <v>0</v>
      </c>
      <c r="N110" s="83"/>
      <c r="O110" s="83"/>
      <c r="Q110" s="77" t="str">
        <f>IF(F110-G110+H110+I110-J110+K110+L110=M110,"OK","ERROR")</f>
        <v>OK</v>
      </c>
    </row>
    <row r="111" spans="1:20" ht="16.149999999999999" customHeight="1" x14ac:dyDescent="0.45">
      <c r="A111" t="s">
        <v>255</v>
      </c>
      <c r="B111">
        <f>ROW()</f>
        <v>111</v>
      </c>
      <c r="D111" t="s">
        <v>263</v>
      </c>
      <c r="E111" s="30" t="s">
        <v>265</v>
      </c>
      <c r="F111" s="158">
        <f t="shared" ref="F111:L111" si="4">SUM(F106,F110)</f>
        <v>0</v>
      </c>
      <c r="G111" s="158">
        <f t="shared" si="4"/>
        <v>0</v>
      </c>
      <c r="H111" s="158">
        <f t="shared" si="4"/>
        <v>0</v>
      </c>
      <c r="I111" s="158">
        <f t="shared" si="4"/>
        <v>0</v>
      </c>
      <c r="J111" s="158">
        <f t="shared" si="4"/>
        <v>0</v>
      </c>
      <c r="K111" s="158">
        <f t="shared" si="4"/>
        <v>0</v>
      </c>
      <c r="L111" s="158">
        <f t="shared" si="4"/>
        <v>0</v>
      </c>
      <c r="M111" s="158">
        <f>SUM(M110,M106)</f>
        <v>0</v>
      </c>
      <c r="N111" s="83"/>
      <c r="O111" s="83"/>
      <c r="Q111" s="77" t="str">
        <f>IF(F111-G111+H111+I111-J111+K111+L111=M111,"OK","ERROR")</f>
        <v>OK</v>
      </c>
    </row>
    <row r="112" spans="1:20" ht="14.25" x14ac:dyDescent="0.45">
      <c r="A112" t="s">
        <v>255</v>
      </c>
      <c r="B112">
        <f>ROW()</f>
        <v>112</v>
      </c>
      <c r="D112" s="30" t="s">
        <v>203</v>
      </c>
      <c r="F112" s="156"/>
      <c r="G112" s="156"/>
      <c r="H112" s="156"/>
      <c r="I112" s="176"/>
      <c r="J112" s="156"/>
      <c r="K112" s="176"/>
      <c r="L112" s="176"/>
      <c r="M112" s="158">
        <f>tb_4c_4cvii_4.37_1[[#This Row],[Opening RAB value]]-tb_4c_4cvii_4.37_1[[#This Row],[Less depreciation]]+tb_4c_4cvii_4.37_1[[#This Row],[Plus revaluations]]-tb_4c_4cvii_4.37_1[[#This Row],[Less asset disposals]]</f>
        <v>0</v>
      </c>
      <c r="N112" s="65"/>
      <c r="O112" s="65"/>
    </row>
    <row r="113" spans="1:17" ht="14.25" x14ac:dyDescent="0.45">
      <c r="A113" t="s">
        <v>255</v>
      </c>
      <c r="B113">
        <f>ROW()</f>
        <v>113</v>
      </c>
      <c r="D113" s="30" t="s">
        <v>266</v>
      </c>
      <c r="F113" s="158">
        <f t="shared" ref="F113:L113" si="5">SUM(F111,F112)</f>
        <v>0</v>
      </c>
      <c r="G113" s="158">
        <f t="shared" si="5"/>
        <v>0</v>
      </c>
      <c r="H113" s="158">
        <f t="shared" si="5"/>
        <v>0</v>
      </c>
      <c r="I113" s="158">
        <f t="shared" si="5"/>
        <v>0</v>
      </c>
      <c r="J113" s="158">
        <f t="shared" si="5"/>
        <v>0</v>
      </c>
      <c r="K113" s="158">
        <f t="shared" si="5"/>
        <v>0</v>
      </c>
      <c r="L113" s="158">
        <f t="shared" si="5"/>
        <v>0</v>
      </c>
      <c r="M113" s="158">
        <f>M112+M111</f>
        <v>0</v>
      </c>
      <c r="N113" s="83"/>
      <c r="O113" s="83"/>
      <c r="Q113" s="77" t="str">
        <f>IF(F113-G113+H113+I113-J113+K113+L113=M113,"OK","ERROR")</f>
        <v>OK</v>
      </c>
    </row>
    <row r="114" spans="1:17" ht="14.25" x14ac:dyDescent="0.45"/>
    <row r="115" spans="1:17" ht="14.25" x14ac:dyDescent="0.45"/>
  </sheetData>
  <pageMargins left="0.70866141732283472" right="0.70866141732283472" top="0.74803149606299213" bottom="0.74803149606299213" header="0.31496062992125984" footer="0.31496062992125984"/>
  <pageSetup paperSize="9" scale="32" fitToHeight="0" orientation="landscape" r:id="rId1"/>
  <rowBreaks count="1" manualBreakCount="1">
    <brk id="73" max="15" man="1"/>
  </rowBreaks>
  <tableParts count="10">
    <tablePart r:id="rId2"/>
    <tablePart r:id="rId3"/>
    <tablePart r:id="rId4"/>
    <tablePart r:id="rId5"/>
    <tablePart r:id="rId6"/>
    <tablePart r:id="rId7"/>
    <tablePart r:id="rId8"/>
    <tablePart r:id="rId9"/>
    <tablePart r:id="rId10"/>
    <tablePart r:id="rId1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95C8-C211-474F-9A08-7BD0DE8EB3E3}">
  <sheetPr codeName="Sheet13">
    <pageSetUpPr fitToPage="1"/>
  </sheetPr>
  <dimension ref="A1:S112"/>
  <sheetViews>
    <sheetView zoomScale="85" zoomScaleNormal="85" workbookViewId="0"/>
  </sheetViews>
  <sheetFormatPr defaultRowHeight="14.45" customHeight="1" x14ac:dyDescent="0.45"/>
  <cols>
    <col min="1" max="1" width="61.86328125" customWidth="1"/>
    <col min="2" max="2" width="10" bestFit="1" customWidth="1"/>
    <col min="3" max="3" width="22.1328125" customWidth="1"/>
    <col min="4" max="4" width="45.265625" bestFit="1" customWidth="1"/>
    <col min="5" max="5" width="35.1328125" bestFit="1" customWidth="1"/>
    <col min="6" max="14" width="16.59765625" customWidth="1"/>
    <col min="15" max="15" width="2.3984375" customWidth="1"/>
    <col min="16" max="16" width="11.3984375" customWidth="1"/>
  </cols>
  <sheetData>
    <row r="1" spans="1:18" ht="23.25" x14ac:dyDescent="0.45">
      <c r="A1" s="146" t="s">
        <v>1159</v>
      </c>
    </row>
    <row r="2" spans="1:18" ht="21" x14ac:dyDescent="0.65">
      <c r="A2" s="129" t="s">
        <v>855</v>
      </c>
    </row>
    <row r="3" spans="1:18" ht="56.65" customHeight="1" x14ac:dyDescent="0.45">
      <c r="A3" s="119" t="s">
        <v>78</v>
      </c>
      <c r="B3" s="119" t="s">
        <v>79</v>
      </c>
      <c r="C3" s="119" t="s">
        <v>208</v>
      </c>
      <c r="D3" s="119" t="s">
        <v>1244</v>
      </c>
      <c r="E3" s="119" t="s">
        <v>1245</v>
      </c>
      <c r="F3" s="119" t="s">
        <v>1009</v>
      </c>
      <c r="G3" s="119" t="s">
        <v>1010</v>
      </c>
      <c r="H3" s="119" t="s">
        <v>1011</v>
      </c>
      <c r="I3" s="119" t="s">
        <v>1012</v>
      </c>
      <c r="J3" s="119" t="s">
        <v>1013</v>
      </c>
      <c r="P3" s="47"/>
      <c r="Q3" s="47"/>
      <c r="R3" s="47"/>
    </row>
    <row r="4" spans="1:18" ht="14.25" x14ac:dyDescent="0.45">
      <c r="A4" t="s">
        <v>855</v>
      </c>
      <c r="B4">
        <f>ROW()</f>
        <v>4</v>
      </c>
      <c r="D4" t="s">
        <v>210</v>
      </c>
      <c r="F4" s="65"/>
      <c r="G4" s="65"/>
      <c r="H4" s="65"/>
      <c r="I4" s="65"/>
      <c r="J4" s="65"/>
      <c r="L4" s="76" t="s">
        <v>269</v>
      </c>
      <c r="N4" s="76"/>
      <c r="P4" s="105"/>
      <c r="Q4" s="106"/>
      <c r="R4" s="47"/>
    </row>
    <row r="5" spans="1:18" ht="14.25" x14ac:dyDescent="0.45">
      <c r="A5" t="s">
        <v>855</v>
      </c>
      <c r="B5">
        <f>ROW()</f>
        <v>5</v>
      </c>
      <c r="C5" t="s">
        <v>212</v>
      </c>
      <c r="D5" t="s">
        <v>213</v>
      </c>
      <c r="F5" s="65"/>
      <c r="G5" s="65"/>
      <c r="H5" s="65"/>
      <c r="I5" s="65"/>
      <c r="J5" s="75">
        <f>G17</f>
        <v>0</v>
      </c>
      <c r="L5" s="76" t="str" cm="1">
        <f t="array" aca="1" ref="L5" ca="1">"from row "&amp;CELL("row",G18)</f>
        <v>from row 18</v>
      </c>
      <c r="N5" s="76"/>
      <c r="P5" s="105"/>
      <c r="Q5" s="106"/>
      <c r="R5" s="47"/>
    </row>
    <row r="6" spans="1:18" ht="14.25" x14ac:dyDescent="0.45">
      <c r="A6" t="s">
        <v>855</v>
      </c>
      <c r="B6">
        <f>ROW()</f>
        <v>6</v>
      </c>
      <c r="C6" t="s">
        <v>214</v>
      </c>
      <c r="D6" t="s">
        <v>215</v>
      </c>
      <c r="F6" s="65"/>
      <c r="G6" s="65"/>
      <c r="H6" s="65"/>
      <c r="I6" s="65"/>
      <c r="J6" s="178">
        <f>G18</f>
        <v>0</v>
      </c>
      <c r="L6" s="76" t="str" cm="1">
        <f t="array" aca="1" ref="L6" ca="1">"from row "&amp;CELL("row",G19)</f>
        <v>from row 19</v>
      </c>
      <c r="N6" s="76"/>
      <c r="P6" s="107"/>
      <c r="Q6" s="106"/>
      <c r="R6" s="47"/>
    </row>
    <row r="7" spans="1:18" ht="14.25" x14ac:dyDescent="0.45">
      <c r="A7" t="s">
        <v>855</v>
      </c>
      <c r="B7">
        <f>ROW()</f>
        <v>7</v>
      </c>
      <c r="C7" t="s">
        <v>214</v>
      </c>
      <c r="D7" t="s">
        <v>109</v>
      </c>
      <c r="F7" s="65"/>
      <c r="G7" s="65"/>
      <c r="H7" s="65"/>
      <c r="I7" s="65"/>
      <c r="J7" s="75">
        <f>G22</f>
        <v>0</v>
      </c>
      <c r="L7" s="76" t="str" cm="1">
        <f t="array" aca="1" ref="L7" ca="1">"from row "&amp;CELL("row",G23)&amp;" &amp; to S4b"</f>
        <v>from row 23 &amp; to S4b</v>
      </c>
      <c r="N7" s="76"/>
      <c r="P7" s="105"/>
      <c r="Q7" s="106"/>
      <c r="R7" s="47"/>
    </row>
    <row r="8" spans="1:18" ht="14.25" x14ac:dyDescent="0.45">
      <c r="A8" t="s">
        <v>855</v>
      </c>
      <c r="B8">
        <f>ROW()</f>
        <v>8</v>
      </c>
      <c r="C8" t="s">
        <v>212</v>
      </c>
      <c r="D8" t="s">
        <v>111</v>
      </c>
      <c r="F8" s="65"/>
      <c r="G8" s="65"/>
      <c r="H8" s="65"/>
      <c r="I8" s="65"/>
      <c r="J8" s="75">
        <f>G26</f>
        <v>0</v>
      </c>
      <c r="L8" s="76" t="str" cm="1">
        <f t="array" aca="1" ref="L8" ca="1">"from row "&amp;CELL("row",G24)&amp;" &amp; to S4b"</f>
        <v>from row 24 &amp; to S4b</v>
      </c>
      <c r="N8" s="76"/>
      <c r="P8" s="105"/>
      <c r="Q8" s="106"/>
      <c r="R8" s="47"/>
    </row>
    <row r="9" spans="1:18" ht="14.25" x14ac:dyDescent="0.45">
      <c r="A9" t="s">
        <v>855</v>
      </c>
      <c r="B9">
        <f>ROW()</f>
        <v>9</v>
      </c>
      <c r="C9" t="s">
        <v>214</v>
      </c>
      <c r="D9" t="s">
        <v>120</v>
      </c>
      <c r="F9" s="65"/>
      <c r="G9" s="65"/>
      <c r="H9" s="65"/>
      <c r="I9" s="65"/>
      <c r="J9" s="180">
        <f>G27</f>
        <v>0</v>
      </c>
      <c r="L9" s="76" t="str" cm="1">
        <f t="array" aca="1" ref="L9" ca="1">"from row "&amp;CELL("row",G27)&amp;" &amp; to S4b"</f>
        <v>from row 27 &amp; to S4b</v>
      </c>
      <c r="N9" s="76"/>
      <c r="P9" s="108"/>
      <c r="Q9" s="106"/>
      <c r="R9" s="47"/>
    </row>
    <row r="10" spans="1:18" ht="14.25" x14ac:dyDescent="0.45">
      <c r="A10" t="s">
        <v>855</v>
      </c>
      <c r="B10">
        <f>ROW()</f>
        <v>10</v>
      </c>
      <c r="D10" s="30" t="s">
        <v>119</v>
      </c>
      <c r="F10" s="75">
        <f>SUM(F3,-F4,F5,F6,-F7,-F8,F9)</f>
        <v>0</v>
      </c>
      <c r="G10" s="75">
        <f>SUM(G3,-G4,G5,G6,-G7,-G8,G9)</f>
        <v>0</v>
      </c>
      <c r="H10" s="75">
        <f>SUM(H3,-H4,H5,H6,-H7,-H8,H9)</f>
        <v>0</v>
      </c>
      <c r="I10" s="75">
        <f>SUM(I3,-I4,I5,I6,-I7,-I8,I9)</f>
        <v>0</v>
      </c>
      <c r="J10" s="181">
        <f>SUM(J4,-J5,J6,J7,-J8,J9)</f>
        <v>0</v>
      </c>
      <c r="L10" s="38" t="s">
        <v>270</v>
      </c>
      <c r="N10" s="76"/>
      <c r="P10" s="106"/>
      <c r="Q10" s="106"/>
      <c r="R10" s="47"/>
    </row>
    <row r="11" spans="1:18" ht="14.25" x14ac:dyDescent="0.45">
      <c r="N11" s="76"/>
    </row>
    <row r="12" spans="1:18" ht="14.25" x14ac:dyDescent="0.45">
      <c r="N12" s="76"/>
    </row>
    <row r="13" spans="1:18" ht="14.25" x14ac:dyDescent="0.45">
      <c r="J13" s="104"/>
      <c r="K13" s="103"/>
      <c r="N13" s="76"/>
    </row>
    <row r="14" spans="1:18" ht="21" x14ac:dyDescent="0.65">
      <c r="A14" s="129" t="s">
        <v>792</v>
      </c>
      <c r="K14" s="61"/>
    </row>
    <row r="15" spans="1:18" ht="56.65" customHeight="1" x14ac:dyDescent="0.45">
      <c r="A15" s="119" t="s">
        <v>78</v>
      </c>
      <c r="B15" s="119" t="s">
        <v>79</v>
      </c>
      <c r="C15" s="119" t="s">
        <v>208</v>
      </c>
      <c r="D15" s="119" t="s">
        <v>1244</v>
      </c>
      <c r="E15" s="119" t="s">
        <v>1245</v>
      </c>
      <c r="F15" s="119" t="s">
        <v>1014</v>
      </c>
      <c r="G15" s="119" t="s">
        <v>1015</v>
      </c>
      <c r="K15" s="61"/>
    </row>
    <row r="16" spans="1:18" ht="14.25" x14ac:dyDescent="0.45">
      <c r="A16" t="s">
        <v>792</v>
      </c>
      <c r="B16">
        <f>ROW()</f>
        <v>16</v>
      </c>
      <c r="D16" t="s">
        <v>210</v>
      </c>
      <c r="F16" s="65"/>
      <c r="G16" s="175">
        <f>J4</f>
        <v>0</v>
      </c>
      <c r="I16" s="76" t="str" cm="1">
        <f t="array" aca="1" ref="I16" ca="1">"from row "&amp;CELL("row",J3)</f>
        <v>from row 3</v>
      </c>
      <c r="K16" s="100"/>
      <c r="L16" s="101"/>
    </row>
    <row r="17" spans="1:12" ht="14.25" x14ac:dyDescent="0.45">
      <c r="A17" t="s">
        <v>792</v>
      </c>
      <c r="B17">
        <f>ROW()</f>
        <v>17</v>
      </c>
      <c r="C17" t="s">
        <v>212</v>
      </c>
      <c r="D17" t="s">
        <v>213</v>
      </c>
      <c r="F17" s="175">
        <f>F72</f>
        <v>0</v>
      </c>
      <c r="G17" s="175">
        <f>G72</f>
        <v>0</v>
      </c>
      <c r="I17" s="76" t="str" cm="1">
        <f t="array" aca="1" ref="I17" ca="1">"from row "&amp;CELL("row",G72)</f>
        <v>from row 72</v>
      </c>
      <c r="K17" s="100"/>
      <c r="L17" s="101"/>
    </row>
    <row r="18" spans="1:12" ht="14.25" x14ac:dyDescent="0.45">
      <c r="A18" t="s">
        <v>792</v>
      </c>
      <c r="B18">
        <f>ROW()</f>
        <v>18</v>
      </c>
      <c r="C18" t="s">
        <v>214</v>
      </c>
      <c r="D18" t="s">
        <v>215</v>
      </c>
      <c r="F18" s="175">
        <f>F50</f>
        <v>0</v>
      </c>
      <c r="G18" s="182">
        <f>G50</f>
        <v>0</v>
      </c>
      <c r="I18" s="76" t="str" cm="1">
        <f t="array" aca="1" ref="I18" ca="1">"from row "&amp;CELL("row",G50)</f>
        <v>from row 50</v>
      </c>
      <c r="K18" s="100"/>
      <c r="L18" s="101"/>
    </row>
    <row r="19" spans="1:12" ht="14.25" x14ac:dyDescent="0.45">
      <c r="A19" t="s">
        <v>792</v>
      </c>
      <c r="B19">
        <f>ROW()</f>
        <v>19</v>
      </c>
      <c r="C19" t="s">
        <v>214</v>
      </c>
      <c r="D19" t="s">
        <v>219</v>
      </c>
      <c r="E19" t="s">
        <v>220</v>
      </c>
      <c r="F19" s="65"/>
      <c r="G19" s="65"/>
      <c r="I19" s="76"/>
      <c r="L19" s="101"/>
    </row>
    <row r="20" spans="1:12" ht="14.25" x14ac:dyDescent="0.45">
      <c r="A20" t="s">
        <v>792</v>
      </c>
      <c r="B20">
        <f>ROW()</f>
        <v>20</v>
      </c>
      <c r="C20" t="s">
        <v>214</v>
      </c>
      <c r="D20" t="s">
        <v>219</v>
      </c>
      <c r="E20" t="s">
        <v>221</v>
      </c>
      <c r="F20" s="65"/>
      <c r="G20" s="65"/>
      <c r="I20" s="76"/>
      <c r="K20" s="100"/>
      <c r="L20" s="101"/>
    </row>
    <row r="21" spans="1:12" ht="14.25" x14ac:dyDescent="0.45">
      <c r="A21" t="s">
        <v>792</v>
      </c>
      <c r="B21">
        <f>ROW()</f>
        <v>21</v>
      </c>
      <c r="C21" t="s">
        <v>214</v>
      </c>
      <c r="D21" t="s">
        <v>219</v>
      </c>
      <c r="E21" t="s">
        <v>222</v>
      </c>
      <c r="F21" s="65"/>
      <c r="G21" s="65"/>
      <c r="I21" s="76"/>
      <c r="L21" s="101"/>
    </row>
    <row r="22" spans="1:12" ht="14.25" x14ac:dyDescent="0.45">
      <c r="A22" t="s">
        <v>792</v>
      </c>
      <c r="B22">
        <f>ROW()</f>
        <v>22</v>
      </c>
      <c r="C22" t="s">
        <v>214</v>
      </c>
      <c r="D22" t="s">
        <v>109</v>
      </c>
      <c r="F22" s="175">
        <f>SUM(F19:F21)</f>
        <v>0</v>
      </c>
      <c r="G22" s="175">
        <f>SUM(G19:G21)</f>
        <v>0</v>
      </c>
      <c r="I22" s="76" t="str" cm="1">
        <f t="array" aca="1" ref="I22" ca="1">"to row "&amp;CELL("row",J6)</f>
        <v>to row 6</v>
      </c>
      <c r="K22" s="100"/>
      <c r="L22" s="101"/>
    </row>
    <row r="23" spans="1:12" ht="14.25" x14ac:dyDescent="0.45">
      <c r="A23" t="s">
        <v>792</v>
      </c>
      <c r="B23">
        <f>ROW()</f>
        <v>23</v>
      </c>
      <c r="C23" t="s">
        <v>212</v>
      </c>
      <c r="D23" t="s">
        <v>111</v>
      </c>
      <c r="E23" t="s">
        <v>223</v>
      </c>
      <c r="F23" s="65"/>
      <c r="G23" s="65"/>
      <c r="I23" s="76"/>
      <c r="L23" s="101"/>
    </row>
    <row r="24" spans="1:12" ht="14.25" x14ac:dyDescent="0.45">
      <c r="A24" t="s">
        <v>792</v>
      </c>
      <c r="B24">
        <f>ROW()</f>
        <v>24</v>
      </c>
      <c r="C24" t="s">
        <v>212</v>
      </c>
      <c r="D24" t="s">
        <v>111</v>
      </c>
      <c r="E24" t="s">
        <v>224</v>
      </c>
      <c r="F24" s="65"/>
      <c r="G24" s="65"/>
      <c r="I24" s="76"/>
      <c r="K24" s="100"/>
      <c r="L24" s="101"/>
    </row>
    <row r="25" spans="1:12" ht="14.25" x14ac:dyDescent="0.45">
      <c r="A25" t="s">
        <v>792</v>
      </c>
      <c r="B25">
        <f>ROW()</f>
        <v>25</v>
      </c>
      <c r="C25" t="s">
        <v>212</v>
      </c>
      <c r="D25" t="s">
        <v>111</v>
      </c>
      <c r="E25" t="s">
        <v>225</v>
      </c>
      <c r="F25" s="65"/>
      <c r="G25" s="65"/>
      <c r="I25" s="76"/>
      <c r="K25" s="100"/>
      <c r="L25" s="101"/>
    </row>
    <row r="26" spans="1:12" ht="14.25" x14ac:dyDescent="0.45">
      <c r="A26" t="s">
        <v>792</v>
      </c>
      <c r="B26">
        <f>ROW()</f>
        <v>26</v>
      </c>
      <c r="C26" t="s">
        <v>212</v>
      </c>
      <c r="D26" t="s">
        <v>111</v>
      </c>
      <c r="F26" s="175">
        <f>SUM(F23:F25)</f>
        <v>0</v>
      </c>
      <c r="G26" s="175">
        <f>SUM(G23:G25)</f>
        <v>0</v>
      </c>
      <c r="I26" s="76" t="str" cm="1">
        <f t="array" aca="1" ref="I26" ca="1">"to row "&amp;CELL("row",J7)</f>
        <v>to row 7</v>
      </c>
      <c r="K26" s="100"/>
      <c r="L26" s="101"/>
    </row>
    <row r="27" spans="1:12" ht="14.25" x14ac:dyDescent="0.45">
      <c r="A27" t="s">
        <v>792</v>
      </c>
      <c r="B27">
        <f>ROW()</f>
        <v>27</v>
      </c>
      <c r="C27" t="s">
        <v>214</v>
      </c>
      <c r="D27" t="s">
        <v>120</v>
      </c>
      <c r="F27" s="177"/>
      <c r="G27" s="175">
        <f>G28-SUM(G16,-G17,G18,G22,-G26)</f>
        <v>0</v>
      </c>
      <c r="I27" s="76" t="str" cm="1">
        <f t="array" aca="1" ref="I27" ca="1">"to row "&amp;CELL("row",J9)</f>
        <v>to row 9</v>
      </c>
      <c r="J27" s="99"/>
      <c r="K27" s="100"/>
      <c r="L27" s="101"/>
    </row>
    <row r="28" spans="1:12" ht="14.25" x14ac:dyDescent="0.45">
      <c r="A28" t="s">
        <v>792</v>
      </c>
      <c r="B28">
        <f>ROW()</f>
        <v>28</v>
      </c>
      <c r="D28" s="30" t="s">
        <v>119</v>
      </c>
      <c r="F28" s="75">
        <f>SUM(F16,-F17,F18,F22,-F26)</f>
        <v>0</v>
      </c>
      <c r="G28" s="182">
        <f>'S4a.Asset Allocations'!G58</f>
        <v>0</v>
      </c>
      <c r="I28" s="76" t="s">
        <v>226</v>
      </c>
      <c r="K28" s="100"/>
      <c r="L28" s="101"/>
    </row>
    <row r="29" spans="1:12" ht="14.25" x14ac:dyDescent="0.45">
      <c r="I29" s="37"/>
      <c r="K29" s="100"/>
      <c r="L29" s="101"/>
    </row>
    <row r="30" spans="1:12" ht="14.25" x14ac:dyDescent="0.45">
      <c r="A30" s="64" t="s">
        <v>1266</v>
      </c>
      <c r="I30" s="38"/>
      <c r="K30" s="100"/>
      <c r="L30" s="101"/>
    </row>
    <row r="31" spans="1:12" ht="14.25" x14ac:dyDescent="0.45">
      <c r="A31" s="64"/>
      <c r="I31" s="38"/>
      <c r="L31" s="101"/>
    </row>
    <row r="32" spans="1:12" ht="14.25" x14ac:dyDescent="0.45"/>
    <row r="33" spans="1:9" ht="14.25" x14ac:dyDescent="0.45"/>
    <row r="34" spans="1:9" ht="21" x14ac:dyDescent="0.65">
      <c r="A34" s="129" t="s">
        <v>793</v>
      </c>
    </row>
    <row r="35" spans="1:9" ht="30" customHeight="1" x14ac:dyDescent="0.45">
      <c r="A35" s="119" t="s">
        <v>78</v>
      </c>
      <c r="B35" s="119" t="s">
        <v>79</v>
      </c>
      <c r="C35" s="119" t="s">
        <v>208</v>
      </c>
      <c r="D35" s="119" t="s">
        <v>1244</v>
      </c>
      <c r="E35" s="119" t="s">
        <v>1245</v>
      </c>
      <c r="F35" s="119" t="s">
        <v>227</v>
      </c>
      <c r="H35" s="76"/>
    </row>
    <row r="36" spans="1:9" ht="14.25" x14ac:dyDescent="0.45">
      <c r="A36" t="s">
        <v>793</v>
      </c>
      <c r="B36">
        <f>ROW()</f>
        <v>36</v>
      </c>
      <c r="D36" t="s">
        <v>229</v>
      </c>
      <c r="F36" s="156"/>
      <c r="H36" s="76" t="s">
        <v>230</v>
      </c>
    </row>
    <row r="37" spans="1:9" ht="14.25" x14ac:dyDescent="0.45">
      <c r="A37" t="s">
        <v>793</v>
      </c>
      <c r="B37">
        <f>ROW()</f>
        <v>37</v>
      </c>
      <c r="D37" t="s">
        <v>231</v>
      </c>
      <c r="F37" s="156"/>
      <c r="H37" s="76" t="s">
        <v>230</v>
      </c>
    </row>
    <row r="38" spans="1:9" ht="14.25" x14ac:dyDescent="0.45">
      <c r="H38" s="76"/>
    </row>
    <row r="39" spans="1:9" ht="14.25" x14ac:dyDescent="0.45"/>
    <row r="40" spans="1:9" ht="21" x14ac:dyDescent="0.65">
      <c r="A40" s="129" t="s">
        <v>793</v>
      </c>
    </row>
    <row r="41" spans="1:9" ht="30" customHeight="1" x14ac:dyDescent="0.45">
      <c r="A41" s="119" t="s">
        <v>78</v>
      </c>
      <c r="B41" s="119" t="s">
        <v>79</v>
      </c>
      <c r="C41" s="119" t="s">
        <v>208</v>
      </c>
      <c r="D41" s="119" t="s">
        <v>1244</v>
      </c>
      <c r="E41" s="119" t="s">
        <v>1245</v>
      </c>
      <c r="F41" s="119" t="s">
        <v>125</v>
      </c>
    </row>
    <row r="42" spans="1:9" ht="14.25" x14ac:dyDescent="0.45">
      <c r="A42" t="s">
        <v>793</v>
      </c>
      <c r="B42">
        <f>ROW()</f>
        <v>42</v>
      </c>
      <c r="D42" t="s">
        <v>232</v>
      </c>
      <c r="F42" s="159">
        <f>IF(F36&lt;&gt;0,F36/F37-1, 0)</f>
        <v>0</v>
      </c>
    </row>
    <row r="43" spans="1:9" ht="14.25" x14ac:dyDescent="0.45"/>
    <row r="44" spans="1:9" ht="14.25" x14ac:dyDescent="0.45"/>
    <row r="45" spans="1:9" ht="21" x14ac:dyDescent="0.65">
      <c r="A45" s="129" t="s">
        <v>793</v>
      </c>
      <c r="I45" s="76"/>
    </row>
    <row r="46" spans="1:9" ht="56.65" customHeight="1" x14ac:dyDescent="0.45">
      <c r="A46" s="119" t="s">
        <v>78</v>
      </c>
      <c r="B46" s="119" t="s">
        <v>79</v>
      </c>
      <c r="C46" s="119" t="s">
        <v>208</v>
      </c>
      <c r="D46" s="119" t="s">
        <v>1244</v>
      </c>
      <c r="E46" s="119" t="s">
        <v>1245</v>
      </c>
      <c r="F46" s="119" t="s">
        <v>1014</v>
      </c>
      <c r="G46" s="119" t="s">
        <v>1015</v>
      </c>
      <c r="I46" s="76"/>
    </row>
    <row r="47" spans="1:9" ht="14.25" x14ac:dyDescent="0.45">
      <c r="A47" t="s">
        <v>793</v>
      </c>
      <c r="B47">
        <f>ROW()</f>
        <v>47</v>
      </c>
      <c r="D47" t="s">
        <v>210</v>
      </c>
      <c r="F47" s="75">
        <f>F16</f>
        <v>0</v>
      </c>
      <c r="G47" s="75">
        <f>G16</f>
        <v>0</v>
      </c>
      <c r="I47" s="76" t="str" cm="1">
        <f t="array" aca="1" ref="I47" ca="1">"from row "&amp;CELL("row",G16)&amp;" (and row"&amp;CELL("row",J3)&amp;")"</f>
        <v>from row 16 (and row3)</v>
      </c>
    </row>
    <row r="48" spans="1:9" ht="14.25" x14ac:dyDescent="0.45">
      <c r="A48" t="s">
        <v>793</v>
      </c>
      <c r="B48">
        <f>ROW()</f>
        <v>48</v>
      </c>
      <c r="D48" t="s">
        <v>234</v>
      </c>
      <c r="F48" s="65"/>
      <c r="G48" s="65"/>
      <c r="I48" s="76"/>
    </row>
    <row r="49" spans="1:9" ht="14.25" x14ac:dyDescent="0.45">
      <c r="A49" t="s">
        <v>793</v>
      </c>
      <c r="B49">
        <f>ROW()</f>
        <v>49</v>
      </c>
      <c r="C49" t="s">
        <v>212</v>
      </c>
      <c r="D49" t="s">
        <v>1261</v>
      </c>
      <c r="F49" s="75">
        <f>F47-F48</f>
        <v>0</v>
      </c>
      <c r="G49" s="75">
        <f>G47-G48</f>
        <v>0</v>
      </c>
      <c r="I49" s="76"/>
    </row>
    <row r="50" spans="1:9" ht="14.25" x14ac:dyDescent="0.45">
      <c r="A50" t="s">
        <v>793</v>
      </c>
      <c r="B50">
        <f>ROW()</f>
        <v>50</v>
      </c>
      <c r="D50" s="30" t="s">
        <v>215</v>
      </c>
      <c r="F50" s="75">
        <f>IF(F49&lt;&gt;0,F49*$F$42,0)</f>
        <v>0</v>
      </c>
      <c r="G50" s="75">
        <f>IF(G49&lt;&gt;0,G49*$F$42,0)</f>
        <v>0</v>
      </c>
      <c r="I50" s="76" t="str" cm="1">
        <f t="array" aca="1" ref="I50" ca="1">"to row "&amp;CELL("row",G18)&amp;" &amp; S3"</f>
        <v>to row 18 &amp; S3</v>
      </c>
    </row>
    <row r="51" spans="1:9" ht="14.25" x14ac:dyDescent="0.45"/>
    <row r="52" spans="1:9" ht="14.25" x14ac:dyDescent="0.45">
      <c r="I52" s="43"/>
    </row>
    <row r="53" spans="1:9" ht="14.25" x14ac:dyDescent="0.45"/>
    <row r="54" spans="1:9" ht="21" x14ac:dyDescent="0.65">
      <c r="A54" s="129" t="s">
        <v>795</v>
      </c>
    </row>
    <row r="55" spans="1:9" ht="75.599999999999994" customHeight="1" x14ac:dyDescent="0.45">
      <c r="A55" s="119" t="s">
        <v>78</v>
      </c>
      <c r="B55" s="119" t="s">
        <v>79</v>
      </c>
      <c r="C55" s="119" t="s">
        <v>208</v>
      </c>
      <c r="D55" s="119" t="s">
        <v>1244</v>
      </c>
      <c r="E55" s="119" t="s">
        <v>1245</v>
      </c>
      <c r="F55" s="119" t="s">
        <v>1016</v>
      </c>
      <c r="G55" s="119" t="s">
        <v>1017</v>
      </c>
    </row>
    <row r="56" spans="1:9" ht="14.25" x14ac:dyDescent="0.45">
      <c r="A56" t="s">
        <v>795</v>
      </c>
      <c r="B56">
        <f>ROW()</f>
        <v>56</v>
      </c>
      <c r="D56" t="s">
        <v>236</v>
      </c>
      <c r="F56" s="65"/>
      <c r="G56" s="65"/>
    </row>
    <row r="57" spans="1:9" ht="14.25" x14ac:dyDescent="0.45">
      <c r="A57" t="s">
        <v>795</v>
      </c>
      <c r="B57">
        <f>ROW()</f>
        <v>57</v>
      </c>
      <c r="C57" t="s">
        <v>214</v>
      </c>
      <c r="D57" t="s">
        <v>237</v>
      </c>
      <c r="E57" t="s">
        <v>238</v>
      </c>
      <c r="F57" s="65"/>
      <c r="G57" s="75">
        <f>'S6.Actual Expenditure Capex'!G28</f>
        <v>0</v>
      </c>
      <c r="I57" s="38" t="s">
        <v>268</v>
      </c>
    </row>
    <row r="58" spans="1:9" ht="14.25" x14ac:dyDescent="0.45">
      <c r="A58" t="s">
        <v>795</v>
      </c>
      <c r="B58">
        <f>ROW()</f>
        <v>58</v>
      </c>
      <c r="C58" t="s">
        <v>212</v>
      </c>
      <c r="D58" t="s">
        <v>237</v>
      </c>
      <c r="E58" t="s">
        <v>109</v>
      </c>
      <c r="F58" s="75">
        <f>F22</f>
        <v>0</v>
      </c>
      <c r="G58" s="75">
        <f>G22</f>
        <v>0</v>
      </c>
      <c r="I58" s="76" t="str" cm="1">
        <f t="array" aca="1" ref="I58" ca="1">"from row "&amp;CELL("row",G22)</f>
        <v>from row 22</v>
      </c>
    </row>
    <row r="59" spans="1:9" ht="14.25" x14ac:dyDescent="0.45">
      <c r="A59" t="s">
        <v>795</v>
      </c>
      <c r="B59">
        <f>ROW()</f>
        <v>59</v>
      </c>
      <c r="C59" t="s">
        <v>214</v>
      </c>
      <c r="D59" t="s">
        <v>237</v>
      </c>
      <c r="E59" t="s">
        <v>120</v>
      </c>
      <c r="F59" s="177"/>
      <c r="G59" s="65"/>
    </row>
    <row r="60" spans="1:9" ht="14.25" x14ac:dyDescent="0.45">
      <c r="A60" t="s">
        <v>795</v>
      </c>
      <c r="B60">
        <f>ROW()</f>
        <v>60</v>
      </c>
      <c r="D60" s="30" t="s">
        <v>237</v>
      </c>
      <c r="F60" s="75">
        <f>SUM(F56,F57,-F58)</f>
        <v>0</v>
      </c>
      <c r="G60" s="75">
        <f>SUM(G56,G57,-G58,G59)</f>
        <v>0</v>
      </c>
    </row>
    <row r="61" spans="1:9" ht="14.25" x14ac:dyDescent="0.45"/>
    <row r="62" spans="1:9" ht="14.25" x14ac:dyDescent="0.45"/>
    <row r="63" spans="1:9" ht="21" x14ac:dyDescent="0.65">
      <c r="A63" s="129" t="s">
        <v>795</v>
      </c>
      <c r="F63" s="61"/>
      <c r="G63" s="61"/>
    </row>
    <row r="64" spans="1:9" ht="30" customHeight="1" x14ac:dyDescent="0.45">
      <c r="A64" s="119" t="s">
        <v>78</v>
      </c>
      <c r="B64" s="119" t="s">
        <v>79</v>
      </c>
      <c r="C64" s="119" t="s">
        <v>208</v>
      </c>
      <c r="D64" s="119" t="s">
        <v>1244</v>
      </c>
      <c r="E64" s="119" t="s">
        <v>1245</v>
      </c>
      <c r="F64" s="119" t="s">
        <v>125</v>
      </c>
    </row>
    <row r="65" spans="1:9" ht="14.25" x14ac:dyDescent="0.45">
      <c r="A65" t="s">
        <v>795</v>
      </c>
      <c r="B65">
        <f>ROW()</f>
        <v>65</v>
      </c>
      <c r="D65" t="s">
        <v>239</v>
      </c>
      <c r="F65" s="179"/>
      <c r="G65" s="61"/>
    </row>
    <row r="66" spans="1:9" ht="14.25" x14ac:dyDescent="0.45">
      <c r="G66" s="61"/>
    </row>
    <row r="67" spans="1:9" ht="14.25" x14ac:dyDescent="0.45">
      <c r="F67" s="61"/>
      <c r="G67" s="61"/>
    </row>
    <row r="68" spans="1:9" ht="21" x14ac:dyDescent="0.65">
      <c r="A68" s="129" t="s">
        <v>796</v>
      </c>
      <c r="G68" s="43"/>
    </row>
    <row r="69" spans="1:9" ht="56.65" customHeight="1" x14ac:dyDescent="0.45">
      <c r="A69" s="119" t="s">
        <v>78</v>
      </c>
      <c r="B69" s="119" t="s">
        <v>79</v>
      </c>
      <c r="C69" s="119" t="s">
        <v>208</v>
      </c>
      <c r="D69" s="119" t="s">
        <v>1244</v>
      </c>
      <c r="E69" s="119" t="s">
        <v>1245</v>
      </c>
      <c r="F69" s="119" t="s">
        <v>1014</v>
      </c>
      <c r="G69" s="119" t="s">
        <v>1015</v>
      </c>
    </row>
    <row r="70" spans="1:9" ht="14.25" x14ac:dyDescent="0.45">
      <c r="A70" t="s">
        <v>796</v>
      </c>
      <c r="B70">
        <f>ROW()</f>
        <v>70</v>
      </c>
      <c r="D70" t="s">
        <v>1267</v>
      </c>
      <c r="F70" s="65"/>
      <c r="G70" s="65"/>
    </row>
    <row r="71" spans="1:9" ht="14.25" x14ac:dyDescent="0.45">
      <c r="A71" t="s">
        <v>796</v>
      </c>
      <c r="B71">
        <f>ROW()</f>
        <v>71</v>
      </c>
      <c r="D71" t="s">
        <v>241</v>
      </c>
      <c r="F71" s="65"/>
      <c r="G71" s="65"/>
    </row>
    <row r="72" spans="1:9" ht="14.25" x14ac:dyDescent="0.45">
      <c r="A72" t="s">
        <v>796</v>
      </c>
      <c r="B72">
        <f>ROW()</f>
        <v>72</v>
      </c>
      <c r="D72" s="30" t="s">
        <v>242</v>
      </c>
      <c r="F72" s="75">
        <f>SUM(F70:F71)</f>
        <v>0</v>
      </c>
      <c r="G72" s="75">
        <f>SUM(G70:G71)</f>
        <v>0</v>
      </c>
    </row>
    <row r="73" spans="1:9" ht="14.25" x14ac:dyDescent="0.45"/>
    <row r="74" spans="1:9" ht="14.25" x14ac:dyDescent="0.45"/>
    <row r="75" spans="1:9" ht="21" x14ac:dyDescent="0.65">
      <c r="A75" s="129" t="s">
        <v>794</v>
      </c>
    </row>
    <row r="76" spans="1:9" ht="113.45" customHeight="1" x14ac:dyDescent="0.45">
      <c r="A76" s="119" t="s">
        <v>78</v>
      </c>
      <c r="B76" s="119" t="s">
        <v>79</v>
      </c>
      <c r="C76" s="119" t="s">
        <v>208</v>
      </c>
      <c r="D76" s="119" t="s">
        <v>1244</v>
      </c>
      <c r="E76" s="119" t="s">
        <v>1245</v>
      </c>
      <c r="F76" s="119" t="s">
        <v>1018</v>
      </c>
      <c r="G76" s="119" t="s">
        <v>1019</v>
      </c>
      <c r="H76" s="119" t="s">
        <v>1020</v>
      </c>
      <c r="I76" s="119" t="s">
        <v>1021</v>
      </c>
    </row>
    <row r="77" spans="1:9" ht="14.25" x14ac:dyDescent="0.45">
      <c r="A77" t="s">
        <v>794</v>
      </c>
      <c r="B77">
        <f>ROW()</f>
        <v>77</v>
      </c>
      <c r="C77" t="s">
        <v>243</v>
      </c>
      <c r="D77" s="170"/>
      <c r="E77" s="61"/>
      <c r="F77" s="170"/>
      <c r="G77" s="65"/>
      <c r="H77" s="170"/>
      <c r="I77" s="170"/>
    </row>
    <row r="78" spans="1:9" ht="14.25" x14ac:dyDescent="0.45">
      <c r="A78" t="s">
        <v>794</v>
      </c>
      <c r="B78">
        <f>ROW()</f>
        <v>78</v>
      </c>
      <c r="C78" t="s">
        <v>243</v>
      </c>
      <c r="D78" s="170"/>
      <c r="E78" s="61"/>
      <c r="F78" s="170"/>
      <c r="G78" s="65"/>
      <c r="H78" s="170"/>
      <c r="I78" s="170"/>
    </row>
    <row r="79" spans="1:9" ht="14.25" x14ac:dyDescent="0.45">
      <c r="A79" t="s">
        <v>794</v>
      </c>
      <c r="B79">
        <f>ROW()</f>
        <v>79</v>
      </c>
      <c r="C79" t="s">
        <v>243</v>
      </c>
      <c r="D79" s="170"/>
      <c r="E79" s="61"/>
      <c r="F79" s="170"/>
      <c r="G79" s="65"/>
      <c r="H79" s="170"/>
      <c r="I79" s="170"/>
    </row>
    <row r="80" spans="1:9" ht="14.25" x14ac:dyDescent="0.45">
      <c r="A80" t="s">
        <v>794</v>
      </c>
      <c r="B80">
        <f>ROW()</f>
        <v>80</v>
      </c>
      <c r="C80" t="s">
        <v>243</v>
      </c>
      <c r="D80" s="170"/>
      <c r="F80" s="170"/>
      <c r="G80" s="170"/>
      <c r="H80" s="170"/>
      <c r="I80" s="170"/>
    </row>
    <row r="81" spans="1:19" ht="14.25" x14ac:dyDescent="0.45">
      <c r="A81" t="s">
        <v>794</v>
      </c>
      <c r="B81">
        <f>ROW()</f>
        <v>81</v>
      </c>
      <c r="C81" t="s">
        <v>243</v>
      </c>
      <c r="D81" s="170"/>
      <c r="F81" s="170"/>
      <c r="G81" s="170"/>
      <c r="H81" s="170"/>
      <c r="I81" s="170"/>
    </row>
    <row r="82" spans="1:19" ht="14.25" x14ac:dyDescent="0.45">
      <c r="A82" t="s">
        <v>794</v>
      </c>
      <c r="B82">
        <f>ROW()</f>
        <v>82</v>
      </c>
      <c r="C82" t="s">
        <v>243</v>
      </c>
      <c r="D82" s="170"/>
      <c r="F82" s="170"/>
      <c r="G82" s="170"/>
      <c r="H82" s="170"/>
      <c r="I82" s="170"/>
    </row>
    <row r="83" spans="1:19" ht="14.25" x14ac:dyDescent="0.45">
      <c r="A83" t="s">
        <v>794</v>
      </c>
      <c r="B83">
        <f>ROW()</f>
        <v>83</v>
      </c>
      <c r="C83" t="s">
        <v>243</v>
      </c>
      <c r="D83" s="170"/>
      <c r="F83" s="170"/>
      <c r="G83" s="170"/>
      <c r="H83" s="170"/>
      <c r="I83" s="170"/>
    </row>
    <row r="84" spans="1:19" ht="14.25" x14ac:dyDescent="0.45">
      <c r="A84" t="s">
        <v>794</v>
      </c>
      <c r="B84">
        <f>ROW()</f>
        <v>84</v>
      </c>
      <c r="C84" t="s">
        <v>243</v>
      </c>
      <c r="D84" s="170"/>
      <c r="F84" s="170"/>
      <c r="G84" s="170"/>
      <c r="H84" s="170"/>
      <c r="I84" s="170"/>
    </row>
    <row r="85" spans="1:19" ht="14.25" x14ac:dyDescent="0.45"/>
    <row r="86" spans="1:19" ht="14.25" x14ac:dyDescent="0.45">
      <c r="A86" s="64" t="s">
        <v>244</v>
      </c>
    </row>
    <row r="87" spans="1:19" ht="14.25" x14ac:dyDescent="0.45">
      <c r="A87" s="64"/>
    </row>
    <row r="88" spans="1:19" ht="21.4" thickBot="1" x14ac:dyDescent="0.7">
      <c r="A88" s="129" t="s">
        <v>797</v>
      </c>
    </row>
    <row r="89" spans="1:19" ht="76.5" customHeight="1" thickBot="1" x14ac:dyDescent="0.5">
      <c r="A89" s="119" t="s">
        <v>78</v>
      </c>
      <c r="B89" s="119" t="s">
        <v>79</v>
      </c>
      <c r="C89" s="119" t="s">
        <v>1244</v>
      </c>
      <c r="D89" s="119" t="s">
        <v>1245</v>
      </c>
      <c r="E89" s="119" t="s">
        <v>92</v>
      </c>
      <c r="F89" s="119" t="s">
        <v>245</v>
      </c>
      <c r="G89" s="119" t="s">
        <v>246</v>
      </c>
      <c r="H89" s="119" t="s">
        <v>247</v>
      </c>
      <c r="I89" s="119" t="s">
        <v>248</v>
      </c>
      <c r="J89" s="119" t="s">
        <v>249</v>
      </c>
      <c r="K89" s="119" t="s">
        <v>250</v>
      </c>
      <c r="L89" s="119" t="s">
        <v>325</v>
      </c>
      <c r="M89" s="119" t="s">
        <v>251</v>
      </c>
      <c r="N89" s="119" t="s">
        <v>252</v>
      </c>
      <c r="R89" s="67" t="s">
        <v>253</v>
      </c>
      <c r="S89" s="68" t="s">
        <v>254</v>
      </c>
    </row>
    <row r="90" spans="1:19" ht="14.25" x14ac:dyDescent="0.45">
      <c r="A90" t="s">
        <v>797</v>
      </c>
      <c r="B90">
        <f>ROW()</f>
        <v>90</v>
      </c>
      <c r="C90" t="s">
        <v>256</v>
      </c>
      <c r="D90" t="s">
        <v>181</v>
      </c>
      <c r="E90" s="65"/>
      <c r="F90" s="65"/>
      <c r="G90" s="65"/>
      <c r="H90" s="65"/>
      <c r="I90" s="65"/>
      <c r="J90" s="65"/>
      <c r="K90" s="65"/>
      <c r="L90"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90" s="65"/>
      <c r="N90" s="65"/>
      <c r="R90" s="69">
        <f>G16</f>
        <v>0</v>
      </c>
      <c r="S90" s="70" t="b">
        <f>ROUND(R90,0)=ROUND(E112,0)</f>
        <v>1</v>
      </c>
    </row>
    <row r="91" spans="1:19" ht="14.25" x14ac:dyDescent="0.45">
      <c r="A91" t="s">
        <v>797</v>
      </c>
      <c r="B91">
        <f>ROW()</f>
        <v>91</v>
      </c>
      <c r="C91" t="s">
        <v>256</v>
      </c>
      <c r="D91" t="s">
        <v>185</v>
      </c>
      <c r="E91" s="65"/>
      <c r="F91" s="65"/>
      <c r="G91" s="65"/>
      <c r="H91" s="65"/>
      <c r="I91" s="65"/>
      <c r="J91" s="65"/>
      <c r="K91" s="65"/>
      <c r="L91"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91" s="65"/>
      <c r="N91" s="65"/>
      <c r="R91" s="69">
        <f>G17</f>
        <v>0</v>
      </c>
      <c r="S91" s="71" t="b">
        <f>ROUND(R91,0)=ROUND(F112,0)</f>
        <v>1</v>
      </c>
    </row>
    <row r="92" spans="1:19" ht="14.25" x14ac:dyDescent="0.45">
      <c r="A92" t="s">
        <v>797</v>
      </c>
      <c r="B92">
        <f>ROW()</f>
        <v>92</v>
      </c>
      <c r="C92" t="s">
        <v>256</v>
      </c>
      <c r="D92" t="s">
        <v>186</v>
      </c>
      <c r="E92" s="65"/>
      <c r="F92" s="65"/>
      <c r="G92" s="65"/>
      <c r="H92" s="65"/>
      <c r="I92" s="65"/>
      <c r="J92" s="65"/>
      <c r="K92" s="65"/>
      <c r="L92"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92" s="65"/>
      <c r="N92" s="65"/>
      <c r="R92" s="69">
        <f>G18</f>
        <v>0</v>
      </c>
      <c r="S92" s="71" t="b">
        <f>ROUND(R92,0)=ROUND(G112,0)</f>
        <v>1</v>
      </c>
    </row>
    <row r="93" spans="1:19" ht="14.25" x14ac:dyDescent="0.45">
      <c r="A93" t="s">
        <v>797</v>
      </c>
      <c r="B93">
        <f>ROW()</f>
        <v>93</v>
      </c>
      <c r="C93" t="s">
        <v>256</v>
      </c>
      <c r="D93" t="s">
        <v>187</v>
      </c>
      <c r="E93" s="65"/>
      <c r="F93" s="65"/>
      <c r="G93" s="65"/>
      <c r="H93" s="65"/>
      <c r="I93" s="65"/>
      <c r="J93" s="65"/>
      <c r="K93" s="65"/>
      <c r="L93"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93" s="65"/>
      <c r="N93" s="65"/>
      <c r="R93" s="69">
        <f>G22</f>
        <v>0</v>
      </c>
      <c r="S93" s="71" t="b">
        <f>ROUND(R93,0)=ROUND(H112,0)</f>
        <v>1</v>
      </c>
    </row>
    <row r="94" spans="1:19" ht="14.25" x14ac:dyDescent="0.45">
      <c r="A94" t="s">
        <v>797</v>
      </c>
      <c r="B94">
        <f>ROW()</f>
        <v>94</v>
      </c>
      <c r="C94" t="s">
        <v>256</v>
      </c>
      <c r="D94" t="s">
        <v>257</v>
      </c>
      <c r="E94" s="65"/>
      <c r="F94" s="65"/>
      <c r="G94" s="65"/>
      <c r="H94" s="65"/>
      <c r="I94" s="65"/>
      <c r="J94" s="65"/>
      <c r="K94" s="65"/>
      <c r="L94"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94" s="65"/>
      <c r="N94" s="65"/>
      <c r="R94" s="69">
        <f>G26</f>
        <v>0</v>
      </c>
      <c r="S94" s="71" t="b">
        <f>ROUND(R94,0)=ROUND(I112,0)</f>
        <v>1</v>
      </c>
    </row>
    <row r="95" spans="1:19" ht="14.25" x14ac:dyDescent="0.45">
      <c r="A95" t="s">
        <v>797</v>
      </c>
      <c r="B95">
        <f>ROW()</f>
        <v>95</v>
      </c>
      <c r="C95" t="s">
        <v>256</v>
      </c>
      <c r="D95" t="s">
        <v>189</v>
      </c>
      <c r="E95" s="65"/>
      <c r="F95" s="65"/>
      <c r="G95" s="65"/>
      <c r="H95" s="65"/>
      <c r="I95" s="65"/>
      <c r="J95" s="65"/>
      <c r="K95" s="65"/>
      <c r="L95"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95" s="65"/>
      <c r="N95" s="65"/>
      <c r="R95" s="69">
        <f>G27</f>
        <v>0</v>
      </c>
      <c r="S95" s="71" t="b">
        <f>ROUND(R95,0)=ROUND((J112+K112),0)</f>
        <v>1</v>
      </c>
    </row>
    <row r="96" spans="1:19" ht="14.25" x14ac:dyDescent="0.45">
      <c r="A96" t="s">
        <v>797</v>
      </c>
      <c r="B96">
        <f>ROW()</f>
        <v>96</v>
      </c>
      <c r="C96" t="s">
        <v>256</v>
      </c>
      <c r="D96" t="s">
        <v>190</v>
      </c>
      <c r="E96" s="65"/>
      <c r="F96" s="65"/>
      <c r="G96" s="65"/>
      <c r="H96" s="65"/>
      <c r="I96" s="65"/>
      <c r="J96" s="65"/>
      <c r="K96" s="65"/>
      <c r="L96"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96" s="65"/>
      <c r="N96" s="65"/>
      <c r="R96" s="69"/>
      <c r="S96" s="71"/>
    </row>
    <row r="97" spans="1:19" ht="14.65" thickBot="1" x14ac:dyDescent="0.5">
      <c r="A97" t="s">
        <v>797</v>
      </c>
      <c r="B97">
        <f>ROW()</f>
        <v>97</v>
      </c>
      <c r="C97" t="s">
        <v>256</v>
      </c>
      <c r="D97" t="s">
        <v>191</v>
      </c>
      <c r="E97" s="65"/>
      <c r="F97" s="65"/>
      <c r="G97" s="65"/>
      <c r="H97" s="65"/>
      <c r="I97" s="65"/>
      <c r="J97" s="65"/>
      <c r="K97" s="65"/>
      <c r="L97"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97" s="65"/>
      <c r="N97" s="65"/>
      <c r="R97" s="72">
        <f>G28</f>
        <v>0</v>
      </c>
      <c r="S97" s="73" t="b">
        <f>ROUND(R97,0)=ROUND(L112,0)</f>
        <v>1</v>
      </c>
    </row>
    <row r="98" spans="1:19" ht="14.25" x14ac:dyDescent="0.45">
      <c r="A98" t="s">
        <v>797</v>
      </c>
      <c r="B98">
        <f>ROW()</f>
        <v>98</v>
      </c>
      <c r="C98" t="s">
        <v>256</v>
      </c>
      <c r="D98" s="30" t="s">
        <v>258</v>
      </c>
      <c r="E98" s="158">
        <f t="shared" ref="E98:K98" si="0">SUM(E90:E97)</f>
        <v>0</v>
      </c>
      <c r="F98" s="158">
        <f t="shared" si="0"/>
        <v>0</v>
      </c>
      <c r="G98" s="158">
        <f t="shared" si="0"/>
        <v>0</v>
      </c>
      <c r="H98" s="158">
        <f t="shared" si="0"/>
        <v>0</v>
      </c>
      <c r="I98" s="158">
        <f t="shared" si="0"/>
        <v>0</v>
      </c>
      <c r="J98" s="158">
        <f t="shared" si="0"/>
        <v>0</v>
      </c>
      <c r="K98" s="158">
        <f t="shared" si="0"/>
        <v>0</v>
      </c>
      <c r="L98" s="158">
        <f>SUM(L90:L97)</f>
        <v>0</v>
      </c>
      <c r="M98" s="83"/>
      <c r="N98" s="83"/>
      <c r="P98" s="77" t="str">
        <f>IF(E98-F98+G98+H98-I98+J98+K98=L98,"OK","ERROR")</f>
        <v>OK</v>
      </c>
    </row>
    <row r="99" spans="1:19" ht="14.25" x14ac:dyDescent="0.45">
      <c r="A99" t="s">
        <v>797</v>
      </c>
      <c r="B99">
        <f>ROW()</f>
        <v>99</v>
      </c>
      <c r="C99" t="s">
        <v>259</v>
      </c>
      <c r="D99" t="s">
        <v>257</v>
      </c>
      <c r="E99" s="65"/>
      <c r="F99" s="65"/>
      <c r="G99" s="65"/>
      <c r="H99" s="65"/>
      <c r="I99" s="65"/>
      <c r="J99" s="65"/>
      <c r="K99" s="65"/>
      <c r="L99"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99" s="65"/>
      <c r="N99" s="65"/>
    </row>
    <row r="100" spans="1:19" ht="14.25" x14ac:dyDescent="0.45">
      <c r="A100" t="s">
        <v>797</v>
      </c>
      <c r="B100">
        <f>ROW()</f>
        <v>100</v>
      </c>
      <c r="C100" t="s">
        <v>259</v>
      </c>
      <c r="D100" t="s">
        <v>189</v>
      </c>
      <c r="E100" s="65"/>
      <c r="F100" s="65"/>
      <c r="G100" s="65"/>
      <c r="H100" s="65"/>
      <c r="I100" s="65"/>
      <c r="J100" s="65"/>
      <c r="K100" s="65"/>
      <c r="L100"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100" s="65"/>
      <c r="N100" s="65"/>
    </row>
    <row r="101" spans="1:19" ht="14.25" x14ac:dyDescent="0.45">
      <c r="A101" t="s">
        <v>797</v>
      </c>
      <c r="B101">
        <f>ROW()</f>
        <v>101</v>
      </c>
      <c r="C101" t="s">
        <v>259</v>
      </c>
      <c r="D101" t="s">
        <v>190</v>
      </c>
      <c r="E101" s="65"/>
      <c r="F101" s="65"/>
      <c r="G101" s="65"/>
      <c r="H101" s="65"/>
      <c r="I101" s="65"/>
      <c r="J101" s="65"/>
      <c r="K101" s="65"/>
      <c r="L101"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101" s="65"/>
      <c r="N101" s="65"/>
    </row>
    <row r="102" spans="1:19" ht="14.25" x14ac:dyDescent="0.45">
      <c r="A102" t="s">
        <v>797</v>
      </c>
      <c r="B102">
        <f>ROW()</f>
        <v>102</v>
      </c>
      <c r="C102" t="s">
        <v>259</v>
      </c>
      <c r="D102" t="s">
        <v>193</v>
      </c>
      <c r="E102" s="65"/>
      <c r="F102" s="65"/>
      <c r="G102" s="65"/>
      <c r="H102" s="65"/>
      <c r="I102" s="65"/>
      <c r="J102" s="65"/>
      <c r="K102" s="65"/>
      <c r="L102"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102" s="65"/>
      <c r="N102" s="65"/>
    </row>
    <row r="103" spans="1:19" ht="14.25" x14ac:dyDescent="0.45">
      <c r="A103" t="s">
        <v>797</v>
      </c>
      <c r="B103">
        <f>ROW()</f>
        <v>103</v>
      </c>
      <c r="C103" t="s">
        <v>259</v>
      </c>
      <c r="D103" s="30" t="s">
        <v>260</v>
      </c>
      <c r="E103" s="158">
        <f t="shared" ref="E103:K103" si="1">SUM(E99:E102)</f>
        <v>0</v>
      </c>
      <c r="F103" s="158">
        <f t="shared" si="1"/>
        <v>0</v>
      </c>
      <c r="G103" s="158">
        <f t="shared" si="1"/>
        <v>0</v>
      </c>
      <c r="H103" s="158">
        <f t="shared" si="1"/>
        <v>0</v>
      </c>
      <c r="I103" s="158">
        <f t="shared" si="1"/>
        <v>0</v>
      </c>
      <c r="J103" s="158">
        <f t="shared" si="1"/>
        <v>0</v>
      </c>
      <c r="K103" s="158">
        <f t="shared" si="1"/>
        <v>0</v>
      </c>
      <c r="L103" s="158">
        <f>SUM(L99:L102)</f>
        <v>0</v>
      </c>
      <c r="M103" s="83"/>
      <c r="N103" s="83"/>
      <c r="P103" s="77" t="str">
        <f>IF(E103-F103+G103+H103-I103+J103+K103=L103,"OK","ERROR")</f>
        <v>OK</v>
      </c>
    </row>
    <row r="104" spans="1:19" ht="14.25" x14ac:dyDescent="0.45">
      <c r="A104" t="s">
        <v>797</v>
      </c>
      <c r="B104">
        <f>ROW()</f>
        <v>104</v>
      </c>
      <c r="C104" t="s">
        <v>261</v>
      </c>
      <c r="D104" t="s">
        <v>195</v>
      </c>
      <c r="E104" s="65"/>
      <c r="F104" s="65"/>
      <c r="G104" s="65"/>
      <c r="H104" s="65"/>
      <c r="I104" s="65"/>
      <c r="J104" s="65"/>
      <c r="K104" s="65"/>
      <c r="L104"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104" s="65"/>
      <c r="N104" s="65"/>
    </row>
    <row r="105" spans="1:19" ht="14.25" x14ac:dyDescent="0.45">
      <c r="A105" t="s">
        <v>797</v>
      </c>
      <c r="B105">
        <f>ROW()</f>
        <v>105</v>
      </c>
      <c r="C105" t="s">
        <v>261</v>
      </c>
      <c r="D105" t="s">
        <v>196</v>
      </c>
      <c r="E105" s="65"/>
      <c r="F105" s="65"/>
      <c r="G105" s="65"/>
      <c r="H105" s="65"/>
      <c r="I105" s="65"/>
      <c r="J105" s="65"/>
      <c r="K105" s="65"/>
      <c r="L105"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105" s="65"/>
      <c r="N105" s="65"/>
    </row>
    <row r="106" spans="1:19" ht="14.25" x14ac:dyDescent="0.45">
      <c r="A106" t="s">
        <v>797</v>
      </c>
      <c r="B106">
        <f>ROW()</f>
        <v>106</v>
      </c>
      <c r="C106" t="s">
        <v>261</v>
      </c>
      <c r="D106" s="30" t="s">
        <v>262</v>
      </c>
      <c r="E106" s="158">
        <f t="shared" ref="E106:K106" si="2">SUM(E98,E103,E104:E105)</f>
        <v>0</v>
      </c>
      <c r="F106" s="158">
        <f t="shared" si="2"/>
        <v>0</v>
      </c>
      <c r="G106" s="158">
        <f t="shared" si="2"/>
        <v>0</v>
      </c>
      <c r="H106" s="158">
        <f t="shared" si="2"/>
        <v>0</v>
      </c>
      <c r="I106" s="158">
        <f t="shared" si="2"/>
        <v>0</v>
      </c>
      <c r="J106" s="158">
        <f t="shared" si="2"/>
        <v>0</v>
      </c>
      <c r="K106" s="158">
        <f t="shared" si="2"/>
        <v>0</v>
      </c>
      <c r="L106" s="158">
        <f>SUM(L104,L105,L98,L103)</f>
        <v>0</v>
      </c>
      <c r="M106" s="83"/>
      <c r="N106" s="83"/>
      <c r="P106" s="77" t="str">
        <f>IF(E106-F106+G106+H106-I106+J106+K106=L106,"OK","ERROR")</f>
        <v>OK</v>
      </c>
    </row>
    <row r="107" spans="1:19" ht="14.25" x14ac:dyDescent="0.45">
      <c r="A107" t="s">
        <v>797</v>
      </c>
      <c r="B107">
        <f>ROW()</f>
        <v>107</v>
      </c>
      <c r="C107" t="s">
        <v>263</v>
      </c>
      <c r="D107" t="s">
        <v>198</v>
      </c>
      <c r="E107" s="65"/>
      <c r="F107" s="65"/>
      <c r="G107" s="65"/>
      <c r="H107" s="65"/>
      <c r="I107" s="65"/>
      <c r="J107" s="65"/>
      <c r="K107" s="65"/>
      <c r="L107"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107" s="65"/>
      <c r="N107" s="65"/>
    </row>
    <row r="108" spans="1:19" ht="14.25" x14ac:dyDescent="0.45">
      <c r="A108" t="s">
        <v>797</v>
      </c>
      <c r="B108">
        <f>ROW()</f>
        <v>108</v>
      </c>
      <c r="C108" t="s">
        <v>263</v>
      </c>
      <c r="D108" t="s">
        <v>199</v>
      </c>
      <c r="E108" s="65"/>
      <c r="F108" s="65"/>
      <c r="G108" s="65"/>
      <c r="H108" s="65"/>
      <c r="I108" s="65"/>
      <c r="J108" s="65"/>
      <c r="K108" s="65"/>
      <c r="L108"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108" s="65"/>
      <c r="N108" s="65"/>
    </row>
    <row r="109" spans="1:19" ht="14.25" x14ac:dyDescent="0.45">
      <c r="A109" t="s">
        <v>797</v>
      </c>
      <c r="B109">
        <f>ROW()</f>
        <v>109</v>
      </c>
      <c r="C109" t="s">
        <v>263</v>
      </c>
      <c r="D109" t="s">
        <v>200</v>
      </c>
      <c r="E109" s="65"/>
      <c r="F109" s="65"/>
      <c r="G109" s="65"/>
      <c r="H109" s="65"/>
      <c r="I109" s="65"/>
      <c r="J109" s="65"/>
      <c r="K109" s="65"/>
      <c r="L109" s="7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M109" s="65"/>
      <c r="N109" s="65"/>
    </row>
    <row r="110" spans="1:19" ht="14.25" x14ac:dyDescent="0.45">
      <c r="A110" t="s">
        <v>797</v>
      </c>
      <c r="B110">
        <f>ROW()</f>
        <v>110</v>
      </c>
      <c r="C110" t="s">
        <v>263</v>
      </c>
      <c r="D110" s="30" t="s">
        <v>264</v>
      </c>
      <c r="E110" s="158">
        <f t="shared" ref="E110:K110" si="3">SUM(E107:E109)</f>
        <v>0</v>
      </c>
      <c r="F110" s="158">
        <f t="shared" si="3"/>
        <v>0</v>
      </c>
      <c r="G110" s="158">
        <f t="shared" si="3"/>
        <v>0</v>
      </c>
      <c r="H110" s="158">
        <f t="shared" si="3"/>
        <v>0</v>
      </c>
      <c r="I110" s="158">
        <f t="shared" si="3"/>
        <v>0</v>
      </c>
      <c r="J110" s="158">
        <f t="shared" si="3"/>
        <v>0</v>
      </c>
      <c r="K110" s="158">
        <f t="shared" si="3"/>
        <v>0</v>
      </c>
      <c r="L110" s="158">
        <f>SUM(L107:L109)</f>
        <v>0</v>
      </c>
      <c r="M110" s="83"/>
      <c r="N110" s="83"/>
      <c r="P110" s="77" t="str">
        <f>IF(E110-F110+G110+H110-I110+J110+K110=L110,"OK","ERROR")</f>
        <v>OK</v>
      </c>
    </row>
    <row r="111" spans="1:19" ht="14.25" x14ac:dyDescent="0.45">
      <c r="A111" t="s">
        <v>797</v>
      </c>
      <c r="B111">
        <f>ROW()</f>
        <v>111</v>
      </c>
      <c r="C111" t="s">
        <v>263</v>
      </c>
      <c r="D111" s="30" t="s">
        <v>265</v>
      </c>
      <c r="E111" s="158">
        <f t="shared" ref="E111:K111" si="4">SUM(E106,E110)</f>
        <v>0</v>
      </c>
      <c r="F111" s="158">
        <f t="shared" si="4"/>
        <v>0</v>
      </c>
      <c r="G111" s="158">
        <f t="shared" si="4"/>
        <v>0</v>
      </c>
      <c r="H111" s="158">
        <f t="shared" si="4"/>
        <v>0</v>
      </c>
      <c r="I111" s="158">
        <f t="shared" si="4"/>
        <v>0</v>
      </c>
      <c r="J111" s="158">
        <f t="shared" si="4"/>
        <v>0</v>
      </c>
      <c r="K111" s="158">
        <f t="shared" si="4"/>
        <v>0</v>
      </c>
      <c r="L111" s="158">
        <f>SUM(L110,L106)</f>
        <v>0</v>
      </c>
      <c r="M111" s="83"/>
      <c r="N111" s="83"/>
      <c r="P111" s="77" t="str">
        <f>IF(E111-F111+G111+H111-I111+J111+K111=L111,"OK","ERROR")</f>
        <v>OK</v>
      </c>
    </row>
    <row r="112" spans="1:19" ht="14.25" x14ac:dyDescent="0.45">
      <c r="A112" t="s">
        <v>797</v>
      </c>
      <c r="B112">
        <f>ROW()</f>
        <v>112</v>
      </c>
      <c r="C112" s="30" t="s">
        <v>266</v>
      </c>
      <c r="E112" s="158">
        <f>SUM(E111)</f>
        <v>0</v>
      </c>
      <c r="F112" s="158">
        <f t="shared" ref="F112:K112" si="5">SUM(F111)</f>
        <v>0</v>
      </c>
      <c r="G112" s="158">
        <f t="shared" si="5"/>
        <v>0</v>
      </c>
      <c r="H112" s="158">
        <f t="shared" si="5"/>
        <v>0</v>
      </c>
      <c r="I112" s="158">
        <f t="shared" si="5"/>
        <v>0</v>
      </c>
      <c r="J112" s="158">
        <f t="shared" si="5"/>
        <v>0</v>
      </c>
      <c r="K112" s="158">
        <f t="shared" si="5"/>
        <v>0</v>
      </c>
      <c r="L112" s="158">
        <f>L111</f>
        <v>0</v>
      </c>
      <c r="M112" s="83"/>
      <c r="N112" s="83"/>
      <c r="P112" s="77" t="str">
        <f>IF(E112-F112+G112+H112-I112+J112+K112=L112,"OK","ERROR")</f>
        <v>OK</v>
      </c>
    </row>
  </sheetData>
  <pageMargins left="0.70866141732283472" right="0.70866141732283472" top="0.74803149606299213" bottom="0.74803149606299213" header="0.31496062992125984" footer="0.31496062992125984"/>
  <pageSetup paperSize="9" scale="40" fitToHeight="0" orientation="landscape" r:id="rId1"/>
  <tableParts count="10">
    <tablePart r:id="rId2"/>
    <tablePart r:id="rId3"/>
    <tablePart r:id="rId4"/>
    <tablePart r:id="rId5"/>
    <tablePart r:id="rId6"/>
    <tablePart r:id="rId7"/>
    <tablePart r:id="rId8"/>
    <tablePart r:id="rId9"/>
    <tablePart r:id="rId10"/>
    <tablePart r:id="rId1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3D479-C412-4515-9E5D-AE407210120C}">
  <sheetPr codeName="Sheet15">
    <pageSetUpPr fitToPage="1"/>
  </sheetPr>
  <dimension ref="A1:I21"/>
  <sheetViews>
    <sheetView zoomScale="85" zoomScaleNormal="85" workbookViewId="0"/>
  </sheetViews>
  <sheetFormatPr defaultRowHeight="14.45" customHeight="1" x14ac:dyDescent="0.45"/>
  <cols>
    <col min="1" max="1" width="38.1328125" customWidth="1"/>
    <col min="2" max="2" width="9" bestFit="1" customWidth="1"/>
    <col min="3" max="3" width="46.59765625" bestFit="1" customWidth="1"/>
    <col min="4" max="4" width="22.73046875" bestFit="1" customWidth="1"/>
    <col min="5" max="7" width="20.59765625" customWidth="1"/>
  </cols>
  <sheetData>
    <row r="1" spans="1:9" ht="23.25" x14ac:dyDescent="0.45">
      <c r="A1" s="146" t="s">
        <v>1160</v>
      </c>
    </row>
    <row r="2" spans="1:9" ht="21" x14ac:dyDescent="0.65">
      <c r="A2" s="129" t="s">
        <v>798</v>
      </c>
    </row>
    <row r="3" spans="1:9" ht="37.9" customHeight="1" x14ac:dyDescent="0.45">
      <c r="A3" s="119" t="s">
        <v>78</v>
      </c>
      <c r="B3" s="119" t="s">
        <v>79</v>
      </c>
      <c r="C3" s="119" t="s">
        <v>1244</v>
      </c>
      <c r="D3" s="119" t="s">
        <v>1245</v>
      </c>
      <c r="E3" s="119" t="s">
        <v>963</v>
      </c>
      <c r="F3" s="119" t="s">
        <v>964</v>
      </c>
      <c r="G3" s="119" t="s">
        <v>965</v>
      </c>
    </row>
    <row r="4" spans="1:9" ht="14.25" x14ac:dyDescent="0.45">
      <c r="A4" t="s">
        <v>798</v>
      </c>
      <c r="B4">
        <f>ROW()</f>
        <v>4</v>
      </c>
      <c r="C4" t="s">
        <v>286</v>
      </c>
      <c r="D4" t="s">
        <v>272</v>
      </c>
      <c r="E4" s="65"/>
      <c r="F4" s="65"/>
      <c r="G4" s="171">
        <f>SUM(tb_5_5i_5.01_1[[#This Row],[PQ FFLAS|
($000)]:[ID-only FFLAS|
($000)]])</f>
        <v>0</v>
      </c>
    </row>
    <row r="5" spans="1:9" ht="14.25" x14ac:dyDescent="0.45">
      <c r="A5" t="s">
        <v>798</v>
      </c>
      <c r="B5">
        <f>ROW()</f>
        <v>5</v>
      </c>
      <c r="C5" t="s">
        <v>286</v>
      </c>
      <c r="D5" t="s">
        <v>273</v>
      </c>
      <c r="E5" s="65"/>
      <c r="F5" s="65"/>
      <c r="G5" s="171">
        <f>SUM(tb_5_5i_5.01_1[[#This Row],[PQ FFLAS|
($000)]:[ID-only FFLAS|
($000)]])</f>
        <v>0</v>
      </c>
    </row>
    <row r="6" spans="1:9" ht="14.25" x14ac:dyDescent="0.45">
      <c r="A6" t="s">
        <v>798</v>
      </c>
      <c r="B6">
        <f>ROW()</f>
        <v>6</v>
      </c>
      <c r="C6" t="s">
        <v>287</v>
      </c>
      <c r="E6" s="171">
        <f>SUM(E4:E5)</f>
        <v>0</v>
      </c>
      <c r="F6" s="171">
        <f>SUM(F4:F5)</f>
        <v>0</v>
      </c>
      <c r="G6" s="171">
        <f>SUM(tb_5_5i_5.01_1[[#This Row],[PQ FFLAS|
($000)]:[ID-only FFLAS|
($000)]])</f>
        <v>0</v>
      </c>
    </row>
    <row r="7" spans="1:9" ht="14.25" x14ac:dyDescent="0.45">
      <c r="A7" t="s">
        <v>798</v>
      </c>
      <c r="B7">
        <f>ROW()</f>
        <v>7</v>
      </c>
      <c r="C7" t="s">
        <v>288</v>
      </c>
      <c r="D7" t="s">
        <v>274</v>
      </c>
      <c r="E7" s="65"/>
      <c r="F7" s="65"/>
      <c r="G7" s="171">
        <f>SUM(tb_5_5i_5.01_1[[#This Row],[PQ FFLAS|
($000)]:[ID-only FFLAS|
($000)]])</f>
        <v>0</v>
      </c>
    </row>
    <row r="8" spans="1:9" ht="14.25" x14ac:dyDescent="0.45">
      <c r="A8" t="s">
        <v>798</v>
      </c>
      <c r="B8">
        <f>ROW()</f>
        <v>8</v>
      </c>
      <c r="C8" t="s">
        <v>288</v>
      </c>
      <c r="D8" t="s">
        <v>275</v>
      </c>
      <c r="E8" s="65"/>
      <c r="F8" s="65"/>
      <c r="G8" s="171">
        <f>SUM(tb_5_5i_5.01_1[[#This Row],[PQ FFLAS|
($000)]:[ID-only FFLAS|
($000)]])</f>
        <v>0</v>
      </c>
    </row>
    <row r="9" spans="1:9" ht="14.25" x14ac:dyDescent="0.45">
      <c r="A9" t="s">
        <v>798</v>
      </c>
      <c r="B9">
        <f>ROW()</f>
        <v>9</v>
      </c>
      <c r="C9" t="s">
        <v>288</v>
      </c>
      <c r="D9" t="s">
        <v>289</v>
      </c>
      <c r="E9" s="65"/>
      <c r="F9" s="65"/>
      <c r="G9" s="171">
        <f>SUM(tb_5_5i_5.01_1[[#This Row],[PQ FFLAS|
($000)]:[ID-only FFLAS|
($000)]])</f>
        <v>0</v>
      </c>
    </row>
    <row r="10" spans="1:9" ht="14.25" x14ac:dyDescent="0.45">
      <c r="A10" t="s">
        <v>798</v>
      </c>
      <c r="B10">
        <f>ROW()</f>
        <v>10</v>
      </c>
      <c r="C10" t="s">
        <v>290</v>
      </c>
      <c r="E10" s="171">
        <f>SUM(E7:E9)</f>
        <v>0</v>
      </c>
      <c r="F10" s="171">
        <f>SUM(F7:F9)</f>
        <v>0</v>
      </c>
      <c r="G10" s="171">
        <f>SUM(tb_5_5i_5.01_1[[#This Row],[PQ FFLAS|
($000)]:[ID-only FFLAS|
($000)]])</f>
        <v>0</v>
      </c>
    </row>
    <row r="11" spans="1:9" ht="14.25" x14ac:dyDescent="0.45">
      <c r="A11" t="s">
        <v>798</v>
      </c>
      <c r="B11">
        <f>ROW()</f>
        <v>11</v>
      </c>
      <c r="C11" t="s">
        <v>291</v>
      </c>
      <c r="D11" t="s">
        <v>277</v>
      </c>
      <c r="E11" s="65"/>
      <c r="F11" s="65"/>
      <c r="G11" s="171">
        <f>SUM(tb_5_5i_5.01_1[[#This Row],[PQ FFLAS|
($000)]:[ID-only FFLAS|
($000)]])</f>
        <v>0</v>
      </c>
    </row>
    <row r="12" spans="1:9" ht="14.25" x14ac:dyDescent="0.45">
      <c r="A12" t="s">
        <v>798</v>
      </c>
      <c r="B12">
        <f>ROW()</f>
        <v>12</v>
      </c>
      <c r="C12" t="s">
        <v>291</v>
      </c>
      <c r="D12" t="s">
        <v>278</v>
      </c>
      <c r="E12" s="65"/>
      <c r="F12" s="65"/>
      <c r="G12" s="171">
        <f>SUM(tb_5_5i_5.01_1[[#This Row],[PQ FFLAS|
($000)]:[ID-only FFLAS|
($000)]])</f>
        <v>0</v>
      </c>
    </row>
    <row r="13" spans="1:9" ht="14.25" x14ac:dyDescent="0.45">
      <c r="A13" t="s">
        <v>798</v>
      </c>
      <c r="B13">
        <f>ROW()</f>
        <v>13</v>
      </c>
      <c r="C13" t="s">
        <v>291</v>
      </c>
      <c r="D13" t="s">
        <v>279</v>
      </c>
      <c r="E13" s="65"/>
      <c r="F13" s="65"/>
      <c r="G13" s="171">
        <f>SUM(tb_5_5i_5.01_1[[#This Row],[PQ FFLAS|
($000)]:[ID-only FFLAS|
($000)]])</f>
        <v>0</v>
      </c>
    </row>
    <row r="14" spans="1:9" ht="14.25" x14ac:dyDescent="0.45">
      <c r="A14" t="s">
        <v>798</v>
      </c>
      <c r="B14">
        <f>ROW()</f>
        <v>14</v>
      </c>
      <c r="C14" t="s">
        <v>292</v>
      </c>
      <c r="E14" s="171">
        <f>SUM(E11:E13)</f>
        <v>0</v>
      </c>
      <c r="F14" s="171">
        <f>SUM(F11:F13)</f>
        <v>0</v>
      </c>
      <c r="G14" s="171">
        <f>SUM(tb_5_5i_5.01_1[[#This Row],[PQ FFLAS|
($000)]:[ID-only FFLAS|
($000)]])</f>
        <v>0</v>
      </c>
    </row>
    <row r="15" spans="1:9" ht="14.25" x14ac:dyDescent="0.45">
      <c r="A15" t="s">
        <v>798</v>
      </c>
      <c r="B15">
        <f>ROW()</f>
        <v>15</v>
      </c>
      <c r="C15" s="30" t="s">
        <v>282</v>
      </c>
      <c r="E15" s="171">
        <f>E6+E10+E14</f>
        <v>0</v>
      </c>
      <c r="F15" s="171">
        <f>F6+F10+F14</f>
        <v>0</v>
      </c>
      <c r="G15" s="171">
        <f>G6+G10+G14</f>
        <v>0</v>
      </c>
      <c r="I15" s="38" t="s">
        <v>170</v>
      </c>
    </row>
    <row r="16" spans="1:9" ht="14.25" x14ac:dyDescent="0.45"/>
    <row r="17" spans="1:7" ht="14.25" x14ac:dyDescent="0.45"/>
    <row r="18" spans="1:7" ht="21" x14ac:dyDescent="0.65">
      <c r="A18" s="129" t="s">
        <v>863</v>
      </c>
    </row>
    <row r="19" spans="1:7" ht="37.9" customHeight="1" x14ac:dyDescent="0.45">
      <c r="A19" s="119" t="s">
        <v>78</v>
      </c>
      <c r="B19" s="119" t="s">
        <v>79</v>
      </c>
      <c r="C19" s="119" t="s">
        <v>1244</v>
      </c>
      <c r="D19" s="119" t="s">
        <v>1245</v>
      </c>
      <c r="E19" s="119" t="s">
        <v>963</v>
      </c>
      <c r="F19" s="119" t="s">
        <v>964</v>
      </c>
      <c r="G19" s="119" t="s">
        <v>965</v>
      </c>
    </row>
    <row r="20" spans="1:7" ht="14.25" x14ac:dyDescent="0.45">
      <c r="A20" t="s">
        <v>863</v>
      </c>
      <c r="B20">
        <f>ROW()</f>
        <v>20</v>
      </c>
      <c r="C20" t="s">
        <v>293</v>
      </c>
      <c r="D20" t="s">
        <v>1273</v>
      </c>
      <c r="E20" s="65"/>
      <c r="F20" s="65"/>
      <c r="G20" s="171">
        <f>SUM(tb_5_5ii_5.02_1[[#This Row],[PQ FFLAS|
($000)]:[ID-only FFLAS|
($000)]])</f>
        <v>0</v>
      </c>
    </row>
    <row r="21" spans="1:7" ht="14.25" x14ac:dyDescent="0.45">
      <c r="A21" t="s">
        <v>863</v>
      </c>
      <c r="B21">
        <f>ROW()</f>
        <v>21</v>
      </c>
      <c r="C21" t="s">
        <v>293</v>
      </c>
      <c r="D21" t="s">
        <v>294</v>
      </c>
      <c r="E21" s="65"/>
      <c r="F21" s="65"/>
      <c r="G21" s="171">
        <f>SUM(tb_5_5ii_5.02_1[[#This Row],[PQ FFLAS|
($000)]:[ID-only FFLAS|
($000)]])</f>
        <v>0</v>
      </c>
    </row>
  </sheetData>
  <pageMargins left="0.7" right="0.7" top="0.75" bottom="0.75" header="0.3" footer="0.3"/>
  <pageSetup paperSize="9" scale="66" fitToHeight="0" orientation="landscape"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31FDB-9218-43CB-8510-3E1CADCA42D8}">
  <sheetPr codeName="Sheet14">
    <pageSetUpPr fitToPage="1"/>
  </sheetPr>
  <dimension ref="A1:N55"/>
  <sheetViews>
    <sheetView zoomScale="85" zoomScaleNormal="85" workbookViewId="0"/>
  </sheetViews>
  <sheetFormatPr defaultRowHeight="14.45" customHeight="1" x14ac:dyDescent="0.45"/>
  <cols>
    <col min="1" max="1" width="30" customWidth="1"/>
    <col min="2" max="2" width="9" bestFit="1" customWidth="1"/>
    <col min="3" max="3" width="32.73046875" bestFit="1" customWidth="1"/>
    <col min="4" max="4" width="37.59765625" customWidth="1"/>
    <col min="5" max="8" width="20.59765625" customWidth="1"/>
    <col min="9" max="14" width="15.59765625" customWidth="1"/>
    <col min="15" max="15" width="2.73046875" customWidth="1"/>
  </cols>
  <sheetData>
    <row r="1" spans="1:8" ht="23.25" x14ac:dyDescent="0.45">
      <c r="A1" s="146" t="s">
        <v>1161</v>
      </c>
    </row>
    <row r="2" spans="1:8" ht="21" x14ac:dyDescent="0.65">
      <c r="A2" s="129" t="s">
        <v>271</v>
      </c>
    </row>
    <row r="3" spans="1:8" ht="37.9" customHeight="1" x14ac:dyDescent="0.45">
      <c r="A3" s="119" t="s">
        <v>78</v>
      </c>
      <c r="B3" s="119" t="s">
        <v>79</v>
      </c>
      <c r="C3" s="119" t="s">
        <v>1244</v>
      </c>
      <c r="D3" s="119" t="s">
        <v>1245</v>
      </c>
      <c r="E3" s="119" t="s">
        <v>963</v>
      </c>
      <c r="F3" s="119" t="s">
        <v>964</v>
      </c>
      <c r="G3" s="119" t="s">
        <v>1022</v>
      </c>
      <c r="H3" s="119" t="s">
        <v>1023</v>
      </c>
    </row>
    <row r="4" spans="1:8" ht="14.25" x14ac:dyDescent="0.45">
      <c r="A4" t="s">
        <v>271</v>
      </c>
      <c r="B4">
        <f>ROW()</f>
        <v>4</v>
      </c>
      <c r="C4" t="s">
        <v>272</v>
      </c>
      <c r="D4" t="s">
        <v>182</v>
      </c>
      <c r="E4" s="156"/>
      <c r="F4" s="156"/>
      <c r="G4" s="176"/>
      <c r="H4" s="176"/>
    </row>
    <row r="5" spans="1:8" ht="14.25" x14ac:dyDescent="0.45">
      <c r="A5" t="s">
        <v>271</v>
      </c>
      <c r="B5">
        <f>ROW()</f>
        <v>5</v>
      </c>
      <c r="C5" t="s">
        <v>272</v>
      </c>
      <c r="D5" t="s">
        <v>183</v>
      </c>
      <c r="E5" s="156"/>
      <c r="F5" s="156"/>
      <c r="G5" s="156"/>
      <c r="H5" s="158">
        <f>SUM(tb_5a_5ai_5.11_1[[#This Row],[PQ FFLAS|
($000)]:[Non-FFLAS|
($000)]])</f>
        <v>0</v>
      </c>
    </row>
    <row r="6" spans="1:8" ht="14.25" x14ac:dyDescent="0.45">
      <c r="A6" t="s">
        <v>271</v>
      </c>
      <c r="B6">
        <f>ROW()</f>
        <v>6</v>
      </c>
      <c r="C6" t="s">
        <v>272</v>
      </c>
      <c r="D6" t="s">
        <v>184</v>
      </c>
      <c r="E6" s="158">
        <f>SUM(E4:E5)</f>
        <v>0</v>
      </c>
      <c r="F6" s="158">
        <f>SUM(F4:F5)</f>
        <v>0</v>
      </c>
      <c r="G6" s="176"/>
      <c r="H6" s="176"/>
    </row>
    <row r="7" spans="1:8" ht="14.25" x14ac:dyDescent="0.45">
      <c r="A7" t="s">
        <v>271</v>
      </c>
      <c r="B7">
        <f>ROW()</f>
        <v>7</v>
      </c>
      <c r="C7" t="s">
        <v>273</v>
      </c>
      <c r="D7" t="s">
        <v>182</v>
      </c>
      <c r="E7" s="156"/>
      <c r="F7" s="156"/>
      <c r="G7" s="176"/>
      <c r="H7" s="176"/>
    </row>
    <row r="8" spans="1:8" ht="14.25" x14ac:dyDescent="0.45">
      <c r="A8" t="s">
        <v>271</v>
      </c>
      <c r="B8">
        <f>ROW()</f>
        <v>8</v>
      </c>
      <c r="C8" t="s">
        <v>273</v>
      </c>
      <c r="D8" t="s">
        <v>183</v>
      </c>
      <c r="E8" s="156"/>
      <c r="F8" s="156"/>
      <c r="G8" s="156"/>
      <c r="H8" s="158">
        <f>SUM(tb_5a_5ai_5.11_1[[#This Row],[PQ FFLAS|
($000)]:[Non-FFLAS|
($000)]])</f>
        <v>0</v>
      </c>
    </row>
    <row r="9" spans="1:8" ht="14.25" x14ac:dyDescent="0.45">
      <c r="A9" t="s">
        <v>271</v>
      </c>
      <c r="B9">
        <f>ROW()</f>
        <v>9</v>
      </c>
      <c r="C9" t="s">
        <v>273</v>
      </c>
      <c r="D9" t="s">
        <v>184</v>
      </c>
      <c r="E9" s="158">
        <f>SUM(E7:E8)</f>
        <v>0</v>
      </c>
      <c r="F9" s="158">
        <f>SUM(F7:F8)</f>
        <v>0</v>
      </c>
      <c r="G9" s="176"/>
      <c r="H9" s="176"/>
    </row>
    <row r="10" spans="1:8" ht="14.25" x14ac:dyDescent="0.45">
      <c r="A10" t="s">
        <v>271</v>
      </c>
      <c r="B10">
        <f>ROW()</f>
        <v>10</v>
      </c>
      <c r="C10" t="s">
        <v>274</v>
      </c>
      <c r="D10" t="s">
        <v>182</v>
      </c>
      <c r="E10" s="156"/>
      <c r="F10" s="156"/>
      <c r="G10" s="176"/>
      <c r="H10" s="176"/>
    </row>
    <row r="11" spans="1:8" ht="14.25" x14ac:dyDescent="0.45">
      <c r="A11" t="s">
        <v>271</v>
      </c>
      <c r="B11">
        <f>ROW()</f>
        <v>11</v>
      </c>
      <c r="C11" t="s">
        <v>274</v>
      </c>
      <c r="D11" t="s">
        <v>183</v>
      </c>
      <c r="E11" s="156"/>
      <c r="F11" s="156"/>
      <c r="G11" s="156"/>
      <c r="H11" s="158">
        <f>SUM(tb_5a_5ai_5.11_1[[#This Row],[PQ FFLAS|
($000)]:[Non-FFLAS|
($000)]])</f>
        <v>0</v>
      </c>
    </row>
    <row r="12" spans="1:8" ht="14.25" x14ac:dyDescent="0.45">
      <c r="A12" t="s">
        <v>271</v>
      </c>
      <c r="B12">
        <f>ROW()</f>
        <v>12</v>
      </c>
      <c r="C12" t="s">
        <v>274</v>
      </c>
      <c r="D12" t="s">
        <v>184</v>
      </c>
      <c r="E12" s="158">
        <f>SUM(E10:E11)</f>
        <v>0</v>
      </c>
      <c r="F12" s="158">
        <f>SUM(F10:F11)</f>
        <v>0</v>
      </c>
      <c r="G12" s="176"/>
      <c r="H12" s="176"/>
    </row>
    <row r="13" spans="1:8" ht="14.25" x14ac:dyDescent="0.45">
      <c r="A13" t="s">
        <v>271</v>
      </c>
      <c r="B13">
        <f>ROW()</f>
        <v>13</v>
      </c>
      <c r="C13" t="s">
        <v>275</v>
      </c>
      <c r="D13" t="s">
        <v>182</v>
      </c>
      <c r="E13" s="156"/>
      <c r="F13" s="156"/>
      <c r="G13" s="176"/>
      <c r="H13" s="176"/>
    </row>
    <row r="14" spans="1:8" ht="14.25" x14ac:dyDescent="0.45">
      <c r="A14" t="s">
        <v>271</v>
      </c>
      <c r="B14">
        <f>ROW()</f>
        <v>14</v>
      </c>
      <c r="C14" t="s">
        <v>275</v>
      </c>
      <c r="D14" t="s">
        <v>183</v>
      </c>
      <c r="E14" s="156"/>
      <c r="F14" s="156"/>
      <c r="G14" s="156"/>
      <c r="H14" s="158">
        <f>SUM(tb_5a_5ai_5.11_1[[#This Row],[PQ FFLAS|
($000)]:[Non-FFLAS|
($000)]])</f>
        <v>0</v>
      </c>
    </row>
    <row r="15" spans="1:8" ht="14.25" x14ac:dyDescent="0.45">
      <c r="A15" t="s">
        <v>271</v>
      </c>
      <c r="B15">
        <f>ROW()</f>
        <v>15</v>
      </c>
      <c r="C15" t="s">
        <v>275</v>
      </c>
      <c r="D15" t="s">
        <v>184</v>
      </c>
      <c r="E15" s="158">
        <f>SUM(E13:E14)</f>
        <v>0</v>
      </c>
      <c r="F15" s="158">
        <f>SUM(F13:F14)</f>
        <v>0</v>
      </c>
      <c r="G15" s="176"/>
      <c r="H15" s="176"/>
    </row>
    <row r="16" spans="1:8" ht="14.25" x14ac:dyDescent="0.45">
      <c r="A16" t="s">
        <v>271</v>
      </c>
      <c r="B16">
        <f>ROW()</f>
        <v>16</v>
      </c>
      <c r="C16" t="s">
        <v>276</v>
      </c>
      <c r="D16" t="s">
        <v>182</v>
      </c>
      <c r="E16" s="156"/>
      <c r="F16" s="156"/>
      <c r="G16" s="176"/>
      <c r="H16" s="176"/>
    </row>
    <row r="17" spans="1:8" ht="14.25" x14ac:dyDescent="0.45">
      <c r="A17" t="s">
        <v>271</v>
      </c>
      <c r="B17">
        <f>ROW()</f>
        <v>17</v>
      </c>
      <c r="C17" t="s">
        <v>276</v>
      </c>
      <c r="D17" t="s">
        <v>183</v>
      </c>
      <c r="E17" s="156"/>
      <c r="F17" s="156"/>
      <c r="G17" s="156"/>
      <c r="H17" s="158">
        <f>SUM(tb_5a_5ai_5.11_1[[#This Row],[PQ FFLAS|
($000)]:[Non-FFLAS|
($000)]])</f>
        <v>0</v>
      </c>
    </row>
    <row r="18" spans="1:8" ht="14.25" x14ac:dyDescent="0.45">
      <c r="A18" t="s">
        <v>271</v>
      </c>
      <c r="B18">
        <f>ROW()</f>
        <v>18</v>
      </c>
      <c r="C18" t="s">
        <v>276</v>
      </c>
      <c r="D18" t="s">
        <v>184</v>
      </c>
      <c r="E18" s="158">
        <f>SUM(E16:E17)</f>
        <v>0</v>
      </c>
      <c r="F18" s="158">
        <f>SUM(F16:F17)</f>
        <v>0</v>
      </c>
      <c r="G18" s="176"/>
      <c r="H18" s="176"/>
    </row>
    <row r="19" spans="1:8" ht="14.25" x14ac:dyDescent="0.45">
      <c r="A19" t="s">
        <v>271</v>
      </c>
      <c r="B19">
        <f>ROW()</f>
        <v>19</v>
      </c>
      <c r="C19" t="s">
        <v>277</v>
      </c>
      <c r="D19" t="s">
        <v>182</v>
      </c>
      <c r="E19" s="156"/>
      <c r="F19" s="156"/>
      <c r="G19" s="176"/>
      <c r="H19" s="176"/>
    </row>
    <row r="20" spans="1:8" ht="14.25" x14ac:dyDescent="0.45">
      <c r="A20" t="s">
        <v>271</v>
      </c>
      <c r="B20">
        <f>ROW()</f>
        <v>20</v>
      </c>
      <c r="C20" t="s">
        <v>277</v>
      </c>
      <c r="D20" t="s">
        <v>183</v>
      </c>
      <c r="E20" s="156"/>
      <c r="F20" s="156"/>
      <c r="G20" s="156"/>
      <c r="H20" s="158">
        <f>SUM(tb_5a_5ai_5.11_1[[#This Row],[PQ FFLAS|
($000)]:[Non-FFLAS|
($000)]])</f>
        <v>0</v>
      </c>
    </row>
    <row r="21" spans="1:8" ht="14.25" x14ac:dyDescent="0.45">
      <c r="A21" t="s">
        <v>271</v>
      </c>
      <c r="B21">
        <f>ROW()</f>
        <v>21</v>
      </c>
      <c r="C21" t="s">
        <v>277</v>
      </c>
      <c r="D21" t="s">
        <v>184</v>
      </c>
      <c r="E21" s="158">
        <f>SUM(E19:E20)</f>
        <v>0</v>
      </c>
      <c r="F21" s="158">
        <f>SUM(F19:F20)</f>
        <v>0</v>
      </c>
      <c r="G21" s="176"/>
      <c r="H21" s="176"/>
    </row>
    <row r="22" spans="1:8" ht="14.25" x14ac:dyDescent="0.45">
      <c r="A22" t="s">
        <v>271</v>
      </c>
      <c r="B22">
        <f>ROW()</f>
        <v>22</v>
      </c>
      <c r="C22" t="s">
        <v>278</v>
      </c>
      <c r="D22" t="s">
        <v>182</v>
      </c>
      <c r="E22" s="156"/>
      <c r="F22" s="156"/>
      <c r="G22" s="176"/>
      <c r="H22" s="176"/>
    </row>
    <row r="23" spans="1:8" ht="14.25" x14ac:dyDescent="0.45">
      <c r="A23" t="s">
        <v>271</v>
      </c>
      <c r="B23">
        <f>ROW()</f>
        <v>23</v>
      </c>
      <c r="C23" t="s">
        <v>278</v>
      </c>
      <c r="D23" t="s">
        <v>183</v>
      </c>
      <c r="E23" s="156"/>
      <c r="F23" s="156"/>
      <c r="G23" s="156"/>
      <c r="H23" s="158">
        <f>SUM(tb_5a_5ai_5.11_1[[#This Row],[PQ FFLAS|
($000)]:[Non-FFLAS|
($000)]])</f>
        <v>0</v>
      </c>
    </row>
    <row r="24" spans="1:8" ht="14.25" x14ac:dyDescent="0.45">
      <c r="A24" t="s">
        <v>271</v>
      </c>
      <c r="B24">
        <f>ROW()</f>
        <v>24</v>
      </c>
      <c r="C24" t="s">
        <v>278</v>
      </c>
      <c r="D24" t="s">
        <v>184</v>
      </c>
      <c r="E24" s="158">
        <f>SUM(E22:E23)</f>
        <v>0</v>
      </c>
      <c r="F24" s="158">
        <f>SUM(F22:F23)</f>
        <v>0</v>
      </c>
      <c r="G24" s="176"/>
      <c r="H24" s="176"/>
    </row>
    <row r="25" spans="1:8" ht="14.25" x14ac:dyDescent="0.45">
      <c r="A25" t="s">
        <v>271</v>
      </c>
      <c r="B25">
        <f>ROW()</f>
        <v>25</v>
      </c>
      <c r="C25" t="s">
        <v>279</v>
      </c>
      <c r="D25" t="s">
        <v>182</v>
      </c>
      <c r="E25" s="156"/>
      <c r="F25" s="156"/>
      <c r="G25" s="176"/>
      <c r="H25" s="176"/>
    </row>
    <row r="26" spans="1:8" ht="15" customHeight="1" x14ac:dyDescent="0.45">
      <c r="A26" t="s">
        <v>271</v>
      </c>
      <c r="B26">
        <f>ROW()</f>
        <v>26</v>
      </c>
      <c r="C26" t="s">
        <v>279</v>
      </c>
      <c r="D26" t="s">
        <v>183</v>
      </c>
      <c r="E26" s="156"/>
      <c r="F26" s="156"/>
      <c r="G26" s="156"/>
      <c r="H26" s="158">
        <f>SUM(tb_5a_5ai_5.11_1[[#This Row],[PQ FFLAS|
($000)]:[Non-FFLAS|
($000)]])</f>
        <v>0</v>
      </c>
    </row>
    <row r="27" spans="1:8" ht="14.25" x14ac:dyDescent="0.45">
      <c r="A27" t="s">
        <v>271</v>
      </c>
      <c r="B27">
        <f>ROW()</f>
        <v>27</v>
      </c>
      <c r="C27" t="s">
        <v>279</v>
      </c>
      <c r="D27" t="s">
        <v>184</v>
      </c>
      <c r="E27" s="158">
        <f>SUM(E25:E26)</f>
        <v>0</v>
      </c>
      <c r="F27" s="158">
        <f>SUM(F25:F26)</f>
        <v>0</v>
      </c>
      <c r="G27" s="176"/>
      <c r="H27" s="176"/>
    </row>
    <row r="28" spans="1:8" ht="14.25" x14ac:dyDescent="0.45">
      <c r="A28" t="s">
        <v>271</v>
      </c>
      <c r="B28">
        <f>ROW()</f>
        <v>28</v>
      </c>
      <c r="C28" s="30" t="s">
        <v>280</v>
      </c>
      <c r="E28" s="158">
        <f>SUM(E4,E7,E10,E13,E16,E19,E22,E25)</f>
        <v>0</v>
      </c>
      <c r="F28" s="158">
        <f>SUM(F4,F7,F10,F13,F16,F19,F22,F25)</f>
        <v>0</v>
      </c>
      <c r="G28" s="176"/>
      <c r="H28" s="176"/>
    </row>
    <row r="29" spans="1:8" ht="14.25" x14ac:dyDescent="0.45">
      <c r="A29" t="s">
        <v>271</v>
      </c>
      <c r="B29">
        <f>ROW()</f>
        <v>29</v>
      </c>
      <c r="C29" s="30" t="s">
        <v>281</v>
      </c>
      <c r="E29" s="158">
        <f>SUM(E5,E8,E11,E14,E17,E20,E23,E26)</f>
        <v>0</v>
      </c>
      <c r="F29" s="158">
        <f>SUM(F5,F8,F11,F14,F17,F20,F23,F26)</f>
        <v>0</v>
      </c>
      <c r="G29" s="158">
        <f>SUM(G5,G8,G11,G14,G17,G20,G23,G26)</f>
        <v>0</v>
      </c>
      <c r="H29" s="158">
        <f>SUM(H5,H8,H11,H14,H17,H20,H23,H26)</f>
        <v>0</v>
      </c>
    </row>
    <row r="30" spans="1:8" ht="14.25" x14ac:dyDescent="0.45">
      <c r="A30" t="s">
        <v>271</v>
      </c>
      <c r="B30">
        <f>ROW()</f>
        <v>30</v>
      </c>
      <c r="C30" s="30" t="s">
        <v>282</v>
      </c>
      <c r="E30" s="158">
        <f>SUM(E28:E29)</f>
        <v>0</v>
      </c>
      <c r="F30" s="158">
        <f>SUM(F28:F29)</f>
        <v>0</v>
      </c>
      <c r="G30" s="176"/>
      <c r="H30" s="176"/>
    </row>
    <row r="31" spans="1:8" ht="14.25" x14ac:dyDescent="0.45"/>
    <row r="32" spans="1:8" ht="14.25" x14ac:dyDescent="0.45"/>
    <row r="33" spans="1:14" ht="21" x14ac:dyDescent="0.65">
      <c r="A33" s="129" t="s">
        <v>283</v>
      </c>
    </row>
    <row r="34" spans="1:14" ht="30" customHeight="1" x14ac:dyDescent="0.45">
      <c r="A34" s="119" t="s">
        <v>78</v>
      </c>
      <c r="B34" s="119" t="s">
        <v>79</v>
      </c>
      <c r="C34" s="119" t="s">
        <v>1244</v>
      </c>
      <c r="D34" s="119" t="s">
        <v>1245</v>
      </c>
      <c r="E34" s="119" t="s">
        <v>154</v>
      </c>
    </row>
    <row r="35" spans="1:14" ht="14.25" x14ac:dyDescent="0.45">
      <c r="A35" t="s">
        <v>283</v>
      </c>
      <c r="B35">
        <f>ROW()</f>
        <v>35</v>
      </c>
      <c r="C35" t="s">
        <v>149</v>
      </c>
      <c r="D35" t="s">
        <v>182</v>
      </c>
      <c r="E35" s="65"/>
    </row>
    <row r="36" spans="1:14" ht="14.25" x14ac:dyDescent="0.45">
      <c r="A36" t="s">
        <v>283</v>
      </c>
      <c r="B36">
        <f>ROW()</f>
        <v>36</v>
      </c>
      <c r="C36" t="s">
        <v>149</v>
      </c>
      <c r="D36" t="s">
        <v>183</v>
      </c>
      <c r="E36" s="65"/>
    </row>
    <row r="37" spans="1:14" ht="14.25" x14ac:dyDescent="0.45">
      <c r="A37" t="s">
        <v>283</v>
      </c>
      <c r="B37">
        <f>ROW()</f>
        <v>37</v>
      </c>
      <c r="C37" t="s">
        <v>149</v>
      </c>
      <c r="D37" t="s">
        <v>184</v>
      </c>
      <c r="E37" s="75">
        <f>SUM(E35:E36)</f>
        <v>0</v>
      </c>
    </row>
    <row r="38" spans="1:14" ht="14.25" x14ac:dyDescent="0.45"/>
    <row r="39" spans="1:14" ht="14.25" x14ac:dyDescent="0.45"/>
    <row r="40" spans="1:14" ht="21" x14ac:dyDescent="0.65">
      <c r="A40" s="129" t="s">
        <v>284</v>
      </c>
    </row>
    <row r="41" spans="1:14" ht="94.5" customHeight="1" x14ac:dyDescent="0.45">
      <c r="A41" s="119" t="s">
        <v>78</v>
      </c>
      <c r="B41" s="119" t="s">
        <v>79</v>
      </c>
      <c r="C41" s="119" t="s">
        <v>1244</v>
      </c>
      <c r="D41" s="119" t="s">
        <v>1245</v>
      </c>
      <c r="E41" s="119" t="s">
        <v>205</v>
      </c>
      <c r="F41" s="119" t="s">
        <v>1140</v>
      </c>
      <c r="G41" s="119" t="s">
        <v>1141</v>
      </c>
      <c r="H41" s="119" t="s">
        <v>206</v>
      </c>
      <c r="I41" s="119" t="s">
        <v>1142</v>
      </c>
      <c r="J41" s="119" t="s">
        <v>1143</v>
      </c>
      <c r="K41" s="119" t="s">
        <v>1144</v>
      </c>
      <c r="L41" s="119" t="s">
        <v>1145</v>
      </c>
      <c r="M41" s="119" t="s">
        <v>1148</v>
      </c>
      <c r="N41" s="119" t="s">
        <v>1149</v>
      </c>
    </row>
    <row r="42" spans="1:14" ht="111" customHeight="1" x14ac:dyDescent="0.45">
      <c r="A42" t="s">
        <v>284</v>
      </c>
      <c r="B42">
        <f>ROW()</f>
        <v>42</v>
      </c>
      <c r="C42" s="31" t="s">
        <v>1146</v>
      </c>
      <c r="D42" s="31"/>
      <c r="E42" s="174"/>
      <c r="F42" s="174"/>
      <c r="G42" s="174"/>
      <c r="H42" s="174"/>
      <c r="I42" s="65"/>
      <c r="J42" s="65"/>
      <c r="K42" s="65"/>
      <c r="L42" s="65"/>
      <c r="M42" s="65"/>
      <c r="N42" s="65"/>
    </row>
    <row r="43" spans="1:14" ht="50.1" customHeight="1" x14ac:dyDescent="0.45">
      <c r="A43" t="s">
        <v>284</v>
      </c>
      <c r="B43">
        <f>ROW()</f>
        <v>43</v>
      </c>
      <c r="C43" t="s">
        <v>1146</v>
      </c>
      <c r="E43" s="174"/>
      <c r="F43" s="174"/>
      <c r="G43" s="174"/>
      <c r="H43" s="174"/>
      <c r="I43" s="65"/>
      <c r="J43" s="65"/>
      <c r="K43" s="65"/>
      <c r="L43" s="65"/>
      <c r="M43" s="65" t="str">
        <f t="shared" ref="M43:N52" si="0">IF(L43&lt;&gt;"",J43-L43,"")</f>
        <v/>
      </c>
      <c r="N43" s="65" t="str">
        <f t="shared" si="0"/>
        <v/>
      </c>
    </row>
    <row r="44" spans="1:14" ht="50.1" customHeight="1" x14ac:dyDescent="0.45">
      <c r="A44" t="s">
        <v>284</v>
      </c>
      <c r="B44">
        <f>ROW()</f>
        <v>44</v>
      </c>
      <c r="C44" t="s">
        <v>1146</v>
      </c>
      <c r="E44" s="174"/>
      <c r="F44" s="174"/>
      <c r="G44" s="174"/>
      <c r="H44" s="174"/>
      <c r="I44" s="65"/>
      <c r="J44" s="65"/>
      <c r="K44" s="65"/>
      <c r="L44" s="65"/>
      <c r="M44" s="65" t="str">
        <f t="shared" si="0"/>
        <v/>
      </c>
      <c r="N44" s="65" t="str">
        <f t="shared" si="0"/>
        <v/>
      </c>
    </row>
    <row r="45" spans="1:14" ht="14.25" x14ac:dyDescent="0.45">
      <c r="A45" t="s">
        <v>284</v>
      </c>
      <c r="B45">
        <f>ROW()</f>
        <v>45</v>
      </c>
      <c r="C45" t="s">
        <v>1146</v>
      </c>
      <c r="E45" s="174"/>
      <c r="F45" s="174"/>
      <c r="G45" s="174"/>
      <c r="H45" s="174"/>
      <c r="I45" s="65"/>
      <c r="J45" s="65"/>
      <c r="K45" s="65"/>
      <c r="L45" s="65"/>
      <c r="M45" s="65" t="str">
        <f t="shared" si="0"/>
        <v/>
      </c>
      <c r="N45" s="65" t="str">
        <f t="shared" si="0"/>
        <v/>
      </c>
    </row>
    <row r="46" spans="1:14" ht="14.25" x14ac:dyDescent="0.45">
      <c r="A46" t="s">
        <v>284</v>
      </c>
      <c r="B46">
        <f>ROW()</f>
        <v>46</v>
      </c>
      <c r="C46" t="s">
        <v>1146</v>
      </c>
      <c r="E46" s="174"/>
      <c r="F46" s="174"/>
      <c r="G46" s="174"/>
      <c r="H46" s="174"/>
      <c r="I46" s="65"/>
      <c r="J46" s="65"/>
      <c r="K46" s="65"/>
      <c r="L46" s="65"/>
      <c r="M46" s="65" t="str">
        <f t="shared" si="0"/>
        <v/>
      </c>
      <c r="N46" s="65" t="str">
        <f t="shared" si="0"/>
        <v/>
      </c>
    </row>
    <row r="47" spans="1:14" ht="14.25" x14ac:dyDescent="0.45">
      <c r="A47" t="s">
        <v>284</v>
      </c>
      <c r="B47">
        <f>ROW()</f>
        <v>47</v>
      </c>
      <c r="C47" t="s">
        <v>1146</v>
      </c>
      <c r="E47" s="174"/>
      <c r="F47" s="174"/>
      <c r="G47" s="174"/>
      <c r="H47" s="174"/>
      <c r="I47" s="65"/>
      <c r="J47" s="65"/>
      <c r="K47" s="65"/>
      <c r="L47" s="65"/>
      <c r="M47" s="65" t="str">
        <f t="shared" si="0"/>
        <v/>
      </c>
      <c r="N47" s="65" t="str">
        <f t="shared" si="0"/>
        <v/>
      </c>
    </row>
    <row r="48" spans="1:14" ht="14.25" x14ac:dyDescent="0.45">
      <c r="A48" t="s">
        <v>284</v>
      </c>
      <c r="B48">
        <f>ROW()</f>
        <v>48</v>
      </c>
      <c r="C48" t="s">
        <v>1146</v>
      </c>
      <c r="E48" s="174"/>
      <c r="F48" s="174"/>
      <c r="G48" s="174"/>
      <c r="H48" s="174"/>
      <c r="I48" s="65"/>
      <c r="J48" s="65"/>
      <c r="K48" s="65"/>
      <c r="L48" s="65"/>
      <c r="M48" s="65" t="str">
        <f t="shared" si="0"/>
        <v/>
      </c>
      <c r="N48" s="65" t="str">
        <f t="shared" si="0"/>
        <v/>
      </c>
    </row>
    <row r="49" spans="1:14" ht="14.25" x14ac:dyDescent="0.45">
      <c r="A49" t="s">
        <v>284</v>
      </c>
      <c r="B49">
        <f>ROW()</f>
        <v>49</v>
      </c>
      <c r="C49" t="s">
        <v>1146</v>
      </c>
      <c r="E49" s="174"/>
      <c r="F49" s="174"/>
      <c r="G49" s="174"/>
      <c r="H49" s="174"/>
      <c r="I49" s="65"/>
      <c r="J49" s="65"/>
      <c r="K49" s="65"/>
      <c r="L49" s="65"/>
      <c r="M49" s="65" t="str">
        <f t="shared" si="0"/>
        <v/>
      </c>
      <c r="N49" s="65" t="str">
        <f t="shared" si="0"/>
        <v/>
      </c>
    </row>
    <row r="50" spans="1:14" ht="14.25" x14ac:dyDescent="0.45">
      <c r="A50" t="s">
        <v>284</v>
      </c>
      <c r="B50">
        <f>ROW()</f>
        <v>50</v>
      </c>
      <c r="C50" t="s">
        <v>1146</v>
      </c>
      <c r="E50" s="174"/>
      <c r="F50" s="174"/>
      <c r="G50" s="174"/>
      <c r="H50" s="174"/>
      <c r="I50" s="65"/>
      <c r="J50" s="65"/>
      <c r="K50" s="65"/>
      <c r="L50" s="65"/>
      <c r="M50" s="65" t="str">
        <f t="shared" si="0"/>
        <v/>
      </c>
      <c r="N50" s="65" t="str">
        <f t="shared" si="0"/>
        <v/>
      </c>
    </row>
    <row r="51" spans="1:14" ht="14.25" x14ac:dyDescent="0.45">
      <c r="A51" t="s">
        <v>284</v>
      </c>
      <c r="B51">
        <f>ROW()</f>
        <v>51</v>
      </c>
      <c r="C51" t="s">
        <v>1146</v>
      </c>
      <c r="E51" s="174"/>
      <c r="F51" s="174"/>
      <c r="G51" s="174"/>
      <c r="H51" s="174"/>
      <c r="I51" s="65"/>
      <c r="J51" s="65"/>
      <c r="K51" s="65"/>
      <c r="L51" s="65"/>
      <c r="M51" s="65" t="str">
        <f t="shared" si="0"/>
        <v/>
      </c>
      <c r="N51" s="65" t="str">
        <f t="shared" si="0"/>
        <v/>
      </c>
    </row>
    <row r="52" spans="1:14" ht="14.25" x14ac:dyDescent="0.45">
      <c r="A52" t="s">
        <v>284</v>
      </c>
      <c r="B52">
        <f>ROW()</f>
        <v>52</v>
      </c>
      <c r="C52" t="s">
        <v>1146</v>
      </c>
      <c r="E52" s="174"/>
      <c r="F52" s="174"/>
      <c r="G52" s="174"/>
      <c r="H52" s="174"/>
      <c r="I52" s="65"/>
      <c r="J52" s="65"/>
      <c r="K52" s="65"/>
      <c r="L52" s="65"/>
      <c r="M52" s="65" t="str">
        <f t="shared" si="0"/>
        <v/>
      </c>
      <c r="N52" s="65" t="str">
        <f t="shared" si="0"/>
        <v/>
      </c>
    </row>
    <row r="53" spans="1:14" ht="15" customHeight="1" x14ac:dyDescent="0.45"/>
    <row r="54" spans="1:14" ht="14.45" customHeight="1" x14ac:dyDescent="0.45">
      <c r="A54" s="127" t="s">
        <v>285</v>
      </c>
    </row>
    <row r="55" spans="1:14" ht="14.45" customHeight="1" x14ac:dyDescent="0.45">
      <c r="A55" s="127" t="s">
        <v>1147</v>
      </c>
    </row>
  </sheetData>
  <pageMargins left="0.7" right="0.7" top="0.75" bottom="0.75" header="0.3" footer="0.3"/>
  <pageSetup paperSize="9" scale="45" fitToHeight="0" orientation="landscape" r:id="rId1"/>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1002-7A4E-4685-9549-72C7B9ED97B2}">
  <sheetPr codeName="Sheet16">
    <pageSetUpPr fitToPage="1"/>
  </sheetPr>
  <dimension ref="A1:I43"/>
  <sheetViews>
    <sheetView zoomScale="85" zoomScaleNormal="85" workbookViewId="0"/>
  </sheetViews>
  <sheetFormatPr defaultRowHeight="14.45" customHeight="1" x14ac:dyDescent="0.45"/>
  <cols>
    <col min="1" max="1" width="34.1328125" customWidth="1"/>
    <col min="2" max="2" width="9" bestFit="1" customWidth="1"/>
    <col min="3" max="3" width="10.265625" customWidth="1"/>
    <col min="4" max="4" width="27.86328125" bestFit="1" customWidth="1"/>
    <col min="5" max="5" width="23.86328125" customWidth="1"/>
    <col min="6" max="8" width="20.59765625" customWidth="1"/>
    <col min="10" max="10" width="7.73046875" customWidth="1"/>
  </cols>
  <sheetData>
    <row r="1" spans="1:8" ht="23.25" x14ac:dyDescent="0.45">
      <c r="A1" s="146" t="s">
        <v>1162</v>
      </c>
    </row>
    <row r="2" spans="1:8" ht="21" x14ac:dyDescent="0.65">
      <c r="A2" s="129" t="s">
        <v>858</v>
      </c>
    </row>
    <row r="3" spans="1:8" ht="37.9" customHeight="1" x14ac:dyDescent="0.45">
      <c r="A3" s="119" t="s">
        <v>78</v>
      </c>
      <c r="B3" s="119" t="s">
        <v>79</v>
      </c>
      <c r="C3" s="119" t="s">
        <v>208</v>
      </c>
      <c r="D3" s="119" t="s">
        <v>1244</v>
      </c>
      <c r="E3" s="119" t="s">
        <v>1245</v>
      </c>
      <c r="F3" s="119" t="s">
        <v>296</v>
      </c>
      <c r="G3" s="119" t="s">
        <v>297</v>
      </c>
      <c r="H3" s="119" t="s">
        <v>298</v>
      </c>
    </row>
    <row r="4" spans="1:8" ht="14.25" x14ac:dyDescent="0.45">
      <c r="A4" s="162" t="s">
        <v>858</v>
      </c>
      <c r="B4" s="162">
        <f>ROW()</f>
        <v>4</v>
      </c>
      <c r="C4" s="162"/>
      <c r="D4" s="162" t="s">
        <v>299</v>
      </c>
      <c r="E4" s="162" t="s">
        <v>300</v>
      </c>
      <c r="F4" s="65"/>
      <c r="G4" s="65"/>
      <c r="H4" s="171">
        <f>F4+G4</f>
        <v>0</v>
      </c>
    </row>
    <row r="5" spans="1:8" ht="14.25" x14ac:dyDescent="0.45">
      <c r="A5" s="162" t="s">
        <v>858</v>
      </c>
      <c r="B5" s="162">
        <f>ROW()</f>
        <v>5</v>
      </c>
      <c r="C5" s="162"/>
      <c r="D5" s="162" t="s">
        <v>299</v>
      </c>
      <c r="E5" s="162" t="s">
        <v>301</v>
      </c>
      <c r="F5" s="65"/>
      <c r="G5" s="65"/>
      <c r="H5" s="171">
        <f>F5+G5</f>
        <v>0</v>
      </c>
    </row>
    <row r="6" spans="1:8" ht="14.25" x14ac:dyDescent="0.45">
      <c r="A6" s="162" t="s">
        <v>858</v>
      </c>
      <c r="B6" s="162">
        <f>ROW()</f>
        <v>6</v>
      </c>
      <c r="C6" s="162"/>
      <c r="D6" s="162" t="s">
        <v>299</v>
      </c>
      <c r="E6" s="162" t="s">
        <v>335</v>
      </c>
      <c r="F6" s="65"/>
      <c r="G6" s="65"/>
      <c r="H6" s="171">
        <f>F6+G6</f>
        <v>0</v>
      </c>
    </row>
    <row r="7" spans="1:8" ht="14.25" x14ac:dyDescent="0.45">
      <c r="A7" s="162" t="s">
        <v>858</v>
      </c>
      <c r="B7" s="162">
        <f>ROW()</f>
        <v>7</v>
      </c>
      <c r="C7" s="162"/>
      <c r="D7" s="183" t="s">
        <v>299</v>
      </c>
      <c r="E7" s="162"/>
      <c r="F7" s="163">
        <f>SUM(F4:F6)</f>
        <v>0</v>
      </c>
      <c r="G7" s="163">
        <f>SUM(G4:G6)</f>
        <v>0</v>
      </c>
      <c r="H7" s="163">
        <f>SUM(H4:H6)</f>
        <v>0</v>
      </c>
    </row>
    <row r="8" spans="1:8" ht="14.25" x14ac:dyDescent="0.45">
      <c r="A8" s="162" t="s">
        <v>858</v>
      </c>
      <c r="B8" s="162">
        <f>ROW()</f>
        <v>8</v>
      </c>
      <c r="C8" s="162"/>
      <c r="D8" s="162" t="s">
        <v>302</v>
      </c>
      <c r="E8" s="162" t="s">
        <v>303</v>
      </c>
      <c r="F8" s="65"/>
      <c r="G8" s="65"/>
      <c r="H8" s="171">
        <f>F8+G8</f>
        <v>0</v>
      </c>
    </row>
    <row r="9" spans="1:8" ht="14.25" x14ac:dyDescent="0.45">
      <c r="A9" s="162" t="s">
        <v>858</v>
      </c>
      <c r="B9" s="162">
        <f>ROW()</f>
        <v>9</v>
      </c>
      <c r="C9" s="162"/>
      <c r="D9" s="162" t="s">
        <v>302</v>
      </c>
      <c r="E9" s="162" t="s">
        <v>304</v>
      </c>
      <c r="F9" s="65"/>
      <c r="G9" s="65"/>
      <c r="H9" s="171">
        <f>F9+G9</f>
        <v>0</v>
      </c>
    </row>
    <row r="10" spans="1:8" ht="14.25" x14ac:dyDescent="0.45">
      <c r="A10" s="162" t="s">
        <v>858</v>
      </c>
      <c r="B10" s="162">
        <f>ROW()</f>
        <v>10</v>
      </c>
      <c r="C10" s="162"/>
      <c r="D10" s="183" t="s">
        <v>302</v>
      </c>
      <c r="E10" s="162"/>
      <c r="F10" s="163">
        <f>SUM(F8:F9)</f>
        <v>0</v>
      </c>
      <c r="G10" s="163">
        <f>SUM(G8:G9)</f>
        <v>0</v>
      </c>
      <c r="H10" s="163">
        <f>SUM(H8:H9)</f>
        <v>0</v>
      </c>
    </row>
    <row r="11" spans="1:8" ht="14.25" x14ac:dyDescent="0.45">
      <c r="A11" s="162" t="s">
        <v>858</v>
      </c>
      <c r="B11" s="162">
        <f>ROW()</f>
        <v>11</v>
      </c>
      <c r="C11" s="162"/>
      <c r="D11" s="162" t="s">
        <v>345</v>
      </c>
      <c r="E11" s="162" t="s">
        <v>305</v>
      </c>
      <c r="F11" s="65"/>
      <c r="G11" s="65"/>
      <c r="H11" s="171">
        <f>F11+G11</f>
        <v>0</v>
      </c>
    </row>
    <row r="12" spans="1:8" ht="14.25" x14ac:dyDescent="0.45">
      <c r="A12" s="162" t="s">
        <v>858</v>
      </c>
      <c r="B12" s="162">
        <f>ROW()</f>
        <v>12</v>
      </c>
      <c r="C12" s="162"/>
      <c r="D12" s="162" t="s">
        <v>345</v>
      </c>
      <c r="E12" s="162" t="s">
        <v>306</v>
      </c>
      <c r="F12" s="65"/>
      <c r="G12" s="65"/>
      <c r="H12" s="171">
        <f>F12+G12</f>
        <v>0</v>
      </c>
    </row>
    <row r="13" spans="1:8" ht="14.25" x14ac:dyDescent="0.45">
      <c r="A13" s="162" t="s">
        <v>858</v>
      </c>
      <c r="B13" s="162">
        <f>ROW()</f>
        <v>13</v>
      </c>
      <c r="C13" s="162"/>
      <c r="D13" s="162" t="s">
        <v>345</v>
      </c>
      <c r="E13" s="162" t="s">
        <v>307</v>
      </c>
      <c r="F13" s="65"/>
      <c r="G13" s="65"/>
      <c r="H13" s="171">
        <f>F13+G13</f>
        <v>0</v>
      </c>
    </row>
    <row r="14" spans="1:8" ht="14.25" x14ac:dyDescent="0.45">
      <c r="A14" s="162" t="s">
        <v>858</v>
      </c>
      <c r="B14" s="162">
        <f>ROW()</f>
        <v>14</v>
      </c>
      <c r="C14" s="162"/>
      <c r="D14" s="183" t="s">
        <v>345</v>
      </c>
      <c r="E14" s="162"/>
      <c r="F14" s="163">
        <f>SUM(F11:F13)</f>
        <v>0</v>
      </c>
      <c r="G14" s="163">
        <f>SUM(G11:G13)</f>
        <v>0</v>
      </c>
      <c r="H14" s="163">
        <f>SUM(H11:H13)</f>
        <v>0</v>
      </c>
    </row>
    <row r="15" spans="1:8" ht="14.25" x14ac:dyDescent="0.45">
      <c r="A15" s="162" t="s">
        <v>858</v>
      </c>
      <c r="B15" s="162">
        <f>ROW()</f>
        <v>15</v>
      </c>
      <c r="C15" s="162"/>
      <c r="D15" s="162" t="s">
        <v>308</v>
      </c>
      <c r="E15" s="162" t="s">
        <v>309</v>
      </c>
      <c r="F15" s="65"/>
      <c r="G15" s="65"/>
      <c r="H15" s="171">
        <f>F15+G15</f>
        <v>0</v>
      </c>
    </row>
    <row r="16" spans="1:8" ht="14.25" x14ac:dyDescent="0.45">
      <c r="A16" s="162" t="s">
        <v>858</v>
      </c>
      <c r="B16" s="162">
        <f>ROW()</f>
        <v>16</v>
      </c>
      <c r="C16" s="162"/>
      <c r="D16" s="162" t="s">
        <v>308</v>
      </c>
      <c r="E16" s="162" t="s">
        <v>310</v>
      </c>
      <c r="F16" s="65"/>
      <c r="G16" s="65"/>
      <c r="H16" s="171">
        <f>F16+G16</f>
        <v>0</v>
      </c>
    </row>
    <row r="17" spans="1:9" ht="14.25" x14ac:dyDescent="0.45">
      <c r="A17" s="162" t="s">
        <v>858</v>
      </c>
      <c r="B17" s="162">
        <f>ROW()</f>
        <v>17</v>
      </c>
      <c r="C17" s="162"/>
      <c r="D17" s="162" t="s">
        <v>308</v>
      </c>
      <c r="E17" s="162" t="s">
        <v>311</v>
      </c>
      <c r="F17" s="65"/>
      <c r="G17" s="65"/>
      <c r="H17" s="171">
        <f>F17+G17</f>
        <v>0</v>
      </c>
    </row>
    <row r="18" spans="1:9" ht="14.25" x14ac:dyDescent="0.45">
      <c r="A18" s="162" t="s">
        <v>858</v>
      </c>
      <c r="B18" s="162">
        <f>ROW()</f>
        <v>18</v>
      </c>
      <c r="C18" s="162"/>
      <c r="D18" s="162" t="s">
        <v>308</v>
      </c>
      <c r="E18" s="162" t="s">
        <v>312</v>
      </c>
      <c r="F18" s="65"/>
      <c r="G18" s="65"/>
      <c r="H18" s="171">
        <f>F18+G18</f>
        <v>0</v>
      </c>
    </row>
    <row r="19" spans="1:9" ht="14.25" x14ac:dyDescent="0.45">
      <c r="A19" s="162" t="s">
        <v>858</v>
      </c>
      <c r="B19" s="162">
        <f>ROW()</f>
        <v>19</v>
      </c>
      <c r="C19" s="162"/>
      <c r="D19" s="183" t="s">
        <v>308</v>
      </c>
      <c r="E19" s="162"/>
      <c r="F19" s="163">
        <f>SUM(F15:F18)</f>
        <v>0</v>
      </c>
      <c r="G19" s="163">
        <f>SUM(G15:G18)</f>
        <v>0</v>
      </c>
      <c r="H19" s="163">
        <f>SUM(H15:H18)</f>
        <v>0</v>
      </c>
    </row>
    <row r="20" spans="1:9" ht="14.25" x14ac:dyDescent="0.45">
      <c r="A20" s="162" t="s">
        <v>858</v>
      </c>
      <c r="B20" s="162">
        <f>ROW()</f>
        <v>20</v>
      </c>
      <c r="C20" s="162"/>
      <c r="D20" s="162" t="s">
        <v>313</v>
      </c>
      <c r="E20" s="162"/>
      <c r="F20" s="65"/>
      <c r="G20" s="65"/>
      <c r="H20" s="171">
        <f>F20+G20</f>
        <v>0</v>
      </c>
    </row>
    <row r="21" spans="1:9" ht="14.25" x14ac:dyDescent="0.45">
      <c r="A21" s="162" t="s">
        <v>858</v>
      </c>
      <c r="B21" s="162">
        <f>ROW()</f>
        <v>21</v>
      </c>
      <c r="C21" s="162"/>
      <c r="D21" s="183" t="s">
        <v>314</v>
      </c>
      <c r="E21" s="47"/>
      <c r="F21" s="163">
        <f>F7+F10+F14+F19+F20</f>
        <v>0</v>
      </c>
      <c r="G21" s="163">
        <f>G7+G10+G14+G19+G20</f>
        <v>0</v>
      </c>
      <c r="H21" s="163">
        <f>H7+H10+H14+H19+H20</f>
        <v>0</v>
      </c>
    </row>
    <row r="22" spans="1:9" ht="14.25" x14ac:dyDescent="0.45">
      <c r="A22" s="162" t="s">
        <v>858</v>
      </c>
      <c r="B22" s="162">
        <f>ROW()</f>
        <v>22</v>
      </c>
      <c r="C22" s="162"/>
      <c r="D22" s="162" t="s">
        <v>315</v>
      </c>
      <c r="E22" s="162" t="s">
        <v>316</v>
      </c>
      <c r="F22" s="65"/>
      <c r="G22" s="65"/>
      <c r="H22" s="171">
        <f>F22+G22</f>
        <v>0</v>
      </c>
    </row>
    <row r="23" spans="1:9" ht="14.25" x14ac:dyDescent="0.45">
      <c r="A23" s="162" t="s">
        <v>858</v>
      </c>
      <c r="B23" s="162">
        <f>ROW()</f>
        <v>23</v>
      </c>
      <c r="C23" s="162"/>
      <c r="D23" s="162" t="s">
        <v>315</v>
      </c>
      <c r="E23" s="162" t="s">
        <v>317</v>
      </c>
      <c r="F23" s="65"/>
      <c r="G23" s="65"/>
      <c r="H23" s="171">
        <f>F23+G23</f>
        <v>0</v>
      </c>
    </row>
    <row r="24" spans="1:9" ht="14.25" x14ac:dyDescent="0.45">
      <c r="A24" s="162" t="s">
        <v>858</v>
      </c>
      <c r="B24" s="162">
        <f>ROW()</f>
        <v>24</v>
      </c>
      <c r="C24" s="162"/>
      <c r="D24" s="183" t="s">
        <v>318</v>
      </c>
      <c r="E24" s="162"/>
      <c r="F24" s="163">
        <f>SUM(F22:F23)</f>
        <v>0</v>
      </c>
      <c r="G24" s="163">
        <f>SUM(G22:G23)</f>
        <v>0</v>
      </c>
      <c r="H24" s="163">
        <f>SUM(H22:H23)</f>
        <v>0</v>
      </c>
    </row>
    <row r="25" spans="1:9" ht="14.25" x14ac:dyDescent="0.45">
      <c r="A25" s="162" t="s">
        <v>858</v>
      </c>
      <c r="B25" s="162">
        <f>ROW()</f>
        <v>25</v>
      </c>
      <c r="C25" s="162"/>
      <c r="D25" s="183" t="s">
        <v>319</v>
      </c>
      <c r="E25" s="162"/>
      <c r="F25" s="163">
        <f>F21+F24</f>
        <v>0</v>
      </c>
      <c r="G25" s="163">
        <f>G21+G24</f>
        <v>0</v>
      </c>
      <c r="H25" s="163">
        <f>H21+H24</f>
        <v>0</v>
      </c>
    </row>
    <row r="26" spans="1:9" ht="14.25" x14ac:dyDescent="0.45">
      <c r="A26" s="162" t="s">
        <v>858</v>
      </c>
      <c r="B26" s="162">
        <f>ROW()</f>
        <v>26</v>
      </c>
      <c r="C26" s="162" t="s">
        <v>214</v>
      </c>
      <c r="D26" s="162" t="s">
        <v>320</v>
      </c>
      <c r="E26" s="162" t="s">
        <v>1289</v>
      </c>
      <c r="F26" s="65"/>
      <c r="G26" s="65"/>
      <c r="H26" s="171">
        <f>F26+G26</f>
        <v>0</v>
      </c>
    </row>
    <row r="27" spans="1:9" ht="14.25" x14ac:dyDescent="0.45">
      <c r="A27" s="162" t="s">
        <v>858</v>
      </c>
      <c r="B27" s="162">
        <f>ROW()</f>
        <v>27</v>
      </c>
      <c r="C27" s="162" t="s">
        <v>212</v>
      </c>
      <c r="D27" s="162" t="s">
        <v>320</v>
      </c>
      <c r="E27" s="162" t="s">
        <v>450</v>
      </c>
      <c r="F27" s="171">
        <f>F38</f>
        <v>0</v>
      </c>
      <c r="G27" s="171">
        <f>G38</f>
        <v>0</v>
      </c>
      <c r="H27" s="171">
        <f>H38</f>
        <v>0</v>
      </c>
    </row>
    <row r="28" spans="1:9" ht="14.25" x14ac:dyDescent="0.45">
      <c r="A28" s="162" t="s">
        <v>858</v>
      </c>
      <c r="B28" s="162">
        <f>ROW()</f>
        <v>28</v>
      </c>
      <c r="C28" s="162"/>
      <c r="D28" s="183" t="s">
        <v>320</v>
      </c>
      <c r="E28" s="162"/>
      <c r="F28" s="163">
        <f>F25+F26-F27</f>
        <v>0</v>
      </c>
      <c r="G28" s="163">
        <f>G25+G26-G27</f>
        <v>0</v>
      </c>
      <c r="H28" s="163">
        <f>H25+H26-H27</f>
        <v>0</v>
      </c>
      <c r="I28" s="38" t="s">
        <v>322</v>
      </c>
    </row>
    <row r="29" spans="1:9" ht="14.25" x14ac:dyDescent="0.45"/>
    <row r="30" spans="1:9" ht="14.25" x14ac:dyDescent="0.45"/>
    <row r="31" spans="1:9" ht="21" x14ac:dyDescent="0.65">
      <c r="A31" s="129" t="s">
        <v>809</v>
      </c>
    </row>
    <row r="32" spans="1:9" ht="37.9" customHeight="1" x14ac:dyDescent="0.45">
      <c r="A32" s="119" t="s">
        <v>78</v>
      </c>
      <c r="B32" s="119" t="s">
        <v>79</v>
      </c>
      <c r="C32" s="119" t="s">
        <v>208</v>
      </c>
      <c r="D32" s="119" t="s">
        <v>1244</v>
      </c>
      <c r="E32" s="119" t="s">
        <v>1245</v>
      </c>
      <c r="F32" s="119" t="s">
        <v>296</v>
      </c>
      <c r="G32" s="119" t="s">
        <v>297</v>
      </c>
      <c r="H32" s="119" t="s">
        <v>298</v>
      </c>
    </row>
    <row r="33" spans="1:8" ht="14.25" x14ac:dyDescent="0.45">
      <c r="A33" s="162" t="s">
        <v>809</v>
      </c>
      <c r="B33" s="162">
        <f>ROW()</f>
        <v>33</v>
      </c>
      <c r="C33" s="162"/>
      <c r="D33" s="162" t="s">
        <v>323</v>
      </c>
      <c r="E33" s="162"/>
      <c r="F33" s="65"/>
      <c r="G33" s="65"/>
      <c r="H33" s="171">
        <f>F33+G33</f>
        <v>0</v>
      </c>
    </row>
    <row r="34" spans="1:8" ht="14.25" x14ac:dyDescent="0.45">
      <c r="A34" s="162" t="s">
        <v>809</v>
      </c>
      <c r="B34" s="162">
        <f>ROW()</f>
        <v>34</v>
      </c>
      <c r="C34" s="162"/>
      <c r="D34" s="162" t="s">
        <v>302</v>
      </c>
      <c r="E34" s="162"/>
      <c r="F34" s="65"/>
      <c r="G34" s="65"/>
      <c r="H34" s="171">
        <f>F34+G34</f>
        <v>0</v>
      </c>
    </row>
    <row r="35" spans="1:8" ht="14.25" x14ac:dyDescent="0.45">
      <c r="A35" s="162" t="s">
        <v>809</v>
      </c>
      <c r="B35" s="162">
        <f>ROW()</f>
        <v>35</v>
      </c>
      <c r="C35" s="162"/>
      <c r="D35" s="162" t="s">
        <v>345</v>
      </c>
      <c r="E35" s="162"/>
      <c r="F35" s="65"/>
      <c r="G35" s="65"/>
      <c r="H35" s="171">
        <f>F35+G35</f>
        <v>0</v>
      </c>
    </row>
    <row r="36" spans="1:8" ht="14.25" x14ac:dyDescent="0.45">
      <c r="A36" s="162" t="s">
        <v>809</v>
      </c>
      <c r="B36" s="162">
        <f>ROW()</f>
        <v>36</v>
      </c>
      <c r="C36" s="162"/>
      <c r="D36" s="162" t="s">
        <v>308</v>
      </c>
      <c r="E36" s="162"/>
      <c r="F36" s="65"/>
      <c r="G36" s="65"/>
      <c r="H36" s="171">
        <f>F36+G36</f>
        <v>0</v>
      </c>
    </row>
    <row r="37" spans="1:8" ht="14.25" x14ac:dyDescent="0.45">
      <c r="A37" s="162" t="s">
        <v>809</v>
      </c>
      <c r="B37" s="162">
        <f>ROW()</f>
        <v>37</v>
      </c>
      <c r="C37" s="162"/>
      <c r="D37" s="162" t="s">
        <v>324</v>
      </c>
      <c r="E37" s="162"/>
      <c r="F37" s="65"/>
      <c r="G37" s="65"/>
      <c r="H37" s="171">
        <f>F37+G37</f>
        <v>0</v>
      </c>
    </row>
    <row r="38" spans="1:8" ht="14.25" x14ac:dyDescent="0.45">
      <c r="A38" s="162" t="s">
        <v>809</v>
      </c>
      <c r="B38" s="162">
        <f>ROW()</f>
        <v>38</v>
      </c>
      <c r="C38" s="162"/>
      <c r="D38" s="183" t="s">
        <v>325</v>
      </c>
      <c r="E38" s="162"/>
      <c r="F38" s="171">
        <f>SUM(F33:F37)</f>
        <v>0</v>
      </c>
      <c r="G38" s="171">
        <f>SUM(G33:G37)</f>
        <v>0</v>
      </c>
      <c r="H38" s="171">
        <f>SUM(H33:H37)</f>
        <v>0</v>
      </c>
    </row>
    <row r="39" spans="1:8" ht="14.25" x14ac:dyDescent="0.45">
      <c r="A39" s="162"/>
    </row>
    <row r="40" spans="1:8" ht="14.25" x14ac:dyDescent="0.45"/>
    <row r="41" spans="1:8" ht="21" x14ac:dyDescent="0.65">
      <c r="A41" s="129" t="s">
        <v>810</v>
      </c>
    </row>
    <row r="42" spans="1:8" ht="37.9" customHeight="1" x14ac:dyDescent="0.45">
      <c r="A42" s="119" t="s">
        <v>78</v>
      </c>
      <c r="B42" s="119" t="s">
        <v>79</v>
      </c>
      <c r="C42" s="119" t="s">
        <v>208</v>
      </c>
      <c r="D42" s="119" t="s">
        <v>1244</v>
      </c>
      <c r="E42" s="119" t="s">
        <v>1245</v>
      </c>
      <c r="F42" s="119" t="s">
        <v>296</v>
      </c>
      <c r="G42" s="119" t="s">
        <v>297</v>
      </c>
      <c r="H42" s="119" t="s">
        <v>298</v>
      </c>
    </row>
    <row r="43" spans="1:8" ht="14.25" x14ac:dyDescent="0.45">
      <c r="A43" s="162" t="s">
        <v>810</v>
      </c>
      <c r="B43" s="162">
        <f>ROW()</f>
        <v>43</v>
      </c>
      <c r="C43" s="162"/>
      <c r="D43" s="162" t="s">
        <v>1273</v>
      </c>
      <c r="E43" s="162"/>
      <c r="F43" s="173"/>
      <c r="G43" s="173"/>
      <c r="H43" s="171">
        <f>F43+G43</f>
        <v>0</v>
      </c>
    </row>
  </sheetData>
  <pageMargins left="0.70866141732283472" right="0.70866141732283472" top="0.74803149606299213" bottom="0.74803149606299213" header="0.31496062992125984" footer="0.31496062992125984"/>
  <pageSetup paperSize="9" scale="71" fitToHeight="0" orientation="landscape" r:id="rId1"/>
  <rowBreaks count="1" manualBreakCount="1">
    <brk id="40" max="9" man="1"/>
  </rowBreaks>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4CC2-6AAB-4FDB-90DA-B799D47D3392}">
  <sheetPr codeName="Sheet17">
    <pageSetUpPr fitToPage="1"/>
  </sheetPr>
  <dimension ref="A1:L60"/>
  <sheetViews>
    <sheetView zoomScale="85" zoomScaleNormal="85" workbookViewId="0"/>
  </sheetViews>
  <sheetFormatPr defaultRowHeight="14.45" customHeight="1" x14ac:dyDescent="0.45"/>
  <cols>
    <col min="1" max="1" width="24.86328125" customWidth="1"/>
    <col min="2" max="2" width="9" bestFit="1" customWidth="1"/>
    <col min="3" max="3" width="28.73046875" bestFit="1" customWidth="1"/>
    <col min="4" max="4" width="29.1328125" customWidth="1"/>
    <col min="5" max="5" width="19.86328125" bestFit="1" customWidth="1"/>
    <col min="6" max="6" width="16.86328125" bestFit="1" customWidth="1"/>
    <col min="7" max="7" width="14.59765625" bestFit="1" customWidth="1"/>
    <col min="8" max="8" width="20.265625" bestFit="1" customWidth="1"/>
    <col min="9" max="9" width="16.86328125" bestFit="1" customWidth="1"/>
    <col min="10" max="10" width="14.59765625" bestFit="1" customWidth="1"/>
    <col min="16" max="16" width="15.86328125" customWidth="1"/>
  </cols>
  <sheetData>
    <row r="1" spans="1:12" ht="23.25" x14ac:dyDescent="0.45">
      <c r="A1" s="146" t="s">
        <v>1163</v>
      </c>
    </row>
    <row r="2" spans="1:12" ht="21" x14ac:dyDescent="0.65">
      <c r="A2" s="129" t="s">
        <v>806</v>
      </c>
    </row>
    <row r="3" spans="1:12" ht="37.9" customHeight="1" x14ac:dyDescent="0.45">
      <c r="A3" s="119" t="s">
        <v>78</v>
      </c>
      <c r="B3" s="119" t="s">
        <v>79</v>
      </c>
      <c r="C3" s="119" t="s">
        <v>1244</v>
      </c>
      <c r="D3" s="119" t="s">
        <v>1245</v>
      </c>
      <c r="E3" s="119" t="s">
        <v>1286</v>
      </c>
      <c r="F3" s="119" t="s">
        <v>1024</v>
      </c>
      <c r="G3" s="119" t="s">
        <v>1025</v>
      </c>
      <c r="H3" s="119" t="s">
        <v>1287</v>
      </c>
      <c r="I3" s="119" t="s">
        <v>1283</v>
      </c>
      <c r="J3" s="119" t="s">
        <v>1026</v>
      </c>
    </row>
    <row r="4" spans="1:12" ht="14.25" x14ac:dyDescent="0.45">
      <c r="A4" t="s">
        <v>806</v>
      </c>
      <c r="B4" s="162">
        <f>ROW()</f>
        <v>4</v>
      </c>
      <c r="C4" s="162" t="s">
        <v>93</v>
      </c>
      <c r="D4" s="162" t="s">
        <v>326</v>
      </c>
      <c r="E4" s="65"/>
      <c r="F4" s="65"/>
      <c r="G4" s="184" t="str">
        <f>IFERROR((E4-F4)/E4,"")</f>
        <v/>
      </c>
      <c r="H4" s="65"/>
      <c r="I4" s="65"/>
      <c r="J4" s="184" t="str">
        <f t="shared" ref="J4:J9" si="0">IFERROR((H4-I4)/H4,"")</f>
        <v/>
      </c>
      <c r="L4" t="s">
        <v>327</v>
      </c>
    </row>
    <row r="5" spans="1:12" ht="14.25" x14ac:dyDescent="0.45">
      <c r="A5" t="s">
        <v>806</v>
      </c>
      <c r="B5" s="162">
        <f>ROW()</f>
        <v>5</v>
      </c>
      <c r="C5" s="162" t="s">
        <v>93</v>
      </c>
      <c r="D5" s="162" t="s">
        <v>328</v>
      </c>
      <c r="E5" s="65"/>
      <c r="F5" s="65"/>
      <c r="G5" s="184" t="str">
        <f t="shared" ref="G5:G9" si="1">IFERROR((E5-F5)/E5,"")</f>
        <v/>
      </c>
      <c r="H5" s="65"/>
      <c r="I5" s="65"/>
      <c r="J5" s="184" t="str">
        <f t="shared" si="0"/>
        <v/>
      </c>
      <c r="L5" t="s">
        <v>327</v>
      </c>
    </row>
    <row r="6" spans="1:12" ht="14.25" x14ac:dyDescent="0.45">
      <c r="A6" t="s">
        <v>806</v>
      </c>
      <c r="B6" s="162">
        <f>ROW()</f>
        <v>6</v>
      </c>
      <c r="C6" s="162" t="s">
        <v>93</v>
      </c>
      <c r="D6" s="162" t="s">
        <v>329</v>
      </c>
      <c r="E6" s="65"/>
      <c r="F6" s="65"/>
      <c r="G6" s="184" t="str">
        <f t="shared" si="1"/>
        <v/>
      </c>
      <c r="H6" s="65"/>
      <c r="I6" s="65"/>
      <c r="J6" s="184" t="str">
        <f t="shared" si="0"/>
        <v/>
      </c>
      <c r="L6" t="s">
        <v>327</v>
      </c>
    </row>
    <row r="7" spans="1:12" ht="14.25" x14ac:dyDescent="0.45">
      <c r="A7" t="s">
        <v>806</v>
      </c>
      <c r="B7" s="162">
        <f>ROW()</f>
        <v>7</v>
      </c>
      <c r="C7" s="183" t="s">
        <v>330</v>
      </c>
      <c r="D7" s="162"/>
      <c r="E7" s="158">
        <f>SUM(E4:E6)</f>
        <v>0</v>
      </c>
      <c r="F7" s="158">
        <f>SUM(F4:F6)</f>
        <v>0</v>
      </c>
      <c r="G7" s="184" t="str">
        <f t="shared" si="1"/>
        <v/>
      </c>
      <c r="H7" s="158">
        <f>SUM(H4:H6)</f>
        <v>0</v>
      </c>
      <c r="I7" s="158">
        <f>SUM(I4:I6)</f>
        <v>0</v>
      </c>
      <c r="J7" s="184" t="str">
        <f t="shared" si="0"/>
        <v/>
      </c>
      <c r="L7" t="s">
        <v>331</v>
      </c>
    </row>
    <row r="8" spans="1:12" ht="14.25" x14ac:dyDescent="0.45">
      <c r="A8" t="s">
        <v>806</v>
      </c>
      <c r="B8" s="162">
        <f>ROW()</f>
        <v>8</v>
      </c>
      <c r="C8" s="162" t="s">
        <v>1280</v>
      </c>
      <c r="D8" s="162" t="s">
        <v>332</v>
      </c>
      <c r="E8" s="185"/>
      <c r="F8" s="185"/>
      <c r="G8" s="184" t="str">
        <f t="shared" si="1"/>
        <v/>
      </c>
      <c r="H8" s="185"/>
      <c r="I8" s="185"/>
      <c r="J8" s="184" t="str">
        <f t="shared" si="0"/>
        <v/>
      </c>
      <c r="L8" t="s">
        <v>1281</v>
      </c>
    </row>
    <row r="9" spans="1:12" ht="14.25" x14ac:dyDescent="0.45">
      <c r="A9" t="s">
        <v>806</v>
      </c>
      <c r="B9" s="162">
        <f>ROW()</f>
        <v>9</v>
      </c>
      <c r="C9" s="162" t="s">
        <v>1280</v>
      </c>
      <c r="D9" s="162" t="s">
        <v>333</v>
      </c>
      <c r="E9" s="185"/>
      <c r="F9" s="185"/>
      <c r="G9" s="184" t="str">
        <f t="shared" si="1"/>
        <v/>
      </c>
      <c r="H9" s="185"/>
      <c r="I9" s="185"/>
      <c r="J9" s="184" t="str">
        <f t="shared" si="0"/>
        <v/>
      </c>
      <c r="L9" t="s">
        <v>1282</v>
      </c>
    </row>
    <row r="10" spans="1:12" ht="14.25" x14ac:dyDescent="0.45"/>
    <row r="11" spans="1:12" ht="14.25" x14ac:dyDescent="0.45"/>
    <row r="12" spans="1:12" ht="21" x14ac:dyDescent="0.65">
      <c r="A12" s="129" t="s">
        <v>807</v>
      </c>
    </row>
    <row r="13" spans="1:12" ht="37.9" customHeight="1" x14ac:dyDescent="0.45">
      <c r="A13" s="119" t="s">
        <v>78</v>
      </c>
      <c r="B13" s="119" t="s">
        <v>79</v>
      </c>
      <c r="C13" s="119" t="s">
        <v>1244</v>
      </c>
      <c r="D13" s="119" t="s">
        <v>1245</v>
      </c>
      <c r="E13" s="119" t="s">
        <v>1284</v>
      </c>
      <c r="F13" s="119" t="s">
        <v>1024</v>
      </c>
      <c r="G13" s="119" t="s">
        <v>1025</v>
      </c>
      <c r="H13" s="119" t="s">
        <v>1285</v>
      </c>
      <c r="I13" s="119" t="s">
        <v>1283</v>
      </c>
      <c r="J13" s="119" t="s">
        <v>1026</v>
      </c>
    </row>
    <row r="14" spans="1:12" ht="14.25" x14ac:dyDescent="0.45">
      <c r="A14" t="s">
        <v>807</v>
      </c>
      <c r="B14" s="162">
        <f>ROW()</f>
        <v>14</v>
      </c>
      <c r="C14" s="162" t="s">
        <v>299</v>
      </c>
      <c r="D14" s="162" t="s">
        <v>300</v>
      </c>
      <c r="E14" s="156"/>
      <c r="F14" s="158">
        <f>'S6.Actual Expenditure Capex'!F4</f>
        <v>0</v>
      </c>
      <c r="G14" s="186" t="str">
        <f t="shared" ref="G14:G35" si="2">IFERROR((E14-F14)/E14,"")</f>
        <v/>
      </c>
      <c r="H14" s="156"/>
      <c r="I14" s="158">
        <f>'S6.Actual Expenditure Capex'!G4</f>
        <v>0</v>
      </c>
      <c r="J14" s="186" t="str">
        <f t="shared" ref="J14:J35" si="3">IFERROR((H14-I14)/H14,"")</f>
        <v/>
      </c>
      <c r="L14" t="s">
        <v>268</v>
      </c>
    </row>
    <row r="15" spans="1:12" ht="14.25" x14ac:dyDescent="0.45">
      <c r="A15" t="s">
        <v>807</v>
      </c>
      <c r="B15" s="162">
        <f>ROW()</f>
        <v>15</v>
      </c>
      <c r="C15" s="162" t="s">
        <v>299</v>
      </c>
      <c r="D15" s="162" t="s">
        <v>334</v>
      </c>
      <c r="E15" s="156"/>
      <c r="F15" s="158">
        <f>'S6.Actual Expenditure Capex'!F5</f>
        <v>0</v>
      </c>
      <c r="G15" s="186" t="str">
        <f t="shared" si="2"/>
        <v/>
      </c>
      <c r="H15" s="156"/>
      <c r="I15" s="158">
        <f>'S6.Actual Expenditure Capex'!G5</f>
        <v>0</v>
      </c>
      <c r="J15" s="186" t="str">
        <f t="shared" si="3"/>
        <v/>
      </c>
      <c r="L15" t="s">
        <v>268</v>
      </c>
    </row>
    <row r="16" spans="1:12" ht="14.25" x14ac:dyDescent="0.45">
      <c r="A16" t="s">
        <v>807</v>
      </c>
      <c r="B16" s="162">
        <f>ROW()</f>
        <v>16</v>
      </c>
      <c r="C16" s="162" t="s">
        <v>299</v>
      </c>
      <c r="D16" s="162" t="s">
        <v>335</v>
      </c>
      <c r="E16" s="156"/>
      <c r="F16" s="158">
        <f>'S6.Actual Expenditure Capex'!F6</f>
        <v>0</v>
      </c>
      <c r="G16" s="186" t="str">
        <f t="shared" si="2"/>
        <v/>
      </c>
      <c r="H16" s="156"/>
      <c r="I16" s="158">
        <f>'S6.Actual Expenditure Capex'!G6</f>
        <v>0</v>
      </c>
      <c r="J16" s="186" t="str">
        <f t="shared" si="3"/>
        <v/>
      </c>
      <c r="L16" t="s">
        <v>268</v>
      </c>
    </row>
    <row r="17" spans="1:12" ht="14.25" x14ac:dyDescent="0.45">
      <c r="A17" t="s">
        <v>807</v>
      </c>
      <c r="B17" s="162">
        <f>ROW()</f>
        <v>17</v>
      </c>
      <c r="C17" s="183" t="s">
        <v>299</v>
      </c>
      <c r="D17" s="162"/>
      <c r="E17" s="158">
        <f t="shared" ref="E17" si="4">SUM(E14:E16)</f>
        <v>0</v>
      </c>
      <c r="F17" s="158">
        <f>SUM(F14:F16)</f>
        <v>0</v>
      </c>
      <c r="G17" s="186" t="str">
        <f t="shared" si="2"/>
        <v/>
      </c>
      <c r="H17" s="158">
        <f>SUM(H14:H16)</f>
        <v>0</v>
      </c>
      <c r="I17" s="158">
        <f>SUM(I14:I16)</f>
        <v>0</v>
      </c>
      <c r="J17" s="186" t="str">
        <f t="shared" si="3"/>
        <v/>
      </c>
    </row>
    <row r="18" spans="1:12" ht="14.25" x14ac:dyDescent="0.45">
      <c r="A18" t="s">
        <v>807</v>
      </c>
      <c r="B18" s="162">
        <f>ROW()</f>
        <v>18</v>
      </c>
      <c r="C18" s="162" t="s">
        <v>302</v>
      </c>
      <c r="D18" s="162" t="s">
        <v>336</v>
      </c>
      <c r="E18" s="156"/>
      <c r="F18" s="158">
        <f>'S6.Actual Expenditure Capex'!F8</f>
        <v>0</v>
      </c>
      <c r="G18" s="186" t="str">
        <f t="shared" si="2"/>
        <v/>
      </c>
      <c r="H18" s="156"/>
      <c r="I18" s="158">
        <f>'S6.Actual Expenditure Capex'!G8</f>
        <v>0</v>
      </c>
      <c r="J18" s="186" t="str">
        <f t="shared" si="3"/>
        <v/>
      </c>
      <c r="L18" t="s">
        <v>268</v>
      </c>
    </row>
    <row r="19" spans="1:12" ht="14.25" x14ac:dyDescent="0.45">
      <c r="A19" t="s">
        <v>807</v>
      </c>
      <c r="B19" s="162">
        <f>ROW()</f>
        <v>19</v>
      </c>
      <c r="C19" s="162" t="s">
        <v>302</v>
      </c>
      <c r="D19" s="162" t="s">
        <v>304</v>
      </c>
      <c r="E19" s="156"/>
      <c r="F19" s="158">
        <f>'S6.Actual Expenditure Capex'!F9</f>
        <v>0</v>
      </c>
      <c r="G19" s="186" t="str">
        <f t="shared" si="2"/>
        <v/>
      </c>
      <c r="H19" s="156"/>
      <c r="I19" s="158">
        <f>'S6.Actual Expenditure Capex'!G9</f>
        <v>0</v>
      </c>
      <c r="J19" s="186" t="str">
        <f t="shared" si="3"/>
        <v/>
      </c>
      <c r="L19" t="s">
        <v>268</v>
      </c>
    </row>
    <row r="20" spans="1:12" ht="14.25" x14ac:dyDescent="0.45">
      <c r="A20" t="s">
        <v>807</v>
      </c>
      <c r="B20" s="162">
        <f>ROW()</f>
        <v>20</v>
      </c>
      <c r="C20" s="183" t="s">
        <v>302</v>
      </c>
      <c r="D20" s="162"/>
      <c r="E20" s="158">
        <f>SUM(E18:E19)</f>
        <v>0</v>
      </c>
      <c r="F20" s="158">
        <f>SUM(F18:F19)</f>
        <v>0</v>
      </c>
      <c r="G20" s="186" t="str">
        <f t="shared" si="2"/>
        <v/>
      </c>
      <c r="H20" s="158">
        <f>SUM(H18:H19)</f>
        <v>0</v>
      </c>
      <c r="I20" s="158">
        <f>SUM(I18:I19)</f>
        <v>0</v>
      </c>
      <c r="J20" s="186" t="str">
        <f t="shared" si="3"/>
        <v/>
      </c>
    </row>
    <row r="21" spans="1:12" ht="14.25" x14ac:dyDescent="0.45">
      <c r="A21" t="s">
        <v>807</v>
      </c>
      <c r="B21" s="162">
        <f>ROW()</f>
        <v>21</v>
      </c>
      <c r="C21" s="162" t="s">
        <v>345</v>
      </c>
      <c r="D21" s="162" t="s">
        <v>305</v>
      </c>
      <c r="E21" s="156"/>
      <c r="F21" s="158">
        <f>'S6.Actual Expenditure Capex'!F11</f>
        <v>0</v>
      </c>
      <c r="G21" s="186" t="str">
        <f t="shared" si="2"/>
        <v/>
      </c>
      <c r="H21" s="156"/>
      <c r="I21" s="158">
        <f>'S6.Actual Expenditure Capex'!G11</f>
        <v>0</v>
      </c>
      <c r="J21" s="186" t="str">
        <f t="shared" si="3"/>
        <v/>
      </c>
      <c r="L21" t="s">
        <v>268</v>
      </c>
    </row>
    <row r="22" spans="1:12" ht="14.25" x14ac:dyDescent="0.45">
      <c r="A22" t="s">
        <v>807</v>
      </c>
      <c r="B22" s="162">
        <f>ROW()</f>
        <v>22</v>
      </c>
      <c r="C22" s="162" t="s">
        <v>345</v>
      </c>
      <c r="D22" s="162" t="s">
        <v>306</v>
      </c>
      <c r="E22" s="156"/>
      <c r="F22" s="158">
        <f>'S6.Actual Expenditure Capex'!F12</f>
        <v>0</v>
      </c>
      <c r="G22" s="186" t="str">
        <f t="shared" si="2"/>
        <v/>
      </c>
      <c r="H22" s="156"/>
      <c r="I22" s="158">
        <f>'S6.Actual Expenditure Capex'!G12</f>
        <v>0</v>
      </c>
      <c r="J22" s="186" t="str">
        <f t="shared" si="3"/>
        <v/>
      </c>
      <c r="L22" t="s">
        <v>268</v>
      </c>
    </row>
    <row r="23" spans="1:12" ht="14.25" x14ac:dyDescent="0.45">
      <c r="A23" t="s">
        <v>807</v>
      </c>
      <c r="B23" s="162">
        <f>ROW()</f>
        <v>23</v>
      </c>
      <c r="C23" s="162" t="s">
        <v>345</v>
      </c>
      <c r="D23" s="162" t="s">
        <v>307</v>
      </c>
      <c r="E23" s="156"/>
      <c r="F23" s="158">
        <f>'S6.Actual Expenditure Capex'!F13</f>
        <v>0</v>
      </c>
      <c r="G23" s="186" t="str">
        <f t="shared" si="2"/>
        <v/>
      </c>
      <c r="H23" s="156"/>
      <c r="I23" s="158">
        <f>'S6.Actual Expenditure Capex'!G13</f>
        <v>0</v>
      </c>
      <c r="J23" s="186" t="str">
        <f t="shared" si="3"/>
        <v/>
      </c>
      <c r="L23" t="s">
        <v>268</v>
      </c>
    </row>
    <row r="24" spans="1:12" ht="14.25" x14ac:dyDescent="0.45">
      <c r="A24" t="s">
        <v>807</v>
      </c>
      <c r="B24" s="162">
        <f>ROW()</f>
        <v>24</v>
      </c>
      <c r="C24" s="183" t="s">
        <v>345</v>
      </c>
      <c r="D24" s="162"/>
      <c r="E24" s="158">
        <f>SUM(E21:E23)</f>
        <v>0</v>
      </c>
      <c r="F24" s="158">
        <f>SUM(F21:F23)</f>
        <v>0</v>
      </c>
      <c r="G24" s="186" t="str">
        <f t="shared" si="2"/>
        <v/>
      </c>
      <c r="H24" s="158">
        <f>SUM(H21:H23)</f>
        <v>0</v>
      </c>
      <c r="I24" s="158">
        <f>SUM(I21:I23)</f>
        <v>0</v>
      </c>
      <c r="J24" s="186" t="str">
        <f t="shared" si="3"/>
        <v/>
      </c>
    </row>
    <row r="25" spans="1:12" ht="14.25" x14ac:dyDescent="0.45">
      <c r="A25" t="s">
        <v>807</v>
      </c>
      <c r="B25" s="162">
        <f>ROW()</f>
        <v>25</v>
      </c>
      <c r="C25" s="162" t="s">
        <v>308</v>
      </c>
      <c r="D25" s="162" t="s">
        <v>309</v>
      </c>
      <c r="E25" s="156"/>
      <c r="F25" s="158">
        <f>'S6.Actual Expenditure Capex'!F15</f>
        <v>0</v>
      </c>
      <c r="G25" s="186" t="str">
        <f t="shared" si="2"/>
        <v/>
      </c>
      <c r="H25" s="156"/>
      <c r="I25" s="158">
        <f>'S6.Actual Expenditure Capex'!G15</f>
        <v>0</v>
      </c>
      <c r="J25" s="186" t="str">
        <f t="shared" si="3"/>
        <v/>
      </c>
      <c r="L25" t="s">
        <v>268</v>
      </c>
    </row>
    <row r="26" spans="1:12" ht="14.25" x14ac:dyDescent="0.45">
      <c r="A26" t="s">
        <v>807</v>
      </c>
      <c r="B26" s="162">
        <f>ROW()</f>
        <v>26</v>
      </c>
      <c r="C26" s="162" t="s">
        <v>308</v>
      </c>
      <c r="D26" s="162" t="s">
        <v>310</v>
      </c>
      <c r="E26" s="156"/>
      <c r="F26" s="158">
        <f>'S6.Actual Expenditure Capex'!F16</f>
        <v>0</v>
      </c>
      <c r="G26" s="186" t="str">
        <f t="shared" si="2"/>
        <v/>
      </c>
      <c r="H26" s="156"/>
      <c r="I26" s="158">
        <f>'S6.Actual Expenditure Capex'!G16</f>
        <v>0</v>
      </c>
      <c r="J26" s="186" t="str">
        <f t="shared" si="3"/>
        <v/>
      </c>
      <c r="L26" t="s">
        <v>268</v>
      </c>
    </row>
    <row r="27" spans="1:12" ht="14.25" x14ac:dyDescent="0.45">
      <c r="A27" t="s">
        <v>807</v>
      </c>
      <c r="B27" s="162">
        <f>ROW()</f>
        <v>27</v>
      </c>
      <c r="C27" s="162" t="s">
        <v>308</v>
      </c>
      <c r="D27" s="162" t="s">
        <v>311</v>
      </c>
      <c r="E27" s="156"/>
      <c r="F27" s="158">
        <f>'S6.Actual Expenditure Capex'!F17</f>
        <v>0</v>
      </c>
      <c r="G27" s="186" t="str">
        <f t="shared" si="2"/>
        <v/>
      </c>
      <c r="H27" s="156"/>
      <c r="I27" s="158">
        <f>'S6.Actual Expenditure Capex'!G17</f>
        <v>0</v>
      </c>
      <c r="J27" s="186" t="str">
        <f t="shared" si="3"/>
        <v/>
      </c>
      <c r="L27" t="s">
        <v>268</v>
      </c>
    </row>
    <row r="28" spans="1:12" ht="14.25" x14ac:dyDescent="0.45">
      <c r="A28" t="s">
        <v>807</v>
      </c>
      <c r="B28" s="162">
        <f>ROW()</f>
        <v>28</v>
      </c>
      <c r="C28" s="162" t="s">
        <v>308</v>
      </c>
      <c r="D28" s="162" t="s">
        <v>312</v>
      </c>
      <c r="E28" s="156"/>
      <c r="F28" s="158">
        <f>'S6.Actual Expenditure Capex'!F18</f>
        <v>0</v>
      </c>
      <c r="G28" s="186" t="str">
        <f t="shared" si="2"/>
        <v/>
      </c>
      <c r="H28" s="156"/>
      <c r="I28" s="158">
        <f>'S6.Actual Expenditure Capex'!G18</f>
        <v>0</v>
      </c>
      <c r="J28" s="186" t="str">
        <f t="shared" si="3"/>
        <v/>
      </c>
      <c r="L28" t="s">
        <v>268</v>
      </c>
    </row>
    <row r="29" spans="1:12" ht="14.25" x14ac:dyDescent="0.45">
      <c r="A29" t="s">
        <v>807</v>
      </c>
      <c r="B29" s="162">
        <f>ROW()</f>
        <v>29</v>
      </c>
      <c r="C29" s="183" t="s">
        <v>308</v>
      </c>
      <c r="D29" s="162"/>
      <c r="E29" s="158">
        <f>SUM(E25:E28)</f>
        <v>0</v>
      </c>
      <c r="F29" s="158">
        <f>SUM(F25:F28)</f>
        <v>0</v>
      </c>
      <c r="G29" s="186" t="str">
        <f t="shared" si="2"/>
        <v/>
      </c>
      <c r="H29" s="158">
        <f>SUM(H25:H28)</f>
        <v>0</v>
      </c>
      <c r="I29" s="158">
        <f>SUM(I25:I28)</f>
        <v>0</v>
      </c>
      <c r="J29" s="186" t="str">
        <f t="shared" si="3"/>
        <v/>
      </c>
    </row>
    <row r="30" spans="1:12" ht="14.25" x14ac:dyDescent="0.45">
      <c r="A30" t="s">
        <v>807</v>
      </c>
      <c r="B30" s="162">
        <f>ROW()</f>
        <v>30</v>
      </c>
      <c r="C30" s="162" t="s">
        <v>337</v>
      </c>
      <c r="D30" s="162" t="s">
        <v>338</v>
      </c>
      <c r="E30" s="156"/>
      <c r="F30" s="158">
        <f>'S6.Actual Expenditure Capex'!F20</f>
        <v>0</v>
      </c>
      <c r="G30" s="186" t="str">
        <f t="shared" si="2"/>
        <v/>
      </c>
      <c r="H30" s="156"/>
      <c r="I30" s="158">
        <f>'S6.Actual Expenditure Capex'!G20</f>
        <v>0</v>
      </c>
      <c r="J30" s="186" t="str">
        <f t="shared" si="3"/>
        <v/>
      </c>
      <c r="L30" t="s">
        <v>268</v>
      </c>
    </row>
    <row r="31" spans="1:12" ht="14.25" x14ac:dyDescent="0.45">
      <c r="A31" t="s">
        <v>807</v>
      </c>
      <c r="B31" s="162">
        <f>ROW()</f>
        <v>31</v>
      </c>
      <c r="C31" s="183" t="s">
        <v>314</v>
      </c>
      <c r="D31" s="162"/>
      <c r="E31" s="158">
        <f>E17+E20+E24+E29+E30</f>
        <v>0</v>
      </c>
      <c r="F31" s="158">
        <f>F17+F20+F24+F29+F30</f>
        <v>0</v>
      </c>
      <c r="G31" s="186" t="str">
        <f t="shared" si="2"/>
        <v/>
      </c>
      <c r="H31" s="158">
        <f>H17+H20+H24+H29+H30</f>
        <v>0</v>
      </c>
      <c r="I31" s="158">
        <f>I17+I20+I24+I29+I30</f>
        <v>0</v>
      </c>
      <c r="J31" s="186" t="str">
        <f t="shared" si="3"/>
        <v/>
      </c>
    </row>
    <row r="32" spans="1:12" ht="14.25" x14ac:dyDescent="0.45">
      <c r="A32" t="s">
        <v>807</v>
      </c>
      <c r="B32" s="162">
        <f>ROW()</f>
        <v>32</v>
      </c>
      <c r="C32" s="162" t="s">
        <v>337</v>
      </c>
      <c r="D32" s="162" t="s">
        <v>316</v>
      </c>
      <c r="E32" s="156"/>
      <c r="F32" s="158">
        <f>'S6.Actual Expenditure Capex'!F22</f>
        <v>0</v>
      </c>
      <c r="G32" s="186" t="str">
        <f t="shared" si="2"/>
        <v/>
      </c>
      <c r="H32" s="156"/>
      <c r="I32" s="158">
        <f>'S6.Actual Expenditure Capex'!G22</f>
        <v>0</v>
      </c>
      <c r="J32" s="186" t="str">
        <f t="shared" si="3"/>
        <v/>
      </c>
    </row>
    <row r="33" spans="1:12" ht="14.25" x14ac:dyDescent="0.45">
      <c r="A33" t="s">
        <v>807</v>
      </c>
      <c r="B33" s="162">
        <f>ROW()</f>
        <v>33</v>
      </c>
      <c r="C33" s="162" t="s">
        <v>337</v>
      </c>
      <c r="D33" s="162" t="s">
        <v>317</v>
      </c>
      <c r="E33" s="156"/>
      <c r="F33" s="158">
        <f>'S6.Actual Expenditure Capex'!F23</f>
        <v>0</v>
      </c>
      <c r="G33" s="186" t="str">
        <f t="shared" si="2"/>
        <v/>
      </c>
      <c r="H33" s="156"/>
      <c r="I33" s="158">
        <f>'S6.Actual Expenditure Capex'!G23</f>
        <v>0</v>
      </c>
      <c r="J33" s="186" t="str">
        <f t="shared" si="3"/>
        <v/>
      </c>
      <c r="L33" t="s">
        <v>268</v>
      </c>
    </row>
    <row r="34" spans="1:12" ht="14.25" x14ac:dyDescent="0.45">
      <c r="A34" t="s">
        <v>807</v>
      </c>
      <c r="B34" s="162">
        <f>ROW()</f>
        <v>34</v>
      </c>
      <c r="C34" s="183" t="s">
        <v>318</v>
      </c>
      <c r="D34" s="162"/>
      <c r="E34" s="158">
        <f>SUM(E32:E33)</f>
        <v>0</v>
      </c>
      <c r="F34" s="158">
        <f>SUM(F32:F33)</f>
        <v>0</v>
      </c>
      <c r="G34" s="186" t="str">
        <f t="shared" si="2"/>
        <v/>
      </c>
      <c r="H34" s="158">
        <f>SUM(H32:H33)</f>
        <v>0</v>
      </c>
      <c r="I34" s="158">
        <f>SUM(I32:I33)</f>
        <v>0</v>
      </c>
      <c r="J34" s="186" t="str">
        <f t="shared" si="3"/>
        <v/>
      </c>
      <c r="L34" t="s">
        <v>268</v>
      </c>
    </row>
    <row r="35" spans="1:12" ht="14.25" x14ac:dyDescent="0.45">
      <c r="A35" t="s">
        <v>807</v>
      </c>
      <c r="B35" s="162">
        <f>ROW()</f>
        <v>35</v>
      </c>
      <c r="C35" s="183" t="s">
        <v>319</v>
      </c>
      <c r="D35" s="162"/>
      <c r="E35" s="158">
        <f>E31+E34</f>
        <v>0</v>
      </c>
      <c r="F35" s="158">
        <f>F31+F34</f>
        <v>0</v>
      </c>
      <c r="G35" s="186" t="str">
        <f t="shared" si="2"/>
        <v/>
      </c>
      <c r="H35" s="158">
        <f>H31+H34</f>
        <v>0</v>
      </c>
      <c r="I35" s="158">
        <f>I31+I34</f>
        <v>0</v>
      </c>
      <c r="J35" s="186" t="str">
        <f t="shared" si="3"/>
        <v/>
      </c>
      <c r="L35" t="s">
        <v>268</v>
      </c>
    </row>
    <row r="36" spans="1:12" ht="14.25" x14ac:dyDescent="0.45"/>
    <row r="37" spans="1:12" ht="14.25" x14ac:dyDescent="0.45"/>
    <row r="38" spans="1:12" ht="21" x14ac:dyDescent="0.65">
      <c r="A38" s="129" t="s">
        <v>808</v>
      </c>
    </row>
    <row r="39" spans="1:12" ht="37.9" customHeight="1" x14ac:dyDescent="0.45">
      <c r="A39" s="119" t="s">
        <v>78</v>
      </c>
      <c r="B39" s="119" t="s">
        <v>79</v>
      </c>
      <c r="C39" s="119" t="s">
        <v>1244</v>
      </c>
      <c r="D39" s="119" t="s">
        <v>1245</v>
      </c>
      <c r="E39" s="119" t="s">
        <v>1284</v>
      </c>
      <c r="F39" s="119" t="s">
        <v>1024</v>
      </c>
      <c r="G39" s="119" t="s">
        <v>1025</v>
      </c>
      <c r="H39" s="119" t="s">
        <v>1285</v>
      </c>
      <c r="I39" s="119" t="s">
        <v>1283</v>
      </c>
      <c r="J39" s="119" t="s">
        <v>1026</v>
      </c>
    </row>
    <row r="40" spans="1:12" ht="14.25" x14ac:dyDescent="0.45">
      <c r="A40" s="162" t="s">
        <v>808</v>
      </c>
      <c r="B40" s="162">
        <f>ROW()</f>
        <v>40</v>
      </c>
      <c r="C40" s="162" t="s">
        <v>286</v>
      </c>
      <c r="D40" s="162" t="s">
        <v>272</v>
      </c>
      <c r="E40" s="151"/>
      <c r="F40" s="153">
        <f>'S5.Actual Expenditure Opex'!E4</f>
        <v>0</v>
      </c>
      <c r="G40" s="186" t="str">
        <f t="shared" ref="G40:G51" si="5">IFERROR((E40-F40)/E40,"")</f>
        <v/>
      </c>
      <c r="H40" s="151"/>
      <c r="I40" s="153">
        <f>'S5.Actual Expenditure Opex'!F4</f>
        <v>0</v>
      </c>
      <c r="J40" s="186" t="str">
        <f t="shared" ref="J40:J51" si="6">IFERROR((H40-I40)/H40,"")</f>
        <v/>
      </c>
      <c r="L40" t="s">
        <v>142</v>
      </c>
    </row>
    <row r="41" spans="1:12" ht="14.25" x14ac:dyDescent="0.45">
      <c r="A41" s="162" t="s">
        <v>808</v>
      </c>
      <c r="B41" s="162">
        <f>ROW()</f>
        <v>41</v>
      </c>
      <c r="C41" s="162" t="s">
        <v>286</v>
      </c>
      <c r="D41" s="162" t="s">
        <v>273</v>
      </c>
      <c r="E41" s="151"/>
      <c r="F41" s="153">
        <f>'S5.Actual Expenditure Opex'!E5</f>
        <v>0</v>
      </c>
      <c r="G41" s="186" t="str">
        <f t="shared" si="5"/>
        <v/>
      </c>
      <c r="H41" s="151"/>
      <c r="I41" s="153">
        <f>'S5.Actual Expenditure Opex'!F5</f>
        <v>0</v>
      </c>
      <c r="J41" s="186" t="str">
        <f t="shared" si="6"/>
        <v/>
      </c>
      <c r="L41" t="s">
        <v>142</v>
      </c>
    </row>
    <row r="42" spans="1:12" ht="14.25" x14ac:dyDescent="0.45">
      <c r="A42" t="s">
        <v>808</v>
      </c>
      <c r="B42">
        <f>ROW()</f>
        <v>42</v>
      </c>
      <c r="C42" t="s">
        <v>287</v>
      </c>
      <c r="E42" s="156"/>
      <c r="F42" s="153">
        <f>'S5.Actual Expenditure Opex'!E6</f>
        <v>0</v>
      </c>
      <c r="G42" s="186" t="str">
        <f t="shared" si="5"/>
        <v/>
      </c>
      <c r="H42" s="151"/>
      <c r="I42" s="153">
        <f>'S5.Actual Expenditure Opex'!F6</f>
        <v>0</v>
      </c>
      <c r="J42" s="186" t="str">
        <f t="shared" si="6"/>
        <v/>
      </c>
      <c r="L42" t="s">
        <v>142</v>
      </c>
    </row>
    <row r="43" spans="1:12" ht="14.25" x14ac:dyDescent="0.45">
      <c r="A43" t="s">
        <v>808</v>
      </c>
      <c r="B43">
        <f>ROW()</f>
        <v>43</v>
      </c>
      <c r="C43" t="s">
        <v>288</v>
      </c>
      <c r="D43" t="s">
        <v>274</v>
      </c>
      <c r="E43" s="151"/>
      <c r="F43" s="153">
        <f>'S5.Actual Expenditure Opex'!E7</f>
        <v>0</v>
      </c>
      <c r="G43" s="186" t="str">
        <f t="shared" si="5"/>
        <v/>
      </c>
      <c r="H43" s="151"/>
      <c r="I43" s="153">
        <f>'S5.Actual Expenditure Opex'!F7</f>
        <v>0</v>
      </c>
      <c r="J43" s="186" t="str">
        <f t="shared" si="6"/>
        <v/>
      </c>
      <c r="L43" t="s">
        <v>142</v>
      </c>
    </row>
    <row r="44" spans="1:12" ht="14.25" x14ac:dyDescent="0.45">
      <c r="A44" t="s">
        <v>808</v>
      </c>
      <c r="B44">
        <f>ROW()</f>
        <v>44</v>
      </c>
      <c r="C44" t="s">
        <v>288</v>
      </c>
      <c r="D44" t="s">
        <v>275</v>
      </c>
      <c r="E44" s="151"/>
      <c r="F44" s="153">
        <f>'S5.Actual Expenditure Opex'!E8</f>
        <v>0</v>
      </c>
      <c r="G44" s="186" t="str">
        <f t="shared" si="5"/>
        <v/>
      </c>
      <c r="H44" s="151"/>
      <c r="I44" s="153">
        <f>'S5.Actual Expenditure Opex'!F8</f>
        <v>0</v>
      </c>
      <c r="J44" s="186" t="str">
        <f t="shared" si="6"/>
        <v/>
      </c>
      <c r="L44" t="s">
        <v>142</v>
      </c>
    </row>
    <row r="45" spans="1:12" ht="14.25" x14ac:dyDescent="0.45">
      <c r="A45" t="s">
        <v>808</v>
      </c>
      <c r="B45">
        <f>ROW()</f>
        <v>45</v>
      </c>
      <c r="C45" t="s">
        <v>288</v>
      </c>
      <c r="D45" t="s">
        <v>276</v>
      </c>
      <c r="E45" s="151"/>
      <c r="F45" s="153">
        <f>'S5.Actual Expenditure Opex'!E9</f>
        <v>0</v>
      </c>
      <c r="G45" s="186" t="str">
        <f t="shared" si="5"/>
        <v/>
      </c>
      <c r="H45" s="151"/>
      <c r="I45" s="153">
        <f>'S5.Actual Expenditure Opex'!F9</f>
        <v>0</v>
      </c>
      <c r="J45" s="186" t="str">
        <f t="shared" si="6"/>
        <v/>
      </c>
      <c r="L45" t="s">
        <v>142</v>
      </c>
    </row>
    <row r="46" spans="1:12" ht="14.25" x14ac:dyDescent="0.45">
      <c r="A46" s="162" t="s">
        <v>808</v>
      </c>
      <c r="B46">
        <f>ROW()</f>
        <v>46</v>
      </c>
      <c r="C46" s="183" t="s">
        <v>290</v>
      </c>
      <c r="E46" s="158">
        <f t="shared" ref="E46" si="7">SUM(E40:E45)</f>
        <v>0</v>
      </c>
      <c r="F46" s="158">
        <f>'S5.Actual Expenditure Opex'!E10</f>
        <v>0</v>
      </c>
      <c r="G46" s="186" t="str">
        <f t="shared" si="5"/>
        <v/>
      </c>
      <c r="H46" s="158">
        <f t="shared" ref="H46" si="8">SUM(H40:H45)</f>
        <v>0</v>
      </c>
      <c r="I46" s="158">
        <f>'S5.Actual Expenditure Opex'!F10</f>
        <v>0</v>
      </c>
      <c r="J46" s="186" t="str">
        <f t="shared" si="6"/>
        <v/>
      </c>
    </row>
    <row r="47" spans="1:12" ht="14.25" x14ac:dyDescent="0.45">
      <c r="A47" s="162" t="s">
        <v>808</v>
      </c>
      <c r="B47">
        <f>ROW()</f>
        <v>47</v>
      </c>
      <c r="C47" s="162" t="s">
        <v>291</v>
      </c>
      <c r="D47" t="s">
        <v>277</v>
      </c>
      <c r="E47" s="151"/>
      <c r="F47" s="153">
        <f>'S5.Actual Expenditure Opex'!E11</f>
        <v>0</v>
      </c>
      <c r="G47" s="186" t="str">
        <f t="shared" si="5"/>
        <v/>
      </c>
      <c r="H47" s="151"/>
      <c r="I47" s="153">
        <f>'S5.Actual Expenditure Opex'!F11</f>
        <v>0</v>
      </c>
      <c r="J47" s="186" t="str">
        <f t="shared" si="6"/>
        <v/>
      </c>
      <c r="L47" t="s">
        <v>142</v>
      </c>
    </row>
    <row r="48" spans="1:12" ht="14.25" x14ac:dyDescent="0.45">
      <c r="A48" t="s">
        <v>808</v>
      </c>
      <c r="B48">
        <f>ROW()</f>
        <v>48</v>
      </c>
      <c r="C48" t="s">
        <v>291</v>
      </c>
      <c r="D48" t="s">
        <v>339</v>
      </c>
      <c r="E48" s="151"/>
      <c r="F48" s="153">
        <f>'S5.Actual Expenditure Opex'!E12</f>
        <v>0</v>
      </c>
      <c r="G48" s="186" t="str">
        <f t="shared" si="5"/>
        <v/>
      </c>
      <c r="H48" s="151"/>
      <c r="I48" s="153">
        <f>'S5.Actual Expenditure Opex'!F12</f>
        <v>0</v>
      </c>
      <c r="J48" s="186" t="str">
        <f t="shared" si="6"/>
        <v/>
      </c>
      <c r="L48" t="s">
        <v>142</v>
      </c>
    </row>
    <row r="49" spans="1:12" ht="14.25" x14ac:dyDescent="0.45">
      <c r="A49" t="s">
        <v>808</v>
      </c>
      <c r="B49">
        <f>ROW()</f>
        <v>49</v>
      </c>
      <c r="C49" t="s">
        <v>291</v>
      </c>
      <c r="D49" t="s">
        <v>279</v>
      </c>
      <c r="E49" s="151"/>
      <c r="F49" s="153">
        <f>'S5.Actual Expenditure Opex'!E13</f>
        <v>0</v>
      </c>
      <c r="G49" s="186" t="str">
        <f t="shared" si="5"/>
        <v/>
      </c>
      <c r="H49" s="151"/>
      <c r="I49" s="153">
        <f>'S5.Actual Expenditure Opex'!F13</f>
        <v>0</v>
      </c>
      <c r="J49" s="186" t="str">
        <f t="shared" si="6"/>
        <v/>
      </c>
      <c r="L49" t="s">
        <v>142</v>
      </c>
    </row>
    <row r="50" spans="1:12" ht="14.25" x14ac:dyDescent="0.45">
      <c r="A50" t="s">
        <v>808</v>
      </c>
      <c r="B50">
        <f>ROW()</f>
        <v>50</v>
      </c>
      <c r="C50" s="30" t="s">
        <v>292</v>
      </c>
      <c r="E50" s="158">
        <f>SUM(E47:E49)</f>
        <v>0</v>
      </c>
      <c r="F50" s="158">
        <f>'S5.Actual Expenditure Opex'!E14</f>
        <v>0</v>
      </c>
      <c r="G50" s="186" t="str">
        <f t="shared" si="5"/>
        <v/>
      </c>
      <c r="H50" s="158">
        <f>SUM(H47:H49)</f>
        <v>0</v>
      </c>
      <c r="I50" s="158">
        <f>'S5.Actual Expenditure Opex'!F14</f>
        <v>0</v>
      </c>
      <c r="J50" s="186" t="str">
        <f t="shared" si="6"/>
        <v/>
      </c>
    </row>
    <row r="51" spans="1:12" ht="14.25" x14ac:dyDescent="0.45">
      <c r="A51" t="s">
        <v>808</v>
      </c>
      <c r="B51">
        <f>ROW()</f>
        <v>51</v>
      </c>
      <c r="C51" s="30" t="s">
        <v>282</v>
      </c>
      <c r="E51" s="158">
        <f>E47+E50</f>
        <v>0</v>
      </c>
      <c r="F51" s="158">
        <f>'S5.Actual Expenditure Opex'!E15</f>
        <v>0</v>
      </c>
      <c r="G51" s="186" t="str">
        <f t="shared" si="5"/>
        <v/>
      </c>
      <c r="H51" s="158">
        <f>H47+H50</f>
        <v>0</v>
      </c>
      <c r="I51" s="158">
        <f>'S5.Actual Expenditure Opex'!F15</f>
        <v>0</v>
      </c>
      <c r="J51" s="186" t="str">
        <f t="shared" si="6"/>
        <v/>
      </c>
    </row>
    <row r="52" spans="1:12" ht="14.25" x14ac:dyDescent="0.45"/>
    <row r="53" spans="1:12" ht="14.25" x14ac:dyDescent="0.45"/>
    <row r="54" spans="1:12" ht="21" x14ac:dyDescent="0.65">
      <c r="A54" s="129" t="s">
        <v>867</v>
      </c>
    </row>
    <row r="55" spans="1:12" ht="37.9" customHeight="1" x14ac:dyDescent="0.45">
      <c r="A55" s="119" t="s">
        <v>78</v>
      </c>
      <c r="B55" s="119" t="s">
        <v>79</v>
      </c>
      <c r="C55" s="119" t="s">
        <v>1244</v>
      </c>
      <c r="D55" s="119" t="s">
        <v>1245</v>
      </c>
      <c r="E55" s="119" t="s">
        <v>1284</v>
      </c>
      <c r="F55" s="119" t="s">
        <v>1024</v>
      </c>
      <c r="G55" s="119" t="s">
        <v>1025</v>
      </c>
      <c r="H55" s="119" t="s">
        <v>1285</v>
      </c>
      <c r="I55" s="119" t="s">
        <v>1283</v>
      </c>
      <c r="J55" s="119" t="s">
        <v>1026</v>
      </c>
    </row>
    <row r="56" spans="1:12" ht="14.25" x14ac:dyDescent="0.45">
      <c r="A56" s="162" t="s">
        <v>867</v>
      </c>
      <c r="B56" s="162">
        <f>ROW()</f>
        <v>56</v>
      </c>
      <c r="C56" s="162" t="s">
        <v>1273</v>
      </c>
      <c r="E56" s="151"/>
      <c r="F56" s="153">
        <f>'S5.Actual Expenditure Opex'!E20</f>
        <v>0</v>
      </c>
      <c r="G56" s="186" t="str">
        <f t="shared" ref="G56:G57" si="9">IFERROR((E56-F56)/H56,"")</f>
        <v/>
      </c>
      <c r="H56" s="151"/>
      <c r="I56" s="153">
        <f>'S5.Actual Expenditure Opex'!F20</f>
        <v>0</v>
      </c>
      <c r="J56" s="186" t="str">
        <f t="shared" ref="J56:J57" si="10">IFERROR((H56-I56)/H56,"")</f>
        <v/>
      </c>
      <c r="L56" t="s">
        <v>142</v>
      </c>
    </row>
    <row r="57" spans="1:12" ht="14.25" x14ac:dyDescent="0.45">
      <c r="A57" s="162" t="s">
        <v>867</v>
      </c>
      <c r="B57" s="162">
        <f>ROW()</f>
        <v>57</v>
      </c>
      <c r="C57" s="162" t="s">
        <v>1272</v>
      </c>
      <c r="E57" s="151"/>
      <c r="F57" s="153">
        <f>'S5.Actual Expenditure Opex'!E21</f>
        <v>0</v>
      </c>
      <c r="G57" s="186" t="str">
        <f t="shared" si="9"/>
        <v/>
      </c>
      <c r="H57" s="151"/>
      <c r="I57" s="153">
        <f>'S5.Actual Expenditure Opex'!F21</f>
        <v>0</v>
      </c>
      <c r="J57" s="186" t="str">
        <f t="shared" si="10"/>
        <v/>
      </c>
      <c r="L57" t="s">
        <v>142</v>
      </c>
    </row>
    <row r="58" spans="1:12" ht="14.25" x14ac:dyDescent="0.45"/>
    <row r="59" spans="1:12" ht="14.25" x14ac:dyDescent="0.45">
      <c r="A59" s="64" t="s">
        <v>340</v>
      </c>
      <c r="B59" s="64"/>
      <c r="C59" s="64"/>
      <c r="D59" s="64"/>
      <c r="E59" s="64"/>
      <c r="F59" s="64"/>
      <c r="G59" s="64"/>
      <c r="H59" s="64"/>
      <c r="I59" s="64"/>
      <c r="J59" s="64"/>
      <c r="K59" s="64"/>
    </row>
    <row r="60" spans="1:12" ht="14.25" x14ac:dyDescent="0.45">
      <c r="A60" s="64" t="s">
        <v>341</v>
      </c>
      <c r="B60" s="64"/>
      <c r="C60" s="64"/>
      <c r="D60" s="64"/>
      <c r="E60" s="64"/>
      <c r="F60" s="64"/>
      <c r="G60" s="64"/>
      <c r="H60" s="64"/>
      <c r="I60" s="64"/>
      <c r="J60" s="64"/>
      <c r="K60" s="64"/>
    </row>
  </sheetData>
  <phoneticPr fontId="27" type="noConversion"/>
  <pageMargins left="0.70866141732283472" right="0.70866141732283472" top="0.74803149606299213" bottom="0.74803149606299213" header="0.31496062992125984" footer="0.31496062992125984"/>
  <pageSetup paperSize="9" scale="51" fitToHeight="0" orientation="landscape" r:id="rId1"/>
  <rowBreaks count="1" manualBreakCount="1">
    <brk id="52" max="16383" man="1"/>
  </rowBreaks>
  <tableParts count="4">
    <tablePart r:id="rId2"/>
    <tablePart r:id="rId3"/>
    <tablePart r:id="rId4"/>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AE68-BC16-4344-B229-46E2439B31AD}">
  <sheetPr codeName="Sheet22">
    <pageSetUpPr fitToPage="1"/>
  </sheetPr>
  <dimension ref="A1:O24"/>
  <sheetViews>
    <sheetView zoomScale="85" zoomScaleNormal="85" workbookViewId="0"/>
  </sheetViews>
  <sheetFormatPr defaultRowHeight="14.45" customHeight="1" x14ac:dyDescent="0.45"/>
  <cols>
    <col min="1" max="1" width="54" customWidth="1"/>
    <col min="2" max="2" width="9" bestFit="1" customWidth="1"/>
    <col min="3" max="3" width="12" bestFit="1" customWidth="1"/>
    <col min="4" max="4" width="37.59765625" customWidth="1"/>
    <col min="5" max="5" width="16.73046875" bestFit="1" customWidth="1"/>
    <col min="6" max="6" width="17.86328125" bestFit="1" customWidth="1"/>
    <col min="7" max="7" width="15.59765625" bestFit="1" customWidth="1"/>
    <col min="8" max="8" width="14.73046875" customWidth="1"/>
    <col min="9" max="9" width="12.265625" bestFit="1" customWidth="1"/>
    <col min="10" max="10" width="14.86328125" bestFit="1" customWidth="1"/>
    <col min="11" max="11" width="17.1328125" bestFit="1" customWidth="1"/>
    <col min="12" max="13" width="14.265625" bestFit="1" customWidth="1"/>
    <col min="16" max="16" width="3.86328125" customWidth="1"/>
  </cols>
  <sheetData>
    <row r="1" spans="1:15" ht="23.25" x14ac:dyDescent="0.45">
      <c r="A1" s="146" t="s">
        <v>1164</v>
      </c>
    </row>
    <row r="2" spans="1:15" ht="21" x14ac:dyDescent="0.65">
      <c r="A2" s="129" t="s">
        <v>861</v>
      </c>
    </row>
    <row r="3" spans="1:15" ht="75.599999999999994" customHeight="1" x14ac:dyDescent="0.45">
      <c r="A3" s="119" t="s">
        <v>78</v>
      </c>
      <c r="B3" s="119" t="s">
        <v>79</v>
      </c>
      <c r="C3" s="119" t="s">
        <v>208</v>
      </c>
      <c r="D3" s="119" t="s">
        <v>1244</v>
      </c>
      <c r="E3" s="119" t="s">
        <v>1245</v>
      </c>
      <c r="F3" s="119" t="s">
        <v>971</v>
      </c>
      <c r="G3" s="119" t="s">
        <v>972</v>
      </c>
      <c r="H3" s="119" t="s">
        <v>973</v>
      </c>
      <c r="I3" s="119" t="s">
        <v>385</v>
      </c>
      <c r="J3" s="119" t="s">
        <v>386</v>
      </c>
      <c r="K3" s="119" t="s">
        <v>387</v>
      </c>
      <c r="L3" s="119" t="s">
        <v>388</v>
      </c>
      <c r="M3" s="119" t="s">
        <v>1279</v>
      </c>
    </row>
    <row r="4" spans="1:15" ht="14.25" x14ac:dyDescent="0.45">
      <c r="A4" s="162" t="s">
        <v>861</v>
      </c>
      <c r="B4" s="162">
        <f>ROW()</f>
        <v>4</v>
      </c>
      <c r="C4" s="162" t="s">
        <v>389</v>
      </c>
      <c r="D4" s="138"/>
      <c r="E4" s="162"/>
      <c r="F4" s="139"/>
      <c r="G4" s="139"/>
      <c r="H4" s="138"/>
      <c r="I4" s="138"/>
      <c r="J4" s="140"/>
      <c r="K4" s="141"/>
      <c r="L4" s="141"/>
      <c r="M4" s="141"/>
      <c r="O4" s="76"/>
    </row>
    <row r="5" spans="1:15" ht="14.25" x14ac:dyDescent="0.45">
      <c r="A5" s="162" t="s">
        <v>861</v>
      </c>
      <c r="B5">
        <f>ROW()</f>
        <v>5</v>
      </c>
      <c r="C5" t="s">
        <v>389</v>
      </c>
      <c r="D5" s="138"/>
      <c r="F5" s="139"/>
      <c r="G5" s="139"/>
      <c r="H5" s="138"/>
      <c r="I5" s="138"/>
      <c r="J5" s="140"/>
      <c r="K5" s="141"/>
      <c r="L5" s="141"/>
      <c r="M5" s="141"/>
      <c r="O5" s="76"/>
    </row>
    <row r="6" spans="1:15" ht="14.25" x14ac:dyDescent="0.45">
      <c r="A6" s="162" t="s">
        <v>861</v>
      </c>
      <c r="B6">
        <f>ROW()</f>
        <v>6</v>
      </c>
      <c r="C6" t="s">
        <v>389</v>
      </c>
      <c r="D6" s="138"/>
      <c r="F6" s="139"/>
      <c r="G6" s="139"/>
      <c r="H6" s="138"/>
      <c r="I6" s="138"/>
      <c r="J6" s="140"/>
      <c r="K6" s="141"/>
      <c r="L6" s="141"/>
      <c r="M6" s="141"/>
      <c r="O6" s="76"/>
    </row>
    <row r="7" spans="1:15" ht="14.25" x14ac:dyDescent="0.45">
      <c r="A7" s="162" t="s">
        <v>861</v>
      </c>
      <c r="B7">
        <f>ROW()</f>
        <v>7</v>
      </c>
      <c r="C7" t="s">
        <v>389</v>
      </c>
      <c r="D7" s="138"/>
      <c r="F7" s="139"/>
      <c r="G7" s="139"/>
      <c r="H7" s="138"/>
      <c r="I7" s="138"/>
      <c r="J7" s="140"/>
      <c r="K7" s="141"/>
      <c r="L7" s="141"/>
      <c r="M7" s="141"/>
      <c r="O7" s="76"/>
    </row>
    <row r="8" spans="1:15" ht="14.25" x14ac:dyDescent="0.45">
      <c r="A8" s="162" t="s">
        <v>861</v>
      </c>
      <c r="B8">
        <f>ROW()</f>
        <v>8</v>
      </c>
      <c r="C8" t="s">
        <v>389</v>
      </c>
      <c r="D8" s="138"/>
      <c r="F8" s="139"/>
      <c r="G8" s="139"/>
      <c r="H8" s="138"/>
      <c r="I8" s="138"/>
      <c r="J8" s="140"/>
      <c r="K8" s="141"/>
      <c r="L8" s="141"/>
      <c r="M8" s="141"/>
      <c r="O8" s="76"/>
    </row>
    <row r="9" spans="1:15" ht="14.25" x14ac:dyDescent="0.45">
      <c r="A9" s="162" t="s">
        <v>861</v>
      </c>
      <c r="B9">
        <f>ROW()</f>
        <v>9</v>
      </c>
      <c r="C9" t="s">
        <v>389</v>
      </c>
      <c r="D9" s="138"/>
      <c r="F9" s="139"/>
      <c r="G9" s="139"/>
      <c r="H9" s="138"/>
      <c r="I9" s="138"/>
      <c r="J9" s="140"/>
      <c r="K9" s="141"/>
      <c r="L9" s="141"/>
      <c r="M9" s="141"/>
      <c r="O9" s="76"/>
    </row>
    <row r="10" spans="1:15" ht="14.25" x14ac:dyDescent="0.45">
      <c r="A10" s="162" t="s">
        <v>861</v>
      </c>
      <c r="B10">
        <f>ROW()</f>
        <v>10</v>
      </c>
      <c r="D10" t="s">
        <v>325</v>
      </c>
      <c r="F10" s="83"/>
      <c r="G10" s="83"/>
      <c r="H10" s="83"/>
      <c r="I10" s="83"/>
      <c r="J10" s="83"/>
      <c r="K10" s="75">
        <f>SUM(K4:K9)</f>
        <v>0</v>
      </c>
      <c r="L10" s="75">
        <f>SUM(L4:L9)</f>
        <v>0</v>
      </c>
      <c r="M10" s="75">
        <f>SUM(M4:M9)</f>
        <v>0</v>
      </c>
      <c r="O10" s="76" t="s">
        <v>390</v>
      </c>
    </row>
    <row r="11" spans="1:15" ht="14.25" x14ac:dyDescent="0.45">
      <c r="F11" s="83"/>
      <c r="G11" s="83"/>
      <c r="H11" s="83"/>
      <c r="I11" s="83"/>
      <c r="J11" s="83"/>
      <c r="K11" s="75"/>
      <c r="L11" s="75"/>
      <c r="M11" s="75"/>
      <c r="O11" s="76"/>
    </row>
    <row r="12" spans="1:15" ht="14.25" x14ac:dyDescent="0.45">
      <c r="C12" t="s">
        <v>1114</v>
      </c>
    </row>
    <row r="13" spans="1:15" ht="21" x14ac:dyDescent="0.65">
      <c r="A13" s="129" t="s">
        <v>865</v>
      </c>
    </row>
    <row r="14" spans="1:15" ht="30" customHeight="1" x14ac:dyDescent="0.45">
      <c r="A14" s="119" t="s">
        <v>78</v>
      </c>
      <c r="B14" s="119" t="s">
        <v>79</v>
      </c>
      <c r="C14" s="119" t="s">
        <v>208</v>
      </c>
      <c r="D14" s="119" t="s">
        <v>1244</v>
      </c>
      <c r="E14" s="119" t="s">
        <v>1245</v>
      </c>
      <c r="F14" s="132" t="s">
        <v>391</v>
      </c>
      <c r="G14" s="119" t="s">
        <v>125</v>
      </c>
      <c r="I14" s="76"/>
    </row>
    <row r="15" spans="1:15" ht="14.25" x14ac:dyDescent="0.45">
      <c r="A15" s="162" t="s">
        <v>865</v>
      </c>
      <c r="B15" s="162">
        <f>ROW()</f>
        <v>15</v>
      </c>
      <c r="C15" s="162"/>
      <c r="D15" s="189" t="s">
        <v>1278</v>
      </c>
      <c r="E15" s="162"/>
      <c r="F15" s="171">
        <f>L10+M10</f>
        <v>0</v>
      </c>
      <c r="G15" s="83"/>
      <c r="I15" s="76" t="str" cm="1">
        <f t="array" aca="1" ref="I15" ca="1">"from row "&amp;CELL("row",D10)</f>
        <v>from row 10</v>
      </c>
    </row>
    <row r="16" spans="1:15" ht="14.25" x14ac:dyDescent="0.45">
      <c r="A16" s="162" t="s">
        <v>865</v>
      </c>
      <c r="B16">
        <f>ROW()</f>
        <v>16</v>
      </c>
      <c r="D16" s="187" t="s">
        <v>392</v>
      </c>
      <c r="F16" s="65"/>
      <c r="G16" s="83"/>
      <c r="I16" s="76"/>
    </row>
    <row r="17" spans="1:10" ht="14.25" x14ac:dyDescent="0.45">
      <c r="A17" s="162" t="s">
        <v>865</v>
      </c>
      <c r="B17">
        <f>ROW()</f>
        <v>17</v>
      </c>
      <c r="D17" s="170" t="s">
        <v>393</v>
      </c>
      <c r="F17" s="83"/>
      <c r="G17" s="186">
        <v>0.28999999999999998</v>
      </c>
    </row>
    <row r="18" spans="1:10" ht="14.25" x14ac:dyDescent="0.45">
      <c r="A18" s="162" t="s">
        <v>865</v>
      </c>
      <c r="B18">
        <f>ROW()</f>
        <v>18</v>
      </c>
      <c r="D18" s="170" t="s">
        <v>394</v>
      </c>
      <c r="F18" s="75">
        <f>AVERAGE('S4b.ID RAB Value Rolled Forward'!G16,'S4b.ID RAB Value Rolled Forward'!G29)</f>
        <v>0</v>
      </c>
      <c r="G18" s="83"/>
    </row>
    <row r="19" spans="1:10" ht="14.25" x14ac:dyDescent="0.45">
      <c r="A19" s="162" t="s">
        <v>865</v>
      </c>
      <c r="B19">
        <f>ROW()</f>
        <v>19</v>
      </c>
      <c r="D19" s="170" t="s">
        <v>395</v>
      </c>
      <c r="F19" s="78"/>
      <c r="G19" s="188" t="str">
        <f>IF(F16&lt;&gt;0,G17*F18/F16,"not defined")</f>
        <v>not defined</v>
      </c>
    </row>
    <row r="20" spans="1:10" ht="14.25" x14ac:dyDescent="0.45"/>
    <row r="21" spans="1:10" ht="14.25" x14ac:dyDescent="0.45"/>
    <row r="22" spans="1:10" ht="21" x14ac:dyDescent="0.65">
      <c r="A22" s="129" t="s">
        <v>865</v>
      </c>
      <c r="F22" s="47"/>
    </row>
    <row r="23" spans="1:10" ht="37.9" customHeight="1" x14ac:dyDescent="0.45">
      <c r="A23" s="119" t="s">
        <v>78</v>
      </c>
      <c r="B23" s="119" t="s">
        <v>79</v>
      </c>
      <c r="C23" s="119" t="s">
        <v>208</v>
      </c>
      <c r="D23" s="119" t="s">
        <v>1244</v>
      </c>
      <c r="E23" s="119" t="s">
        <v>1245</v>
      </c>
      <c r="F23" s="119" t="s">
        <v>391</v>
      </c>
      <c r="G23" s="119" t="s">
        <v>962</v>
      </c>
      <c r="H23" s="119" t="s">
        <v>397</v>
      </c>
      <c r="J23" s="76"/>
    </row>
    <row r="24" spans="1:10" ht="14.25" x14ac:dyDescent="0.45">
      <c r="A24" t="s">
        <v>865</v>
      </c>
      <c r="B24" s="162">
        <f>ROW()</f>
        <v>24</v>
      </c>
      <c r="C24" s="162"/>
      <c r="D24" s="190" t="s">
        <v>116</v>
      </c>
      <c r="E24" s="47"/>
      <c r="F24" s="171">
        <f>IF(G19="not defined",0,MAX(G19*F15,0))</f>
        <v>0</v>
      </c>
      <c r="G24" s="158" t="e">
        <f>AVERAGE('S4c.PQ RAB Value Rolled F.'!G16,'S4c.PQ RAB Value Rolled F.'!G29)/F18*tb_8a_8aii_8.12_2[[#This Row],[($)]]</f>
        <v>#DIV/0!</v>
      </c>
      <c r="H24" s="158" t="e">
        <f>AVERAGE('S4d.ID-only RAB Value Rolled F'!G16,'S4d.ID-only RAB Value Rolled F'!G28)/F18*tb_8a_8aii_8.12_2[[#This Row],[($)]]</f>
        <v>#DIV/0!</v>
      </c>
      <c r="J24" s="76" t="s">
        <v>170</v>
      </c>
    </row>
  </sheetData>
  <dataValidations count="1">
    <dataValidation allowBlank="1" showInputMessage="1" showErrorMessage="1" prompt="Please enter text" sqref="F4:J11 L4:M9" xr:uid="{88F1BE49-F327-483E-A568-CF60A30290B0}"/>
  </dataValidations>
  <pageMargins left="0.7" right="0.7" top="0.75" bottom="0.75" header="0.3" footer="0.3"/>
  <pageSetup paperSize="9" scale="48" fitToHeight="0" orientation="landscape" r:id="rId1"/>
  <tableParts count="3">
    <tablePart r:id="rId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9BCB-18E3-42C4-9358-B4EFA83D0B19}">
  <sheetPr codeName="Sheet23">
    <pageSetUpPr fitToPage="1"/>
  </sheetPr>
  <dimension ref="A1:K37"/>
  <sheetViews>
    <sheetView zoomScale="85" zoomScaleNormal="85" zoomScaleSheetLayoutView="100" workbookViewId="0"/>
  </sheetViews>
  <sheetFormatPr defaultRowHeight="14.45" customHeight="1" x14ac:dyDescent="0.45"/>
  <cols>
    <col min="1" max="1" width="34.1328125" customWidth="1"/>
    <col min="2" max="2" width="9" bestFit="1" customWidth="1"/>
    <col min="3" max="3" width="39" customWidth="1"/>
    <col min="4" max="4" width="41.86328125" bestFit="1" customWidth="1"/>
    <col min="5" max="8" width="20.59765625" customWidth="1"/>
    <col min="9" max="9" width="9.1328125" customWidth="1"/>
    <col min="10" max="10" width="9.59765625" customWidth="1"/>
    <col min="15" max="15" width="24.1328125" customWidth="1"/>
  </cols>
  <sheetData>
    <row r="1" spans="1:8" ht="23.25" x14ac:dyDescent="0.45">
      <c r="A1" s="146" t="s">
        <v>1165</v>
      </c>
    </row>
    <row r="2" spans="1:8" ht="21" x14ac:dyDescent="0.65">
      <c r="A2" s="129" t="s">
        <v>398</v>
      </c>
    </row>
    <row r="3" spans="1:8" ht="37.9" customHeight="1" x14ac:dyDescent="0.45">
      <c r="A3" s="119" t="s">
        <v>78</v>
      </c>
      <c r="B3" s="119" t="s">
        <v>79</v>
      </c>
      <c r="C3" s="119" t="s">
        <v>1244</v>
      </c>
      <c r="D3" s="119" t="s">
        <v>1245</v>
      </c>
      <c r="E3" s="119" t="s">
        <v>1027</v>
      </c>
      <c r="F3" s="119" t="s">
        <v>1028</v>
      </c>
      <c r="G3" s="119" t="s">
        <v>1294</v>
      </c>
      <c r="H3" s="119" t="s">
        <v>1029</v>
      </c>
    </row>
    <row r="4" spans="1:8" ht="14.25" x14ac:dyDescent="0.45">
      <c r="A4" t="s">
        <v>398</v>
      </c>
      <c r="B4">
        <f>ROW()</f>
        <v>4</v>
      </c>
      <c r="C4" t="s">
        <v>399</v>
      </c>
      <c r="D4" t="s">
        <v>400</v>
      </c>
      <c r="E4" s="151"/>
      <c r="F4" s="151"/>
      <c r="G4" s="83"/>
      <c r="H4" s="83"/>
    </row>
    <row r="5" spans="1:8" ht="14.25" x14ac:dyDescent="0.45">
      <c r="A5" t="s">
        <v>398</v>
      </c>
      <c r="B5">
        <f>ROW()</f>
        <v>5</v>
      </c>
      <c r="C5" t="s">
        <v>399</v>
      </c>
      <c r="D5" t="s">
        <v>401</v>
      </c>
      <c r="E5" s="151"/>
      <c r="F5" s="151"/>
      <c r="G5" s="83"/>
      <c r="H5" s="83"/>
    </row>
    <row r="6" spans="1:8" ht="14.25" x14ac:dyDescent="0.45">
      <c r="A6" t="s">
        <v>398</v>
      </c>
      <c r="B6">
        <f>ROW()</f>
        <v>6</v>
      </c>
      <c r="C6" t="s">
        <v>399</v>
      </c>
      <c r="D6" s="30" t="s">
        <v>402</v>
      </c>
      <c r="E6" s="153">
        <f>E4+E5</f>
        <v>0</v>
      </c>
      <c r="F6" s="153">
        <f>F4+F5</f>
        <v>0</v>
      </c>
      <c r="G6" s="83"/>
      <c r="H6" s="83"/>
    </row>
    <row r="7" spans="1:8" ht="14.25" x14ac:dyDescent="0.45">
      <c r="A7" t="s">
        <v>398</v>
      </c>
      <c r="B7">
        <f>ROW()</f>
        <v>7</v>
      </c>
      <c r="C7" t="s">
        <v>403</v>
      </c>
      <c r="D7" t="s">
        <v>404</v>
      </c>
      <c r="E7" s="151"/>
      <c r="F7" s="152"/>
      <c r="G7" s="83"/>
      <c r="H7" s="83"/>
    </row>
    <row r="8" spans="1:8" ht="14.25" x14ac:dyDescent="0.45">
      <c r="A8" t="s">
        <v>398</v>
      </c>
      <c r="B8">
        <f>ROW()</f>
        <v>8</v>
      </c>
      <c r="C8" t="s">
        <v>403</v>
      </c>
      <c r="D8" t="s">
        <v>405</v>
      </c>
      <c r="E8" s="151"/>
      <c r="F8" s="151"/>
      <c r="G8" s="83"/>
      <c r="H8" s="83"/>
    </row>
    <row r="9" spans="1:8" ht="14.25" x14ac:dyDescent="0.45">
      <c r="A9" t="s">
        <v>398</v>
      </c>
      <c r="B9">
        <f>ROW()</f>
        <v>9</v>
      </c>
      <c r="C9" t="s">
        <v>403</v>
      </c>
      <c r="D9" t="s">
        <v>406</v>
      </c>
      <c r="E9" s="151"/>
      <c r="F9" s="151"/>
      <c r="G9" s="83"/>
      <c r="H9" s="83"/>
    </row>
    <row r="10" spans="1:8" ht="14.25" x14ac:dyDescent="0.45">
      <c r="A10" t="s">
        <v>398</v>
      </c>
      <c r="B10">
        <f>ROW()</f>
        <v>10</v>
      </c>
      <c r="C10" t="s">
        <v>403</v>
      </c>
      <c r="D10" s="30" t="s">
        <v>407</v>
      </c>
      <c r="E10" s="153">
        <f>E7+E8-E9</f>
        <v>0</v>
      </c>
      <c r="F10" s="153">
        <f>F7+F8-F9</f>
        <v>0</v>
      </c>
      <c r="G10" s="83"/>
      <c r="H10" s="83"/>
    </row>
    <row r="11" spans="1:8" ht="14.25" x14ac:dyDescent="0.45">
      <c r="A11" t="s">
        <v>398</v>
      </c>
      <c r="B11">
        <f>ROW()</f>
        <v>11</v>
      </c>
      <c r="C11" t="s">
        <v>403</v>
      </c>
      <c r="D11" t="s">
        <v>408</v>
      </c>
      <c r="E11" s="154"/>
      <c r="F11" s="154"/>
      <c r="G11" s="155"/>
      <c r="H11" s="155"/>
    </row>
    <row r="12" spans="1:8" ht="14.25" x14ac:dyDescent="0.45">
      <c r="A12" t="s">
        <v>409</v>
      </c>
      <c r="B12">
        <f>ROW()</f>
        <v>12</v>
      </c>
      <c r="C12" t="s">
        <v>1276</v>
      </c>
      <c r="D12" t="s">
        <v>410</v>
      </c>
      <c r="E12" s="156"/>
      <c r="F12" s="157"/>
      <c r="G12" s="83"/>
      <c r="H12" s="83"/>
    </row>
    <row r="13" spans="1:8" ht="14.25" x14ac:dyDescent="0.45">
      <c r="A13" t="s">
        <v>398</v>
      </c>
      <c r="B13">
        <f>ROW()</f>
        <v>13</v>
      </c>
      <c r="C13" t="s">
        <v>1276</v>
      </c>
      <c r="D13" t="s">
        <v>401</v>
      </c>
      <c r="E13" s="156"/>
      <c r="F13" s="157"/>
      <c r="G13" s="83"/>
      <c r="H13" s="83"/>
    </row>
    <row r="14" spans="1:8" ht="14.25" x14ac:dyDescent="0.45">
      <c r="A14" t="s">
        <v>398</v>
      </c>
      <c r="B14">
        <f>ROW()</f>
        <v>14</v>
      </c>
      <c r="C14" t="s">
        <v>1276</v>
      </c>
      <c r="D14" s="30" t="s">
        <v>411</v>
      </c>
      <c r="E14" s="158">
        <f>E12+E13</f>
        <v>0</v>
      </c>
      <c r="F14" s="158">
        <f>F12+F13</f>
        <v>0</v>
      </c>
      <c r="G14" s="83"/>
      <c r="H14" s="83"/>
    </row>
    <row r="15" spans="1:8" ht="14.25" x14ac:dyDescent="0.45">
      <c r="A15" t="s">
        <v>398</v>
      </c>
      <c r="B15">
        <f>ROW()</f>
        <v>15</v>
      </c>
      <c r="C15" t="s">
        <v>1276</v>
      </c>
      <c r="D15" t="s">
        <v>412</v>
      </c>
      <c r="E15" s="83"/>
      <c r="F15" s="83"/>
      <c r="G15" s="159">
        <f>'S1a.ID FFLAS IRR'!F35</f>
        <v>0</v>
      </c>
      <c r="H15" s="155"/>
    </row>
    <row r="16" spans="1:8" ht="14.25" x14ac:dyDescent="0.45">
      <c r="A16" t="s">
        <v>398</v>
      </c>
      <c r="B16">
        <f>ROW()</f>
        <v>16</v>
      </c>
      <c r="C16" t="s">
        <v>1277</v>
      </c>
      <c r="D16" t="s">
        <v>410</v>
      </c>
      <c r="E16" s="151"/>
      <c r="F16" s="151"/>
      <c r="G16" s="83"/>
      <c r="H16" s="83"/>
    </row>
    <row r="17" spans="1:11" ht="14.25" x14ac:dyDescent="0.45">
      <c r="A17" t="s">
        <v>398</v>
      </c>
      <c r="B17">
        <f>ROW()</f>
        <v>17</v>
      </c>
      <c r="C17" t="s">
        <v>1277</v>
      </c>
      <c r="D17" t="s">
        <v>401</v>
      </c>
      <c r="E17" s="151"/>
      <c r="F17" s="151"/>
      <c r="G17" s="83"/>
      <c r="H17" s="83"/>
    </row>
    <row r="18" spans="1:11" ht="14.25" x14ac:dyDescent="0.45">
      <c r="A18" t="s">
        <v>398</v>
      </c>
      <c r="B18">
        <f>ROW()</f>
        <v>18</v>
      </c>
      <c r="C18" t="s">
        <v>1277</v>
      </c>
      <c r="D18" s="30" t="s">
        <v>411</v>
      </c>
      <c r="E18" s="153">
        <f>SUM(E16:E17)</f>
        <v>0</v>
      </c>
      <c r="F18" s="153">
        <f>SUM(F16:F17)</f>
        <v>0</v>
      </c>
      <c r="G18" s="83"/>
      <c r="H18" s="83"/>
    </row>
    <row r="19" spans="1:11" ht="14.25" x14ac:dyDescent="0.45">
      <c r="A19" t="s">
        <v>398</v>
      </c>
      <c r="B19">
        <f>ROW()</f>
        <v>19</v>
      </c>
      <c r="C19" t="s">
        <v>1277</v>
      </c>
      <c r="D19" t="s">
        <v>412</v>
      </c>
      <c r="E19" s="160"/>
      <c r="F19" s="160"/>
      <c r="G19" s="161">
        <f>G15</f>
        <v>0</v>
      </c>
      <c r="H19" s="161">
        <f>H15</f>
        <v>0</v>
      </c>
    </row>
    <row r="20" spans="1:11" ht="14.25" x14ac:dyDescent="0.45">
      <c r="A20" t="s">
        <v>398</v>
      </c>
      <c r="B20">
        <f>ROW()</f>
        <v>20</v>
      </c>
      <c r="C20" t="s">
        <v>1277</v>
      </c>
      <c r="D20" t="s">
        <v>413</v>
      </c>
      <c r="E20" s="160"/>
      <c r="F20" s="160"/>
      <c r="G20" s="159">
        <v>4.1000000000000003E-3</v>
      </c>
      <c r="H20" s="159">
        <v>4.1000000000000003E-3</v>
      </c>
    </row>
    <row r="21" spans="1:11" ht="14.25" x14ac:dyDescent="0.45">
      <c r="A21" t="s">
        <v>398</v>
      </c>
      <c r="B21">
        <f>ROW()</f>
        <v>21</v>
      </c>
      <c r="C21" t="s">
        <v>1277</v>
      </c>
      <c r="D21" t="s">
        <v>414</v>
      </c>
      <c r="E21" s="160"/>
      <c r="F21" s="160"/>
      <c r="G21" s="161">
        <f>G19+G20</f>
        <v>4.1000000000000003E-3</v>
      </c>
      <c r="H21" s="161">
        <f>H19+H20</f>
        <v>4.1000000000000003E-3</v>
      </c>
      <c r="J21" s="76"/>
    </row>
    <row r="22" spans="1:11" ht="28.5" x14ac:dyDescent="0.45">
      <c r="A22" t="s">
        <v>398</v>
      </c>
      <c r="B22">
        <f>ROW()</f>
        <v>22</v>
      </c>
      <c r="C22" s="31" t="s">
        <v>1030</v>
      </c>
      <c r="D22" t="s">
        <v>415</v>
      </c>
      <c r="E22" s="158" t="e">
        <f>(G26*G15+G27*G21)*(E12+E16)</f>
        <v>#DIV/0!</v>
      </c>
      <c r="F22" s="151"/>
      <c r="G22" s="83"/>
      <c r="H22" s="83"/>
      <c r="J22" s="76" t="s">
        <v>416</v>
      </c>
    </row>
    <row r="23" spans="1:11" ht="28.5" x14ac:dyDescent="0.45">
      <c r="A23" t="s">
        <v>398</v>
      </c>
      <c r="B23">
        <f>ROW()</f>
        <v>23</v>
      </c>
      <c r="C23" s="31" t="s">
        <v>1030</v>
      </c>
      <c r="D23" t="s">
        <v>417</v>
      </c>
      <c r="E23" s="158">
        <f>(0.75*G11+0.25*G15)*E7</f>
        <v>0</v>
      </c>
      <c r="F23" s="151"/>
      <c r="G23" s="83"/>
      <c r="H23" s="83"/>
      <c r="J23" s="76"/>
    </row>
    <row r="24" spans="1:11" ht="28.5" x14ac:dyDescent="0.45">
      <c r="A24" t="s">
        <v>398</v>
      </c>
      <c r="B24">
        <f>ROW()</f>
        <v>24</v>
      </c>
      <c r="C24" s="31" t="s">
        <v>1030</v>
      </c>
      <c r="D24" s="30" t="s">
        <v>325</v>
      </c>
      <c r="E24" s="153" t="e">
        <f>SUM(E22:E23)</f>
        <v>#DIV/0!</v>
      </c>
      <c r="F24" s="153">
        <f>SUM(F22:F23)</f>
        <v>0</v>
      </c>
      <c r="G24" s="83"/>
      <c r="H24" s="83"/>
      <c r="J24" s="76"/>
    </row>
    <row r="25" spans="1:11" ht="28.5" x14ac:dyDescent="0.45">
      <c r="A25" t="s">
        <v>398</v>
      </c>
      <c r="B25">
        <f>ROW()</f>
        <v>25</v>
      </c>
      <c r="C25" s="31" t="s">
        <v>1030</v>
      </c>
      <c r="D25" t="s">
        <v>418</v>
      </c>
      <c r="E25" s="153" t="e">
        <f>E24-F24</f>
        <v>#DIV/0!</v>
      </c>
      <c r="F25" s="83"/>
      <c r="G25" s="83"/>
      <c r="H25" s="83"/>
      <c r="J25" s="76"/>
    </row>
    <row r="26" spans="1:11" ht="14.25" x14ac:dyDescent="0.45">
      <c r="A26" t="s">
        <v>398</v>
      </c>
      <c r="B26">
        <f>ROW()</f>
        <v>26</v>
      </c>
      <c r="C26" t="s">
        <v>419</v>
      </c>
      <c r="D26" t="s">
        <v>1276</v>
      </c>
      <c r="E26" s="83"/>
      <c r="F26" s="83"/>
      <c r="G26" s="159" t="e">
        <f>E12/(E4-E7)</f>
        <v>#DIV/0!</v>
      </c>
      <c r="H26" s="159" t="e">
        <f>F12/(F4-F7)</f>
        <v>#DIV/0!</v>
      </c>
      <c r="J26" s="84" t="e">
        <f>IF(SUM(G26:G27)-1&gt;10000,"ERROR","OK")</f>
        <v>#DIV/0!</v>
      </c>
      <c r="K26" s="85" t="e">
        <f>IF(SUM(G26:G27)-1&gt;10000,"ERROR","OK")</f>
        <v>#DIV/0!</v>
      </c>
    </row>
    <row r="27" spans="1:11" ht="14.25" x14ac:dyDescent="0.45">
      <c r="A27" t="s">
        <v>398</v>
      </c>
      <c r="B27">
        <f>ROW()</f>
        <v>27</v>
      </c>
      <c r="C27" t="s">
        <v>419</v>
      </c>
      <c r="D27" t="s">
        <v>1277</v>
      </c>
      <c r="E27" s="83"/>
      <c r="F27" s="83"/>
      <c r="G27" s="161" t="e">
        <f>E16/(E4-E7)</f>
        <v>#DIV/0!</v>
      </c>
      <c r="H27" s="161" t="e">
        <f>F16/(F4-F7)</f>
        <v>#DIV/0!</v>
      </c>
      <c r="J27" s="86"/>
    </row>
    <row r="28" spans="1:11" ht="14.25" x14ac:dyDescent="0.45">
      <c r="J28" s="76"/>
    </row>
    <row r="29" spans="1:11" ht="14.25" x14ac:dyDescent="0.45">
      <c r="J29" s="76"/>
    </row>
    <row r="30" spans="1:11" ht="21" x14ac:dyDescent="0.65">
      <c r="A30" s="129" t="s">
        <v>864</v>
      </c>
      <c r="J30" s="76"/>
    </row>
    <row r="31" spans="1:11" ht="37.9" customHeight="1" x14ac:dyDescent="0.45">
      <c r="A31" s="119" t="s">
        <v>78</v>
      </c>
      <c r="B31" s="119" t="s">
        <v>79</v>
      </c>
      <c r="C31" s="119" t="s">
        <v>1244</v>
      </c>
      <c r="D31" s="119" t="s">
        <v>1245</v>
      </c>
      <c r="E31" s="119" t="s">
        <v>1027</v>
      </c>
      <c r="F31" s="119" t="s">
        <v>1028</v>
      </c>
      <c r="H31" s="76"/>
    </row>
    <row r="32" spans="1:11" ht="14.25" x14ac:dyDescent="0.45">
      <c r="A32" t="s">
        <v>864</v>
      </c>
      <c r="B32">
        <f>ROW()</f>
        <v>32</v>
      </c>
      <c r="C32" t="s">
        <v>420</v>
      </c>
      <c r="D32" t="s">
        <v>92</v>
      </c>
      <c r="E32" s="158">
        <f>INDEX(tb_4c_4ci_4.31_1[RAB|
CY|
($000)],1)</f>
        <v>0</v>
      </c>
      <c r="F32" s="158">
        <f>INDEX(tb_4d_4di_4.41_1[RAB|
CY|
($000)],1)</f>
        <v>0</v>
      </c>
      <c r="H32" s="76" t="s">
        <v>421</v>
      </c>
    </row>
    <row r="33" spans="1:8" ht="14.25" x14ac:dyDescent="0.45">
      <c r="A33" t="s">
        <v>864</v>
      </c>
      <c r="B33">
        <f>ROW()</f>
        <v>33</v>
      </c>
      <c r="C33" t="s">
        <v>420</v>
      </c>
      <c r="D33" t="s">
        <v>422</v>
      </c>
      <c r="E33" s="218">
        <f>E4</f>
        <v>0</v>
      </c>
      <c r="F33" s="83"/>
      <c r="H33" s="76"/>
    </row>
    <row r="34" spans="1:8" ht="14.25" x14ac:dyDescent="0.45">
      <c r="A34" t="s">
        <v>864</v>
      </c>
      <c r="B34">
        <f>ROW()</f>
        <v>34</v>
      </c>
      <c r="C34" t="s">
        <v>420</v>
      </c>
      <c r="D34" s="30" t="s">
        <v>423</v>
      </c>
      <c r="E34" s="191">
        <f>E32-E33</f>
        <v>0</v>
      </c>
      <c r="F34" s="191">
        <f>F32-F33</f>
        <v>0</v>
      </c>
      <c r="H34" s="148" t="s">
        <v>1292</v>
      </c>
    </row>
    <row r="35" spans="1:8" ht="14.25" x14ac:dyDescent="0.45">
      <c r="A35" t="s">
        <v>864</v>
      </c>
      <c r="B35">
        <f>ROW()</f>
        <v>35</v>
      </c>
      <c r="C35" t="s">
        <v>420</v>
      </c>
      <c r="D35" t="s">
        <v>393</v>
      </c>
      <c r="E35" s="186">
        <f>Leverage</f>
        <v>0.28999999999999998</v>
      </c>
      <c r="F35" s="186">
        <f>Leverage</f>
        <v>0.28999999999999998</v>
      </c>
    </row>
    <row r="36" spans="1:8" ht="14.25" x14ac:dyDescent="0.45">
      <c r="A36" t="s">
        <v>864</v>
      </c>
      <c r="B36">
        <f>ROW()</f>
        <v>36</v>
      </c>
      <c r="C36" t="s">
        <v>420</v>
      </c>
      <c r="D36" t="s">
        <v>412</v>
      </c>
      <c r="E36" s="159">
        <f>'S1a.ID FFLAS IRR'!F35</f>
        <v>0</v>
      </c>
      <c r="F36" s="159">
        <f>tb_8b_8bii_8.22_1[[#This Row],[PQ FFLAS|
Actual  (NZD 000)]]</f>
        <v>0</v>
      </c>
    </row>
    <row r="37" spans="1:8" ht="14.25" x14ac:dyDescent="0.45">
      <c r="A37" t="s">
        <v>864</v>
      </c>
      <c r="B37">
        <f>ROW()</f>
        <v>37</v>
      </c>
      <c r="C37" t="s">
        <v>420</v>
      </c>
      <c r="D37" t="s">
        <v>1291</v>
      </c>
      <c r="E37" s="158">
        <f>E34*E35*E36</f>
        <v>0</v>
      </c>
      <c r="F37" s="158">
        <f>F34*F35*F36</f>
        <v>0</v>
      </c>
    </row>
  </sheetData>
  <phoneticPr fontId="27" type="noConversion"/>
  <pageMargins left="0.7" right="0.7" top="0.75" bottom="0.75" header="0.3" footer="0.3"/>
  <pageSetup paperSize="9" scale="60" fitToHeight="0" orientation="landscape" r:id="rId1"/>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4144-DE75-43E5-909E-08D6BBB8760B}">
  <sheetPr codeName="Sheet24">
    <pageSetUpPr fitToPage="1"/>
  </sheetPr>
  <dimension ref="A1:J67"/>
  <sheetViews>
    <sheetView zoomScale="85" zoomScaleNormal="85" workbookViewId="0"/>
  </sheetViews>
  <sheetFormatPr defaultRowHeight="14.45" customHeight="1" x14ac:dyDescent="0.45"/>
  <cols>
    <col min="1" max="1" width="37.3984375" customWidth="1"/>
    <col min="2" max="2" width="9" bestFit="1" customWidth="1"/>
    <col min="3" max="3" width="37" customWidth="1"/>
    <col min="4" max="4" width="38.59765625" customWidth="1"/>
    <col min="5" max="5" width="22.3984375" customWidth="1"/>
    <col min="6" max="6" width="6.73046875" customWidth="1"/>
    <col min="7" max="7" width="66.1328125" bestFit="1" customWidth="1"/>
    <col min="9" max="9" width="37.265625" customWidth="1"/>
  </cols>
  <sheetData>
    <row r="1" spans="1:7" ht="23.25" x14ac:dyDescent="0.45">
      <c r="A1" s="146" t="s">
        <v>1166</v>
      </c>
    </row>
    <row r="2" spans="1:7" ht="21" x14ac:dyDescent="0.65">
      <c r="A2" s="129" t="s">
        <v>424</v>
      </c>
    </row>
    <row r="3" spans="1:7" ht="30" customHeight="1" x14ac:dyDescent="0.45">
      <c r="A3" s="119" t="s">
        <v>78</v>
      </c>
      <c r="B3" s="119" t="s">
        <v>79</v>
      </c>
      <c r="C3" s="119" t="s">
        <v>1244</v>
      </c>
      <c r="D3" s="119" t="s">
        <v>1245</v>
      </c>
      <c r="E3" s="132" t="s">
        <v>154</v>
      </c>
    </row>
    <row r="4" spans="1:7" ht="14.25" x14ac:dyDescent="0.45">
      <c r="A4" t="s">
        <v>424</v>
      </c>
      <c r="B4" s="162">
        <f>ROW()</f>
        <v>4</v>
      </c>
      <c r="C4" s="162" t="s">
        <v>141</v>
      </c>
      <c r="D4" s="192"/>
      <c r="E4" s="171">
        <f>E45</f>
        <v>0</v>
      </c>
      <c r="G4" s="76" t="s">
        <v>1113</v>
      </c>
    </row>
    <row r="5" spans="1:7" ht="57" x14ac:dyDescent="0.45">
      <c r="A5" t="s">
        <v>424</v>
      </c>
      <c r="B5" s="162">
        <f>ROW()</f>
        <v>5</v>
      </c>
      <c r="C5" s="162" t="s">
        <v>141</v>
      </c>
      <c r="D5" s="192" t="s">
        <v>1130</v>
      </c>
      <c r="E5" s="65"/>
    </row>
    <row r="6" spans="1:7" ht="14.25" x14ac:dyDescent="0.45">
      <c r="A6" t="s">
        <v>424</v>
      </c>
      <c r="B6" s="162">
        <f>ROW()</f>
        <v>6</v>
      </c>
      <c r="C6" s="162" t="s">
        <v>425</v>
      </c>
      <c r="D6" s="162"/>
      <c r="E6" s="65"/>
    </row>
    <row r="7" spans="1:7" ht="14.25" x14ac:dyDescent="0.45"/>
    <row r="8" spans="1:7" ht="14.25" x14ac:dyDescent="0.45"/>
    <row r="9" spans="1:7" ht="21" x14ac:dyDescent="0.65">
      <c r="A9" s="129" t="s">
        <v>424</v>
      </c>
    </row>
    <row r="10" spans="1:7" ht="37.9" customHeight="1" x14ac:dyDescent="0.45">
      <c r="A10" s="119" t="s">
        <v>78</v>
      </c>
      <c r="B10" s="119" t="s">
        <v>79</v>
      </c>
      <c r="C10" s="119" t="s">
        <v>1246</v>
      </c>
      <c r="D10" s="119" t="s">
        <v>1248</v>
      </c>
      <c r="E10" s="132" t="s">
        <v>154</v>
      </c>
      <c r="G10" s="76" t="s">
        <v>441</v>
      </c>
    </row>
    <row r="11" spans="1:7" ht="14.25" x14ac:dyDescent="0.45">
      <c r="A11" t="s">
        <v>424</v>
      </c>
      <c r="B11" s="162">
        <f>ROW()</f>
        <v>11</v>
      </c>
      <c r="C11" s="162" t="s">
        <v>286</v>
      </c>
      <c r="D11" s="162" t="s">
        <v>272</v>
      </c>
      <c r="E11" s="171">
        <f>SUMIF($D$50:$D$64,D11,$E$50:$E$64)</f>
        <v>0</v>
      </c>
      <c r="G11" s="76" t="str">
        <f>"From rows "&amp;ROW($D$51)&amp;" to "&amp;ROW($D$65)&amp;" below"</f>
        <v>From rows 51 to 65 below</v>
      </c>
    </row>
    <row r="12" spans="1:7" ht="14.25" x14ac:dyDescent="0.45">
      <c r="A12" t="s">
        <v>424</v>
      </c>
      <c r="B12" s="162">
        <f>ROW()</f>
        <v>12</v>
      </c>
      <c r="C12" s="162" t="s">
        <v>286</v>
      </c>
      <c r="D12" s="162" t="s">
        <v>273</v>
      </c>
      <c r="E12" s="171">
        <f>SUMIF($D$50:$D$64,D12,$E$50:$E$64)</f>
        <v>0</v>
      </c>
      <c r="G12" s="76" t="str">
        <f t="shared" ref="G12:G28" si="0">"From rows "&amp;ROW($D$51)&amp;" to "&amp;ROW($D$65)&amp;" below"</f>
        <v>From rows 51 to 65 below</v>
      </c>
    </row>
    <row r="13" spans="1:7" ht="14.25" x14ac:dyDescent="0.45">
      <c r="A13" t="s">
        <v>424</v>
      </c>
      <c r="B13" s="162">
        <f>ROW()</f>
        <v>13</v>
      </c>
      <c r="C13" s="162" t="s">
        <v>286</v>
      </c>
      <c r="D13" s="162" t="s">
        <v>286</v>
      </c>
      <c r="E13" s="171">
        <f>SUM(E11:E12)</f>
        <v>0</v>
      </c>
      <c r="G13" s="76" t="str">
        <f t="shared" si="0"/>
        <v>From rows 51 to 65 below</v>
      </c>
    </row>
    <row r="14" spans="1:7" ht="14.25" x14ac:dyDescent="0.45">
      <c r="A14" t="s">
        <v>424</v>
      </c>
      <c r="B14" s="162">
        <f>ROW()</f>
        <v>14</v>
      </c>
      <c r="C14" s="162" t="s">
        <v>288</v>
      </c>
      <c r="D14" s="162" t="s">
        <v>274</v>
      </c>
      <c r="E14" s="171">
        <f>SUMIF($D$50:$D$64,D14,$E$50:$E$64)</f>
        <v>0</v>
      </c>
      <c r="G14" s="76" t="str">
        <f t="shared" si="0"/>
        <v>From rows 51 to 65 below</v>
      </c>
    </row>
    <row r="15" spans="1:7" ht="14.25" x14ac:dyDescent="0.45">
      <c r="A15" t="s">
        <v>424</v>
      </c>
      <c r="B15" s="162">
        <f>ROW()</f>
        <v>15</v>
      </c>
      <c r="C15" s="162" t="s">
        <v>288</v>
      </c>
      <c r="D15" s="162" t="s">
        <v>275</v>
      </c>
      <c r="E15" s="171">
        <f>SUMIF($D$50:$D$64,D15,$E$50:$E$64)</f>
        <v>0</v>
      </c>
      <c r="G15" s="76" t="str">
        <f t="shared" si="0"/>
        <v>From rows 51 to 65 below</v>
      </c>
    </row>
    <row r="16" spans="1:7" ht="14.25" x14ac:dyDescent="0.45">
      <c r="A16" t="s">
        <v>424</v>
      </c>
      <c r="B16" s="162">
        <f>ROW()</f>
        <v>16</v>
      </c>
      <c r="C16" s="162" t="s">
        <v>288</v>
      </c>
      <c r="D16" s="162" t="s">
        <v>276</v>
      </c>
      <c r="E16" s="171">
        <f>SUMIF($D$50:$D$64,D16,$E$50:$E$64)</f>
        <v>0</v>
      </c>
      <c r="G16" s="76" t="str">
        <f t="shared" si="0"/>
        <v>From rows 51 to 65 below</v>
      </c>
    </row>
    <row r="17" spans="1:7" ht="14.25" x14ac:dyDescent="0.45">
      <c r="A17" t="s">
        <v>424</v>
      </c>
      <c r="B17" s="162">
        <f>ROW()</f>
        <v>17</v>
      </c>
      <c r="C17" s="162" t="s">
        <v>288</v>
      </c>
      <c r="D17" s="162" t="s">
        <v>288</v>
      </c>
      <c r="E17" s="171">
        <f>SUM(E14:E16)</f>
        <v>0</v>
      </c>
      <c r="G17" s="76" t="str">
        <f t="shared" si="0"/>
        <v>From rows 51 to 65 below</v>
      </c>
    </row>
    <row r="18" spans="1:7" ht="14.25" x14ac:dyDescent="0.45">
      <c r="A18" t="s">
        <v>424</v>
      </c>
      <c r="B18" s="162">
        <f>ROW()</f>
        <v>18</v>
      </c>
      <c r="C18" s="162" t="s">
        <v>426</v>
      </c>
      <c r="D18" s="162" t="s">
        <v>277</v>
      </c>
      <c r="E18" s="171">
        <f>SUMIF($D$50:$D$64,D18,$E$50:$E$64)</f>
        <v>0</v>
      </c>
      <c r="G18" s="76" t="str">
        <f t="shared" si="0"/>
        <v>From rows 51 to 65 below</v>
      </c>
    </row>
    <row r="19" spans="1:7" ht="14.25" x14ac:dyDescent="0.45">
      <c r="A19" t="s">
        <v>424</v>
      </c>
      <c r="B19" s="162">
        <f>ROW()</f>
        <v>19</v>
      </c>
      <c r="C19" s="162" t="s">
        <v>426</v>
      </c>
      <c r="D19" s="162" t="s">
        <v>278</v>
      </c>
      <c r="E19" s="171">
        <f>SUMIF($D$50:$D$64,D19,$E$50:$E$64)</f>
        <v>0</v>
      </c>
      <c r="G19" s="76" t="str">
        <f t="shared" si="0"/>
        <v>From rows 51 to 65 below</v>
      </c>
    </row>
    <row r="20" spans="1:7" ht="14.25" x14ac:dyDescent="0.45">
      <c r="A20" t="s">
        <v>424</v>
      </c>
      <c r="B20" s="162">
        <f>ROW()</f>
        <v>20</v>
      </c>
      <c r="C20" s="162" t="s">
        <v>426</v>
      </c>
      <c r="D20" s="162" t="s">
        <v>279</v>
      </c>
      <c r="E20" s="171">
        <f>SUMIF($D$50:$D$64,D20,$E$50:$E$64)</f>
        <v>0</v>
      </c>
      <c r="G20" s="76" t="str">
        <f t="shared" si="0"/>
        <v>From rows 51 to 65 below</v>
      </c>
    </row>
    <row r="21" spans="1:7" ht="14.25" x14ac:dyDescent="0.45">
      <c r="A21" t="s">
        <v>424</v>
      </c>
      <c r="B21" s="162">
        <f>ROW()</f>
        <v>21</v>
      </c>
      <c r="C21" s="162" t="s">
        <v>426</v>
      </c>
      <c r="D21" s="162" t="s">
        <v>426</v>
      </c>
      <c r="E21" s="171">
        <f>SUM(E18:E20)</f>
        <v>0</v>
      </c>
      <c r="G21" s="76"/>
    </row>
    <row r="22" spans="1:7" ht="14.25" x14ac:dyDescent="0.45">
      <c r="A22" t="s">
        <v>424</v>
      </c>
      <c r="B22" s="162">
        <f>ROW()</f>
        <v>22</v>
      </c>
      <c r="C22" s="183" t="s">
        <v>1288</v>
      </c>
      <c r="D22" s="162"/>
      <c r="E22" s="171">
        <f>E13+E17+E21</f>
        <v>0</v>
      </c>
      <c r="G22" s="76"/>
    </row>
    <row r="23" spans="1:7" ht="14.25" x14ac:dyDescent="0.45">
      <c r="A23" t="s">
        <v>424</v>
      </c>
      <c r="B23" s="162">
        <f>ROW()</f>
        <v>23</v>
      </c>
      <c r="C23" s="183" t="s">
        <v>238</v>
      </c>
      <c r="D23" s="162" t="s">
        <v>302</v>
      </c>
      <c r="E23" s="171">
        <f>SUMIF($D$50:$D$64,D23,$E$50:$E$64)</f>
        <v>0</v>
      </c>
      <c r="G23" s="76" t="str">
        <f t="shared" si="0"/>
        <v>From rows 51 to 65 below</v>
      </c>
    </row>
    <row r="24" spans="1:7" ht="14.25" x14ac:dyDescent="0.45">
      <c r="A24" t="s">
        <v>424</v>
      </c>
      <c r="B24" s="162">
        <f>ROW()</f>
        <v>24</v>
      </c>
      <c r="C24" s="162" t="s">
        <v>238</v>
      </c>
      <c r="D24" s="162" t="s">
        <v>345</v>
      </c>
      <c r="E24" s="171">
        <f>SUMIF($D$50:$D$64,D24,$E$50:$E$64)</f>
        <v>0</v>
      </c>
      <c r="G24" s="76" t="str">
        <f t="shared" si="0"/>
        <v>From rows 51 to 65 below</v>
      </c>
    </row>
    <row r="25" spans="1:7" ht="14.25" x14ac:dyDescent="0.45">
      <c r="A25" t="s">
        <v>424</v>
      </c>
      <c r="B25" s="162">
        <f>ROW()</f>
        <v>25</v>
      </c>
      <c r="C25" s="162" t="s">
        <v>238</v>
      </c>
      <c r="D25" s="162" t="s">
        <v>308</v>
      </c>
      <c r="E25" s="171">
        <f>SUMIF($D$50:$D$64,D25,$E$50:$E$64)</f>
        <v>0</v>
      </c>
      <c r="G25" s="76" t="str">
        <f t="shared" si="0"/>
        <v>From rows 51 to 65 below</v>
      </c>
    </row>
    <row r="26" spans="1:7" ht="14.25" x14ac:dyDescent="0.45">
      <c r="A26" t="s">
        <v>424</v>
      </c>
      <c r="B26" s="162">
        <f>ROW()</f>
        <v>26</v>
      </c>
      <c r="C26" s="162" t="s">
        <v>238</v>
      </c>
      <c r="D26" s="162" t="s">
        <v>324</v>
      </c>
      <c r="E26" s="171">
        <f>SUMIF($D$50:$D$64,D26,$E$50:$E$64)</f>
        <v>0</v>
      </c>
      <c r="G26" s="76" t="str">
        <f t="shared" si="0"/>
        <v>From rows 51 to 65 below</v>
      </c>
    </row>
    <row r="27" spans="1:7" ht="14.25" x14ac:dyDescent="0.45">
      <c r="A27" t="s">
        <v>424</v>
      </c>
      <c r="B27" s="162">
        <f>ROW()</f>
        <v>27</v>
      </c>
      <c r="C27" s="162" t="s">
        <v>238</v>
      </c>
      <c r="D27" s="183" t="s">
        <v>314</v>
      </c>
      <c r="E27" s="171">
        <f>SUM(E23:E26)</f>
        <v>0</v>
      </c>
      <c r="G27" s="76"/>
    </row>
    <row r="28" spans="1:7" ht="14.25" x14ac:dyDescent="0.45">
      <c r="A28" t="s">
        <v>424</v>
      </c>
      <c r="B28" s="162">
        <f>ROW()</f>
        <v>28</v>
      </c>
      <c r="C28" s="162" t="s">
        <v>238</v>
      </c>
      <c r="D28" s="162" t="s">
        <v>318</v>
      </c>
      <c r="E28" s="171">
        <f>SUMIF($D$50:$D$64,D28,$E$50:$E$64)</f>
        <v>0</v>
      </c>
      <c r="G28" s="76" t="str">
        <f t="shared" si="0"/>
        <v>From rows 51 to 65 below</v>
      </c>
    </row>
    <row r="29" spans="1:7" ht="14.25" x14ac:dyDescent="0.45">
      <c r="A29" t="s">
        <v>424</v>
      </c>
      <c r="B29" s="162">
        <f>ROW()</f>
        <v>29</v>
      </c>
      <c r="C29" s="162" t="s">
        <v>238</v>
      </c>
      <c r="D29" s="183" t="s">
        <v>319</v>
      </c>
      <c r="E29" s="171">
        <f>E27+E28</f>
        <v>0</v>
      </c>
    </row>
    <row r="30" spans="1:7" ht="14.25" x14ac:dyDescent="0.45">
      <c r="A30" t="s">
        <v>424</v>
      </c>
      <c r="B30" s="162">
        <f>ROW()</f>
        <v>30</v>
      </c>
      <c r="C30" s="162" t="s">
        <v>238</v>
      </c>
      <c r="D30" s="162" t="s">
        <v>1289</v>
      </c>
      <c r="E30" s="156"/>
    </row>
    <row r="31" spans="1:7" ht="14.25" x14ac:dyDescent="0.45">
      <c r="A31" t="s">
        <v>424</v>
      </c>
      <c r="B31" s="162">
        <f>ROW()</f>
        <v>31</v>
      </c>
      <c r="C31" s="162" t="s">
        <v>238</v>
      </c>
      <c r="D31" s="162" t="s">
        <v>450</v>
      </c>
      <c r="E31" s="156"/>
    </row>
    <row r="32" spans="1:7" ht="14.25" x14ac:dyDescent="0.45">
      <c r="A32" t="s">
        <v>424</v>
      </c>
      <c r="B32" s="162">
        <f>ROW()</f>
        <v>32</v>
      </c>
      <c r="C32" s="162" t="s">
        <v>238</v>
      </c>
      <c r="D32" s="183" t="s">
        <v>238</v>
      </c>
      <c r="E32" s="171">
        <f>E29+E30-E31</f>
        <v>0</v>
      </c>
    </row>
    <row r="33" spans="1:5" ht="14.25" x14ac:dyDescent="0.45">
      <c r="A33" t="s">
        <v>424</v>
      </c>
      <c r="B33" s="162">
        <f>ROW()</f>
        <v>33</v>
      </c>
      <c r="C33" s="162" t="s">
        <v>238</v>
      </c>
      <c r="D33" s="183" t="s">
        <v>1290</v>
      </c>
      <c r="E33" s="171">
        <f>E22+E32</f>
        <v>0</v>
      </c>
    </row>
    <row r="34" spans="1:5" ht="14.25" x14ac:dyDescent="0.45">
      <c r="A34" t="s">
        <v>424</v>
      </c>
      <c r="B34" s="162">
        <f>ROW()</f>
        <v>34</v>
      </c>
      <c r="C34" s="162" t="s">
        <v>427</v>
      </c>
      <c r="D34" s="162"/>
      <c r="E34" s="65"/>
    </row>
    <row r="35" spans="1:5" ht="14.25" x14ac:dyDescent="0.45"/>
    <row r="36" spans="1:5" ht="14.25" x14ac:dyDescent="0.45"/>
    <row r="37" spans="1:5" ht="14.25" x14ac:dyDescent="0.45"/>
    <row r="38" spans="1:5" ht="14.25" x14ac:dyDescent="0.45"/>
    <row r="39" spans="1:5" ht="21" x14ac:dyDescent="0.65">
      <c r="A39" s="129" t="s">
        <v>429</v>
      </c>
    </row>
    <row r="40" spans="1:5" ht="56.65" customHeight="1" x14ac:dyDescent="0.45">
      <c r="A40" s="119" t="s">
        <v>78</v>
      </c>
      <c r="B40" s="119" t="s">
        <v>79</v>
      </c>
      <c r="C40" s="119" t="s">
        <v>1247</v>
      </c>
      <c r="D40" s="119" t="s">
        <v>1249</v>
      </c>
      <c r="E40" s="133" t="s">
        <v>428</v>
      </c>
    </row>
    <row r="41" spans="1:5" ht="14.25" x14ac:dyDescent="0.45">
      <c r="A41" t="s">
        <v>429</v>
      </c>
      <c r="B41">
        <f>ROW()</f>
        <v>41</v>
      </c>
      <c r="C41" s="74"/>
      <c r="D41" s="74"/>
      <c r="E41" s="170"/>
    </row>
    <row r="42" spans="1:5" ht="14.25" x14ac:dyDescent="0.45">
      <c r="A42" t="s">
        <v>429</v>
      </c>
      <c r="B42">
        <f>ROW()</f>
        <v>42</v>
      </c>
      <c r="C42" s="74"/>
      <c r="D42" s="74"/>
      <c r="E42" s="170"/>
    </row>
    <row r="43" spans="1:5" ht="14.25" x14ac:dyDescent="0.45">
      <c r="A43" t="s">
        <v>429</v>
      </c>
      <c r="B43">
        <f>ROW()</f>
        <v>43</v>
      </c>
      <c r="C43" s="74"/>
      <c r="D43" s="74"/>
      <c r="E43" s="170"/>
    </row>
    <row r="44" spans="1:5" ht="14.25" x14ac:dyDescent="0.45">
      <c r="A44" t="s">
        <v>429</v>
      </c>
      <c r="B44">
        <f>ROW()</f>
        <v>44</v>
      </c>
      <c r="C44" s="74"/>
      <c r="D44" s="74"/>
      <c r="E44" s="170"/>
    </row>
    <row r="45" spans="1:5" ht="14.25" x14ac:dyDescent="0.45">
      <c r="A45" t="s">
        <v>429</v>
      </c>
      <c r="B45">
        <f>ROW()</f>
        <v>45</v>
      </c>
      <c r="C45" s="30" t="s">
        <v>430</v>
      </c>
      <c r="E45" s="194">
        <f>SUM(E41:E44)</f>
        <v>0</v>
      </c>
    </row>
    <row r="46" spans="1:5" ht="14.25" x14ac:dyDescent="0.45"/>
    <row r="47" spans="1:5" ht="14.25" x14ac:dyDescent="0.45"/>
    <row r="48" spans="1:5" ht="21" x14ac:dyDescent="0.65">
      <c r="A48" s="129" t="s">
        <v>862</v>
      </c>
    </row>
    <row r="49" spans="1:10" ht="56.65" customHeight="1" x14ac:dyDescent="0.45">
      <c r="A49" s="119" t="s">
        <v>78</v>
      </c>
      <c r="B49" s="119" t="s">
        <v>79</v>
      </c>
      <c r="C49" s="119" t="s">
        <v>1247</v>
      </c>
      <c r="D49" s="119" t="s">
        <v>431</v>
      </c>
      <c r="E49" s="133" t="s">
        <v>428</v>
      </c>
    </row>
    <row r="50" spans="1:10" ht="14.25" x14ac:dyDescent="0.45">
      <c r="A50" t="s">
        <v>862</v>
      </c>
      <c r="B50">
        <f>ROW()</f>
        <v>50</v>
      </c>
      <c r="C50" s="170"/>
      <c r="D50" s="170" t="s">
        <v>449</v>
      </c>
      <c r="E50" s="170"/>
      <c r="J50" s="110" t="s">
        <v>451</v>
      </c>
    </row>
    <row r="51" spans="1:10" ht="14.25" x14ac:dyDescent="0.45">
      <c r="A51" t="s">
        <v>862</v>
      </c>
      <c r="B51">
        <f>ROW()</f>
        <v>51</v>
      </c>
      <c r="C51" s="170"/>
      <c r="D51" s="170" t="s">
        <v>449</v>
      </c>
      <c r="E51" s="170"/>
      <c r="J51" s="111" t="s">
        <v>272</v>
      </c>
    </row>
    <row r="52" spans="1:10" ht="14.25" x14ac:dyDescent="0.45">
      <c r="A52" t="s">
        <v>862</v>
      </c>
      <c r="B52">
        <f>ROW()</f>
        <v>52</v>
      </c>
      <c r="C52" s="170"/>
      <c r="D52" s="170" t="s">
        <v>449</v>
      </c>
      <c r="E52" s="170"/>
      <c r="J52" s="111" t="s">
        <v>273</v>
      </c>
    </row>
    <row r="53" spans="1:10" ht="14.25" x14ac:dyDescent="0.45">
      <c r="A53" t="s">
        <v>862</v>
      </c>
      <c r="B53">
        <f>ROW()</f>
        <v>53</v>
      </c>
      <c r="C53" s="170"/>
      <c r="D53" s="170" t="s">
        <v>449</v>
      </c>
      <c r="E53" s="170"/>
      <c r="J53" s="111" t="s">
        <v>274</v>
      </c>
    </row>
    <row r="54" spans="1:10" ht="14.25" x14ac:dyDescent="0.45">
      <c r="A54" t="s">
        <v>862</v>
      </c>
      <c r="B54">
        <f>ROW()</f>
        <v>54</v>
      </c>
      <c r="C54" s="170"/>
      <c r="D54" s="170" t="s">
        <v>449</v>
      </c>
      <c r="E54" s="170"/>
      <c r="J54" s="111" t="s">
        <v>275</v>
      </c>
    </row>
    <row r="55" spans="1:10" ht="14.25" x14ac:dyDescent="0.45">
      <c r="A55" t="s">
        <v>862</v>
      </c>
      <c r="B55">
        <f>ROW()</f>
        <v>55</v>
      </c>
      <c r="C55" s="170"/>
      <c r="D55" s="170" t="s">
        <v>449</v>
      </c>
      <c r="E55" s="170"/>
      <c r="J55" s="111" t="s">
        <v>276</v>
      </c>
    </row>
    <row r="56" spans="1:10" ht="14.25" x14ac:dyDescent="0.45">
      <c r="A56" t="s">
        <v>862</v>
      </c>
      <c r="B56">
        <f>ROW()</f>
        <v>56</v>
      </c>
      <c r="C56" s="170"/>
      <c r="D56" s="170" t="s">
        <v>449</v>
      </c>
      <c r="E56" s="170"/>
      <c r="J56" s="111" t="s">
        <v>277</v>
      </c>
    </row>
    <row r="57" spans="1:10" ht="14.25" x14ac:dyDescent="0.45">
      <c r="A57" t="s">
        <v>862</v>
      </c>
      <c r="B57">
        <f>ROW()</f>
        <v>57</v>
      </c>
      <c r="C57" s="170"/>
      <c r="D57" s="170" t="s">
        <v>449</v>
      </c>
      <c r="E57" s="170"/>
      <c r="J57" s="111" t="s">
        <v>278</v>
      </c>
    </row>
    <row r="58" spans="1:10" ht="14.25" x14ac:dyDescent="0.45">
      <c r="A58" t="s">
        <v>862</v>
      </c>
      <c r="B58">
        <f>ROW()</f>
        <v>58</v>
      </c>
      <c r="C58" s="170"/>
      <c r="D58" s="170" t="s">
        <v>449</v>
      </c>
      <c r="E58" s="170"/>
      <c r="J58" s="111" t="s">
        <v>279</v>
      </c>
    </row>
    <row r="59" spans="1:10" ht="14.25" x14ac:dyDescent="0.45">
      <c r="A59" t="s">
        <v>862</v>
      </c>
      <c r="B59">
        <f>ROW()</f>
        <v>59</v>
      </c>
      <c r="C59" s="170"/>
      <c r="D59" s="170" t="s">
        <v>449</v>
      </c>
      <c r="E59" s="170"/>
      <c r="J59" s="111" t="s">
        <v>302</v>
      </c>
    </row>
    <row r="60" spans="1:10" ht="14.25" x14ac:dyDescent="0.45">
      <c r="A60" t="s">
        <v>862</v>
      </c>
      <c r="B60">
        <f>ROW()</f>
        <v>60</v>
      </c>
      <c r="C60" s="170"/>
      <c r="D60" s="170" t="s">
        <v>449</v>
      </c>
      <c r="E60" s="170"/>
      <c r="J60" s="111" t="s">
        <v>345</v>
      </c>
    </row>
    <row r="61" spans="1:10" ht="14.25" x14ac:dyDescent="0.45">
      <c r="A61" t="s">
        <v>862</v>
      </c>
      <c r="B61">
        <f>ROW()</f>
        <v>61</v>
      </c>
      <c r="C61" s="170"/>
      <c r="D61" s="170" t="s">
        <v>449</v>
      </c>
      <c r="E61" s="170"/>
      <c r="J61" s="111" t="s">
        <v>308</v>
      </c>
    </row>
    <row r="62" spans="1:10" ht="14.25" x14ac:dyDescent="0.45">
      <c r="A62" t="s">
        <v>862</v>
      </c>
      <c r="B62">
        <f>ROW()</f>
        <v>62</v>
      </c>
      <c r="C62" s="170"/>
      <c r="D62" s="170" t="s">
        <v>449</v>
      </c>
      <c r="E62" s="170"/>
      <c r="J62" s="111" t="s">
        <v>324</v>
      </c>
    </row>
    <row r="63" spans="1:10" ht="14.25" x14ac:dyDescent="0.45">
      <c r="A63" t="s">
        <v>862</v>
      </c>
      <c r="B63">
        <f>ROW()</f>
        <v>63</v>
      </c>
      <c r="C63" s="170"/>
      <c r="D63" s="170" t="s">
        <v>449</v>
      </c>
      <c r="E63" s="170"/>
      <c r="J63" s="111" t="s">
        <v>318</v>
      </c>
    </row>
    <row r="64" spans="1:10" ht="14.25" x14ac:dyDescent="0.45">
      <c r="A64" t="s">
        <v>862</v>
      </c>
      <c r="B64">
        <f>ROW()</f>
        <v>64</v>
      </c>
      <c r="C64" s="170"/>
      <c r="D64" s="170" t="s">
        <v>449</v>
      </c>
      <c r="E64" s="170"/>
    </row>
    <row r="65" spans="1:5" ht="14.25" x14ac:dyDescent="0.45">
      <c r="A65" t="s">
        <v>862</v>
      </c>
      <c r="B65">
        <f>ROW()</f>
        <v>65</v>
      </c>
      <c r="C65" s="30" t="s">
        <v>430</v>
      </c>
      <c r="D65" s="83"/>
      <c r="E65" s="193">
        <f t="shared" ref="E65" si="1">SUM(E50:E64)</f>
        <v>0</v>
      </c>
    </row>
    <row r="66" spans="1:5" ht="14.25" x14ac:dyDescent="0.45"/>
    <row r="67" spans="1:5" ht="14.25" x14ac:dyDescent="0.45">
      <c r="A67" s="64" t="s">
        <v>866</v>
      </c>
    </row>
  </sheetData>
  <dataValidations count="1">
    <dataValidation type="list" allowBlank="1" showInputMessage="1" showErrorMessage="1" sqref="D50:D64" xr:uid="{129050B5-D4BA-4649-95E4-69EE739086C3}">
      <formula1>$J$51:$J$63</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1" manualBreakCount="1">
    <brk id="37" max="6" man="1"/>
  </rowBreaks>
  <tableParts count="4">
    <tablePart r:id="rId2"/>
    <tablePart r:id="rId3"/>
    <tablePart r:id="rId4"/>
    <tablePart r:id="rId5"/>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FC2CC-DFB1-4D6B-919D-4F9D67A1A562}">
  <sheetPr codeName="Sheet12">
    <pageSetUpPr fitToPage="1"/>
  </sheetPr>
  <dimension ref="A1:AT33"/>
  <sheetViews>
    <sheetView zoomScale="85" zoomScaleNormal="85" workbookViewId="0"/>
  </sheetViews>
  <sheetFormatPr defaultRowHeight="14.45" customHeight="1" x14ac:dyDescent="0.45"/>
  <cols>
    <col min="1" max="1" width="20.3984375" customWidth="1"/>
    <col min="2" max="2" width="7.59765625" bestFit="1" customWidth="1"/>
    <col min="3" max="3" width="40.265625" bestFit="1" customWidth="1"/>
    <col min="4" max="4" width="18.3984375" bestFit="1" customWidth="1"/>
    <col min="5" max="5" width="28.86328125" bestFit="1" customWidth="1"/>
    <col min="6" max="6" width="14" bestFit="1" customWidth="1"/>
    <col min="7" max="7" width="16.3984375" customWidth="1"/>
    <col min="8" max="8" width="16" bestFit="1" customWidth="1"/>
    <col min="9" max="9" width="15.265625" bestFit="1" customWidth="1"/>
    <col min="10" max="10" width="17" bestFit="1" customWidth="1"/>
    <col min="11" max="11" width="16" bestFit="1" customWidth="1"/>
    <col min="12" max="17" width="15.59765625" customWidth="1"/>
    <col min="18" max="18" width="10" customWidth="1"/>
    <col min="19" max="19" width="12.86328125" bestFit="1" customWidth="1"/>
    <col min="20" max="20" width="13" bestFit="1" customWidth="1"/>
    <col min="21" max="22" width="13.86328125" bestFit="1" customWidth="1"/>
    <col min="23" max="40" width="14.73046875" bestFit="1" customWidth="1"/>
    <col min="41" max="41" width="15" bestFit="1" customWidth="1"/>
    <col min="42" max="42" width="15.265625" bestFit="1" customWidth="1"/>
    <col min="43" max="43" width="2.265625" customWidth="1"/>
  </cols>
  <sheetData>
    <row r="1" spans="1:46" ht="23.25" x14ac:dyDescent="0.45">
      <c r="A1" s="146" t="s">
        <v>1167</v>
      </c>
    </row>
    <row r="2" spans="1:46" ht="21" x14ac:dyDescent="0.65">
      <c r="A2" s="129" t="s">
        <v>472</v>
      </c>
    </row>
    <row r="3" spans="1:46" ht="207.95" customHeight="1" x14ac:dyDescent="0.45">
      <c r="A3" s="119" t="s">
        <v>78</v>
      </c>
      <c r="B3" s="119" t="s">
        <v>79</v>
      </c>
      <c r="C3" s="119" t="s">
        <v>208</v>
      </c>
      <c r="D3" s="119" t="s">
        <v>1244</v>
      </c>
      <c r="E3" s="119" t="s">
        <v>1245</v>
      </c>
      <c r="F3" s="119" t="s">
        <v>1250</v>
      </c>
      <c r="G3" s="119" t="s">
        <v>1251</v>
      </c>
      <c r="H3" s="119" t="s">
        <v>1031</v>
      </c>
      <c r="I3" s="119" t="s">
        <v>1032</v>
      </c>
      <c r="J3" s="119" t="s">
        <v>1275</v>
      </c>
      <c r="K3" s="119" t="s">
        <v>1033</v>
      </c>
      <c r="L3" s="119" t="s">
        <v>1034</v>
      </c>
      <c r="M3" s="119" t="s">
        <v>1035</v>
      </c>
      <c r="N3" s="119" t="s">
        <v>1036</v>
      </c>
      <c r="O3" s="119" t="s">
        <v>1037</v>
      </c>
      <c r="P3" s="119" t="s">
        <v>1038</v>
      </c>
      <c r="Q3" s="119" t="s">
        <v>1039</v>
      </c>
      <c r="R3" s="134" t="s">
        <v>452</v>
      </c>
      <c r="S3" s="134" t="s">
        <v>1040</v>
      </c>
      <c r="T3" s="119" t="s">
        <v>1041</v>
      </c>
      <c r="U3" s="119" t="s">
        <v>1042</v>
      </c>
      <c r="V3" s="119" t="s">
        <v>1043</v>
      </c>
      <c r="W3" s="119" t="s">
        <v>1044</v>
      </c>
      <c r="X3" s="119" t="s">
        <v>1045</v>
      </c>
      <c r="Y3" s="119" t="s">
        <v>1046</v>
      </c>
      <c r="Z3" s="119" t="s">
        <v>1047</v>
      </c>
      <c r="AA3" s="119" t="s">
        <v>1048</v>
      </c>
      <c r="AB3" s="119" t="s">
        <v>1049</v>
      </c>
      <c r="AC3" s="119" t="s">
        <v>1050</v>
      </c>
      <c r="AD3" s="119" t="s">
        <v>1051</v>
      </c>
      <c r="AE3" s="119" t="s">
        <v>1052</v>
      </c>
      <c r="AF3" s="119" t="s">
        <v>1053</v>
      </c>
      <c r="AG3" s="119" t="s">
        <v>1054</v>
      </c>
      <c r="AH3" s="119" t="s">
        <v>1055</v>
      </c>
      <c r="AI3" s="119" t="s">
        <v>1056</v>
      </c>
      <c r="AJ3" s="119" t="s">
        <v>1057</v>
      </c>
      <c r="AK3" s="119" t="s">
        <v>1058</v>
      </c>
      <c r="AL3" s="119" t="s">
        <v>1059</v>
      </c>
      <c r="AM3" s="119" t="s">
        <v>1060</v>
      </c>
      <c r="AN3" s="119" t="s">
        <v>1061</v>
      </c>
      <c r="AO3" s="119" t="s">
        <v>1091</v>
      </c>
      <c r="AP3" s="119" t="s">
        <v>1062</v>
      </c>
      <c r="AQ3" s="31"/>
      <c r="AR3" s="31"/>
      <c r="AS3" s="31"/>
      <c r="AT3" s="110" t="s">
        <v>473</v>
      </c>
    </row>
    <row r="4" spans="1:46" ht="14.25" x14ac:dyDescent="0.45">
      <c r="A4" t="s">
        <v>472</v>
      </c>
      <c r="B4">
        <f>ROW()</f>
        <v>4</v>
      </c>
      <c r="C4" t="s">
        <v>474</v>
      </c>
      <c r="D4" t="s">
        <v>256</v>
      </c>
      <c r="E4" t="s">
        <v>453</v>
      </c>
      <c r="G4" t="s">
        <v>454</v>
      </c>
      <c r="H4" s="195"/>
      <c r="I4" s="65"/>
      <c r="J4" s="65"/>
      <c r="K4" s="65"/>
      <c r="L4" s="196"/>
      <c r="M4" s="196"/>
      <c r="N4" s="196"/>
      <c r="O4" s="196"/>
      <c r="P4" s="196"/>
      <c r="Q4" s="65"/>
      <c r="R4" s="196"/>
      <c r="S4" s="141"/>
      <c r="T4" s="65"/>
      <c r="U4" s="65"/>
      <c r="V4" s="65"/>
      <c r="W4" s="65"/>
      <c r="X4" s="65"/>
      <c r="Y4" s="65"/>
      <c r="Z4" s="65"/>
      <c r="AA4" s="65"/>
      <c r="AB4" s="65"/>
      <c r="AC4" s="65"/>
      <c r="AD4" s="65"/>
      <c r="AE4" s="65"/>
      <c r="AF4" s="65"/>
      <c r="AG4" s="65"/>
      <c r="AH4" s="65"/>
      <c r="AI4" s="65"/>
      <c r="AJ4" s="65"/>
      <c r="AK4" s="65"/>
      <c r="AL4" s="65"/>
      <c r="AM4" s="65"/>
      <c r="AN4" s="65"/>
      <c r="AO4" s="65"/>
      <c r="AP4" s="170"/>
      <c r="AT4" s="111">
        <v>1</v>
      </c>
    </row>
    <row r="5" spans="1:46" ht="14.25" x14ac:dyDescent="0.45">
      <c r="A5" t="s">
        <v>472</v>
      </c>
      <c r="B5">
        <f>ROW()</f>
        <v>5</v>
      </c>
      <c r="C5" t="s">
        <v>474</v>
      </c>
      <c r="D5" t="s">
        <v>256</v>
      </c>
      <c r="E5" t="s">
        <v>455</v>
      </c>
      <c r="G5" t="s">
        <v>456</v>
      </c>
      <c r="H5" s="195"/>
      <c r="I5" s="65"/>
      <c r="J5" s="65"/>
      <c r="K5" s="65"/>
      <c r="L5" s="196"/>
      <c r="M5" s="196"/>
      <c r="N5" s="196"/>
      <c r="O5" s="196"/>
      <c r="P5" s="196"/>
      <c r="Q5" s="65"/>
      <c r="R5" s="196"/>
      <c r="S5" s="141"/>
      <c r="T5" s="65"/>
      <c r="U5" s="65"/>
      <c r="V5" s="65"/>
      <c r="W5" s="65"/>
      <c r="X5" s="65"/>
      <c r="Y5" s="65"/>
      <c r="Z5" s="65"/>
      <c r="AA5" s="65"/>
      <c r="AB5" s="65"/>
      <c r="AC5" s="65"/>
      <c r="AD5" s="65"/>
      <c r="AE5" s="65"/>
      <c r="AF5" s="65"/>
      <c r="AG5" s="65"/>
      <c r="AH5" s="65"/>
      <c r="AI5" s="65"/>
      <c r="AJ5" s="65"/>
      <c r="AK5" s="65"/>
      <c r="AL5" s="65"/>
      <c r="AM5" s="65"/>
      <c r="AN5" s="65"/>
      <c r="AO5" s="65"/>
      <c r="AP5" s="170"/>
      <c r="AT5" s="111">
        <v>2</v>
      </c>
    </row>
    <row r="6" spans="1:46" ht="14.25" x14ac:dyDescent="0.45">
      <c r="A6" t="s">
        <v>472</v>
      </c>
      <c r="B6">
        <f>ROW()</f>
        <v>6</v>
      </c>
      <c r="C6" t="s">
        <v>474</v>
      </c>
      <c r="D6" t="s">
        <v>256</v>
      </c>
      <c r="E6" t="s">
        <v>457</v>
      </c>
      <c r="G6" t="s">
        <v>456</v>
      </c>
      <c r="H6" s="195"/>
      <c r="I6" s="65"/>
      <c r="J6" s="65"/>
      <c r="K6" s="65"/>
      <c r="L6" s="196"/>
      <c r="M6" s="196"/>
      <c r="N6" s="196"/>
      <c r="O6" s="196"/>
      <c r="P6" s="196"/>
      <c r="Q6" s="65"/>
      <c r="R6" s="196"/>
      <c r="S6" s="141"/>
      <c r="T6" s="65"/>
      <c r="U6" s="65"/>
      <c r="V6" s="65"/>
      <c r="W6" s="65"/>
      <c r="X6" s="65"/>
      <c r="Y6" s="65"/>
      <c r="Z6" s="65"/>
      <c r="AA6" s="65"/>
      <c r="AB6" s="65"/>
      <c r="AC6" s="65"/>
      <c r="AD6" s="65"/>
      <c r="AE6" s="65"/>
      <c r="AF6" s="65"/>
      <c r="AG6" s="65"/>
      <c r="AH6" s="65"/>
      <c r="AI6" s="65"/>
      <c r="AJ6" s="65"/>
      <c r="AK6" s="65"/>
      <c r="AL6" s="65"/>
      <c r="AM6" s="65"/>
      <c r="AN6" s="65"/>
      <c r="AO6" s="65"/>
      <c r="AP6" s="170"/>
      <c r="AT6" s="111">
        <v>3</v>
      </c>
    </row>
    <row r="7" spans="1:46" ht="14.25" x14ac:dyDescent="0.45">
      <c r="A7" t="s">
        <v>472</v>
      </c>
      <c r="B7">
        <f>ROW()</f>
        <v>7</v>
      </c>
      <c r="C7" t="s">
        <v>474</v>
      </c>
      <c r="D7" t="s">
        <v>256</v>
      </c>
      <c r="E7" t="s">
        <v>458</v>
      </c>
      <c r="F7" t="s">
        <v>459</v>
      </c>
      <c r="G7" t="s">
        <v>454</v>
      </c>
      <c r="H7" s="195"/>
      <c r="I7" s="65"/>
      <c r="J7" s="65"/>
      <c r="K7" s="65"/>
      <c r="L7" s="196"/>
      <c r="M7" s="196"/>
      <c r="N7" s="196"/>
      <c r="O7" s="196"/>
      <c r="P7" s="196"/>
      <c r="Q7" s="65"/>
      <c r="R7" s="196"/>
      <c r="S7" s="141"/>
      <c r="T7" s="65"/>
      <c r="U7" s="65"/>
      <c r="V7" s="65"/>
      <c r="W7" s="65"/>
      <c r="X7" s="65"/>
      <c r="Y7" s="65"/>
      <c r="Z7" s="65"/>
      <c r="AA7" s="65"/>
      <c r="AB7" s="65"/>
      <c r="AC7" s="65"/>
      <c r="AD7" s="65"/>
      <c r="AE7" s="65"/>
      <c r="AF7" s="65"/>
      <c r="AG7" s="65"/>
      <c r="AH7" s="65"/>
      <c r="AI7" s="65"/>
      <c r="AJ7" s="65"/>
      <c r="AK7" s="65"/>
      <c r="AL7" s="65"/>
      <c r="AM7" s="65"/>
      <c r="AN7" s="65"/>
      <c r="AO7" s="65"/>
      <c r="AP7" s="170"/>
      <c r="AT7" s="111">
        <v>4</v>
      </c>
    </row>
    <row r="8" spans="1:46" ht="14.25" x14ac:dyDescent="0.45">
      <c r="A8" t="s">
        <v>472</v>
      </c>
      <c r="B8">
        <f>ROW()</f>
        <v>8</v>
      </c>
      <c r="C8" t="s">
        <v>474</v>
      </c>
      <c r="D8" t="s">
        <v>256</v>
      </c>
      <c r="E8" t="s">
        <v>458</v>
      </c>
      <c r="F8" t="s">
        <v>460</v>
      </c>
      <c r="G8" t="s">
        <v>454</v>
      </c>
      <c r="H8" s="195"/>
      <c r="I8" s="65"/>
      <c r="J8" s="65"/>
      <c r="K8" s="65"/>
      <c r="L8" s="196"/>
      <c r="M8" s="196"/>
      <c r="N8" s="196"/>
      <c r="O8" s="196"/>
      <c r="P8" s="196"/>
      <c r="Q8" s="65"/>
      <c r="R8" s="196"/>
      <c r="S8" s="141"/>
      <c r="T8" s="65"/>
      <c r="U8" s="65"/>
      <c r="V8" s="65"/>
      <c r="W8" s="65"/>
      <c r="X8" s="65"/>
      <c r="Y8" s="65"/>
      <c r="Z8" s="65"/>
      <c r="AA8" s="65"/>
      <c r="AB8" s="65"/>
      <c r="AC8" s="65"/>
      <c r="AD8" s="65"/>
      <c r="AE8" s="65"/>
      <c r="AF8" s="65"/>
      <c r="AG8" s="65"/>
      <c r="AH8" s="65"/>
      <c r="AI8" s="65"/>
      <c r="AJ8" s="65"/>
      <c r="AK8" s="65"/>
      <c r="AL8" s="65"/>
      <c r="AM8" s="65"/>
      <c r="AN8" s="65"/>
      <c r="AO8" s="65"/>
      <c r="AP8" s="170"/>
      <c r="AT8" s="111" t="s">
        <v>135</v>
      </c>
    </row>
    <row r="9" spans="1:46" ht="14.25" x14ac:dyDescent="0.45">
      <c r="A9" t="s">
        <v>472</v>
      </c>
      <c r="B9">
        <f>ROW()</f>
        <v>9</v>
      </c>
      <c r="C9" t="s">
        <v>474</v>
      </c>
      <c r="D9" t="s">
        <v>256</v>
      </c>
      <c r="E9" t="s">
        <v>461</v>
      </c>
      <c r="F9" t="s">
        <v>459</v>
      </c>
      <c r="G9" t="s">
        <v>454</v>
      </c>
      <c r="H9" s="195"/>
      <c r="I9" s="65"/>
      <c r="J9" s="65"/>
      <c r="K9" s="65"/>
      <c r="L9" s="196"/>
      <c r="M9" s="196"/>
      <c r="N9" s="196"/>
      <c r="O9" s="196"/>
      <c r="P9" s="196"/>
      <c r="Q9" s="65"/>
      <c r="R9" s="196"/>
      <c r="S9" s="141"/>
      <c r="T9" s="65"/>
      <c r="U9" s="65"/>
      <c r="V9" s="65"/>
      <c r="W9" s="65"/>
      <c r="X9" s="65"/>
      <c r="Y9" s="65"/>
      <c r="Z9" s="65"/>
      <c r="AA9" s="65"/>
      <c r="AB9" s="65"/>
      <c r="AC9" s="65"/>
      <c r="AD9" s="65"/>
      <c r="AE9" s="65"/>
      <c r="AF9" s="65"/>
      <c r="AG9" s="65"/>
      <c r="AH9" s="65"/>
      <c r="AI9" s="65"/>
      <c r="AJ9" s="65"/>
      <c r="AK9" s="65"/>
      <c r="AL9" s="65"/>
      <c r="AM9" s="65"/>
      <c r="AN9" s="65"/>
      <c r="AO9" s="65"/>
      <c r="AP9" s="170"/>
      <c r="AT9" s="111" t="s">
        <v>449</v>
      </c>
    </row>
    <row r="10" spans="1:46" ht="14.25" x14ac:dyDescent="0.45">
      <c r="A10" t="s">
        <v>472</v>
      </c>
      <c r="B10">
        <f>ROW()</f>
        <v>10</v>
      </c>
      <c r="C10" t="s">
        <v>474</v>
      </c>
      <c r="D10" t="s">
        <v>256</v>
      </c>
      <c r="E10" t="s">
        <v>461</v>
      </c>
      <c r="F10" t="s">
        <v>460</v>
      </c>
      <c r="G10" t="s">
        <v>454</v>
      </c>
      <c r="H10" s="195"/>
      <c r="I10" s="65"/>
      <c r="J10" s="65"/>
      <c r="K10" s="65"/>
      <c r="L10" s="196"/>
      <c r="M10" s="196"/>
      <c r="N10" s="196"/>
      <c r="O10" s="196"/>
      <c r="P10" s="196"/>
      <c r="Q10" s="65"/>
      <c r="R10" s="196"/>
      <c r="S10" s="141"/>
      <c r="T10" s="65"/>
      <c r="U10" s="65"/>
      <c r="V10" s="65"/>
      <c r="W10" s="65"/>
      <c r="X10" s="65"/>
      <c r="Y10" s="65"/>
      <c r="Z10" s="65"/>
      <c r="AA10" s="65"/>
      <c r="AB10" s="65"/>
      <c r="AC10" s="65"/>
      <c r="AD10" s="65"/>
      <c r="AE10" s="65"/>
      <c r="AF10" s="65"/>
      <c r="AG10" s="65"/>
      <c r="AH10" s="65"/>
      <c r="AI10" s="65"/>
      <c r="AJ10" s="65"/>
      <c r="AK10" s="65"/>
      <c r="AL10" s="65"/>
      <c r="AM10" s="65"/>
      <c r="AN10" s="65"/>
      <c r="AO10" s="65"/>
      <c r="AP10" s="170"/>
    </row>
    <row r="11" spans="1:46" ht="14.25" x14ac:dyDescent="0.45">
      <c r="A11" t="s">
        <v>472</v>
      </c>
      <c r="B11">
        <f>ROW()</f>
        <v>11</v>
      </c>
      <c r="C11" t="s">
        <v>474</v>
      </c>
      <c r="D11" t="s">
        <v>256</v>
      </c>
      <c r="E11" t="s">
        <v>462</v>
      </c>
      <c r="F11" t="s">
        <v>459</v>
      </c>
      <c r="G11" t="s">
        <v>454</v>
      </c>
      <c r="H11" s="195"/>
      <c r="I11" s="65"/>
      <c r="J11" s="65"/>
      <c r="K11" s="65"/>
      <c r="L11" s="196"/>
      <c r="M11" s="196"/>
      <c r="N11" s="196"/>
      <c r="O11" s="196"/>
      <c r="P11" s="196"/>
      <c r="Q11" s="65"/>
      <c r="R11" s="196"/>
      <c r="S11" s="141"/>
      <c r="T11" s="65"/>
      <c r="U11" s="65"/>
      <c r="V11" s="65"/>
      <c r="W11" s="65"/>
      <c r="X11" s="65"/>
      <c r="Y11" s="65"/>
      <c r="Z11" s="65"/>
      <c r="AA11" s="65"/>
      <c r="AB11" s="65"/>
      <c r="AC11" s="65"/>
      <c r="AD11" s="65"/>
      <c r="AE11" s="65"/>
      <c r="AF11" s="65"/>
      <c r="AG11" s="65"/>
      <c r="AH11" s="65"/>
      <c r="AI11" s="65"/>
      <c r="AJ11" s="65"/>
      <c r="AK11" s="65"/>
      <c r="AL11" s="65"/>
      <c r="AM11" s="65"/>
      <c r="AN11" s="65"/>
      <c r="AO11" s="65"/>
      <c r="AP11" s="170"/>
    </row>
    <row r="12" spans="1:46" ht="14.25" x14ac:dyDescent="0.45">
      <c r="A12" t="s">
        <v>472</v>
      </c>
      <c r="B12">
        <f>ROW()</f>
        <v>12</v>
      </c>
      <c r="C12" t="s">
        <v>474</v>
      </c>
      <c r="D12" t="s">
        <v>256</v>
      </c>
      <c r="E12" t="s">
        <v>462</v>
      </c>
      <c r="F12" t="s">
        <v>460</v>
      </c>
      <c r="G12" t="s">
        <v>454</v>
      </c>
      <c r="H12" s="195"/>
      <c r="I12" s="65"/>
      <c r="J12" s="65"/>
      <c r="K12" s="65"/>
      <c r="L12" s="196"/>
      <c r="M12" s="196"/>
      <c r="N12" s="196"/>
      <c r="O12" s="196"/>
      <c r="P12" s="196"/>
      <c r="Q12" s="65"/>
      <c r="R12" s="196"/>
      <c r="S12" s="141"/>
      <c r="T12" s="65"/>
      <c r="U12" s="65"/>
      <c r="V12" s="65"/>
      <c r="W12" s="65"/>
      <c r="X12" s="65"/>
      <c r="Y12" s="65"/>
      <c r="Z12" s="65"/>
      <c r="AA12" s="65"/>
      <c r="AB12" s="65"/>
      <c r="AC12" s="65"/>
      <c r="AD12" s="65"/>
      <c r="AE12" s="65"/>
      <c r="AF12" s="65"/>
      <c r="AG12" s="65"/>
      <c r="AH12" s="65"/>
      <c r="AI12" s="65"/>
      <c r="AJ12" s="65"/>
      <c r="AK12" s="65"/>
      <c r="AL12" s="65"/>
      <c r="AM12" s="65"/>
      <c r="AN12" s="65"/>
      <c r="AO12" s="65"/>
      <c r="AP12" s="170"/>
    </row>
    <row r="13" spans="1:46" ht="14.25" x14ac:dyDescent="0.45">
      <c r="A13" t="s">
        <v>472</v>
      </c>
      <c r="B13">
        <f>ROW()</f>
        <v>13</v>
      </c>
      <c r="C13" t="s">
        <v>474</v>
      </c>
      <c r="D13" t="s">
        <v>256</v>
      </c>
      <c r="E13" t="s">
        <v>463</v>
      </c>
      <c r="G13" t="s">
        <v>456</v>
      </c>
      <c r="H13" s="195"/>
      <c r="I13" s="65"/>
      <c r="J13" s="65"/>
      <c r="K13" s="65"/>
      <c r="L13" s="196"/>
      <c r="M13" s="196"/>
      <c r="N13" s="196"/>
      <c r="O13" s="196"/>
      <c r="P13" s="196"/>
      <c r="Q13" s="65"/>
      <c r="R13" s="196"/>
      <c r="S13" s="141"/>
      <c r="T13" s="65"/>
      <c r="U13" s="65"/>
      <c r="V13" s="65"/>
      <c r="W13" s="65"/>
      <c r="X13" s="65"/>
      <c r="Y13" s="65"/>
      <c r="Z13" s="65"/>
      <c r="AA13" s="65"/>
      <c r="AB13" s="65"/>
      <c r="AC13" s="65"/>
      <c r="AD13" s="65"/>
      <c r="AE13" s="65"/>
      <c r="AF13" s="65"/>
      <c r="AG13" s="65"/>
      <c r="AH13" s="65"/>
      <c r="AI13" s="65"/>
      <c r="AJ13" s="65"/>
      <c r="AK13" s="65"/>
      <c r="AL13" s="65"/>
      <c r="AM13" s="65"/>
      <c r="AN13" s="65"/>
      <c r="AO13" s="65"/>
      <c r="AP13" s="170"/>
    </row>
    <row r="14" spans="1:46" ht="14.25" x14ac:dyDescent="0.45">
      <c r="A14" t="s">
        <v>472</v>
      </c>
      <c r="B14">
        <f>ROW()</f>
        <v>14</v>
      </c>
      <c r="C14" t="s">
        <v>474</v>
      </c>
      <c r="D14" t="s">
        <v>256</v>
      </c>
      <c r="E14" t="s">
        <v>257</v>
      </c>
      <c r="G14" t="s">
        <v>456</v>
      </c>
      <c r="H14" s="195"/>
      <c r="I14" s="65"/>
      <c r="J14" s="65"/>
      <c r="K14" s="65"/>
      <c r="L14" s="196"/>
      <c r="M14" s="196"/>
      <c r="N14" s="196"/>
      <c r="O14" s="196"/>
      <c r="P14" s="196"/>
      <c r="Q14" s="65"/>
      <c r="R14" s="196"/>
      <c r="S14" s="141"/>
      <c r="T14" s="65"/>
      <c r="U14" s="65"/>
      <c r="V14" s="65"/>
      <c r="W14" s="65"/>
      <c r="X14" s="65"/>
      <c r="Y14" s="65"/>
      <c r="Z14" s="65"/>
      <c r="AA14" s="65"/>
      <c r="AB14" s="65"/>
      <c r="AC14" s="65"/>
      <c r="AD14" s="65"/>
      <c r="AE14" s="65"/>
      <c r="AF14" s="65"/>
      <c r="AG14" s="65"/>
      <c r="AH14" s="65"/>
      <c r="AI14" s="65"/>
      <c r="AJ14" s="65"/>
      <c r="AK14" s="65"/>
      <c r="AL14" s="65"/>
      <c r="AM14" s="65"/>
      <c r="AN14" s="65"/>
      <c r="AO14" s="65"/>
      <c r="AP14" s="170"/>
    </row>
    <row r="15" spans="1:46" ht="14.25" x14ac:dyDescent="0.45">
      <c r="A15" t="s">
        <v>472</v>
      </c>
      <c r="B15">
        <f>ROW()</f>
        <v>15</v>
      </c>
      <c r="C15" t="s">
        <v>474</v>
      </c>
      <c r="D15" t="s">
        <v>261</v>
      </c>
      <c r="E15" t="s">
        <v>195</v>
      </c>
      <c r="G15" t="s">
        <v>456</v>
      </c>
      <c r="H15" s="195"/>
      <c r="I15" s="65"/>
      <c r="J15" s="65"/>
      <c r="K15" s="65"/>
      <c r="L15" s="196"/>
      <c r="M15" s="196"/>
      <c r="N15" s="196"/>
      <c r="O15" s="196"/>
      <c r="P15" s="196"/>
      <c r="Q15" s="65"/>
      <c r="R15" s="196"/>
      <c r="S15" s="141"/>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1:46" ht="14.25" x14ac:dyDescent="0.45">
      <c r="A16" t="s">
        <v>472</v>
      </c>
      <c r="B16">
        <f>ROW()</f>
        <v>16</v>
      </c>
      <c r="C16" t="s">
        <v>474</v>
      </c>
      <c r="D16" t="s">
        <v>261</v>
      </c>
      <c r="E16" t="s">
        <v>195</v>
      </c>
      <c r="F16" t="s">
        <v>464</v>
      </c>
      <c r="G16" t="s">
        <v>456</v>
      </c>
      <c r="H16" s="195"/>
      <c r="I16" s="65"/>
      <c r="J16" s="65"/>
      <c r="K16" s="65"/>
      <c r="L16" s="196"/>
      <c r="M16" s="196"/>
      <c r="N16" s="196"/>
      <c r="O16" s="196"/>
      <c r="P16" s="196"/>
      <c r="Q16" s="65"/>
      <c r="R16" s="196"/>
      <c r="S16" s="141"/>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1:42" ht="14.25" x14ac:dyDescent="0.45">
      <c r="A17" t="s">
        <v>472</v>
      </c>
      <c r="B17">
        <f>ROW()</f>
        <v>17</v>
      </c>
      <c r="C17" t="s">
        <v>474</v>
      </c>
      <c r="D17" t="s">
        <v>259</v>
      </c>
      <c r="E17" t="s">
        <v>257</v>
      </c>
      <c r="G17" t="s">
        <v>456</v>
      </c>
      <c r="H17" s="195"/>
      <c r="I17" s="65"/>
      <c r="J17" s="65"/>
      <c r="K17" s="65"/>
      <c r="L17" s="83"/>
      <c r="M17" s="83"/>
      <c r="N17" s="83"/>
      <c r="O17" s="83"/>
      <c r="P17" s="83"/>
      <c r="Q17" s="83"/>
      <c r="R17" s="196"/>
      <c r="S17" s="141"/>
      <c r="T17" s="65"/>
      <c r="U17" s="65"/>
      <c r="V17" s="65"/>
      <c r="W17" s="65"/>
      <c r="X17" s="65"/>
      <c r="Y17" s="65"/>
      <c r="Z17" s="65"/>
      <c r="AA17" s="65"/>
      <c r="AB17" s="65"/>
      <c r="AC17" s="65"/>
      <c r="AD17" s="65"/>
      <c r="AE17" s="65"/>
      <c r="AF17" s="65"/>
      <c r="AG17" s="65"/>
      <c r="AH17" s="65"/>
      <c r="AI17" s="65"/>
      <c r="AJ17" s="65"/>
      <c r="AK17" s="65"/>
      <c r="AL17" s="65"/>
      <c r="AM17" s="65"/>
      <c r="AN17" s="65"/>
      <c r="AO17" s="65"/>
      <c r="AP17" s="170"/>
    </row>
    <row r="18" spans="1:42" ht="14.25" x14ac:dyDescent="0.45">
      <c r="A18" t="s">
        <v>472</v>
      </c>
      <c r="B18">
        <f>ROW()</f>
        <v>18</v>
      </c>
      <c r="C18" t="s">
        <v>474</v>
      </c>
      <c r="D18" t="s">
        <v>259</v>
      </c>
      <c r="E18" t="s">
        <v>465</v>
      </c>
      <c r="G18" t="s">
        <v>456</v>
      </c>
      <c r="H18" s="195"/>
      <c r="I18" s="65"/>
      <c r="J18" s="65"/>
      <c r="K18" s="65"/>
      <c r="L18" s="83"/>
      <c r="M18" s="83"/>
      <c r="N18" s="83"/>
      <c r="O18" s="83"/>
      <c r="P18" s="83"/>
      <c r="Q18" s="83"/>
      <c r="R18" s="196"/>
      <c r="S18" s="141"/>
      <c r="T18" s="65"/>
      <c r="U18" s="65"/>
      <c r="V18" s="65"/>
      <c r="W18" s="65"/>
      <c r="X18" s="65"/>
      <c r="Y18" s="65"/>
      <c r="Z18" s="65"/>
      <c r="AA18" s="65"/>
      <c r="AB18" s="65"/>
      <c r="AC18" s="65"/>
      <c r="AD18" s="65"/>
      <c r="AE18" s="65"/>
      <c r="AF18" s="65"/>
      <c r="AG18" s="65"/>
      <c r="AH18" s="65"/>
      <c r="AI18" s="65"/>
      <c r="AJ18" s="65"/>
      <c r="AK18" s="65"/>
      <c r="AL18" s="65"/>
      <c r="AM18" s="65"/>
      <c r="AN18" s="65"/>
      <c r="AO18" s="65"/>
      <c r="AP18" s="170"/>
    </row>
    <row r="19" spans="1:42" ht="14.25" x14ac:dyDescent="0.45">
      <c r="A19" s="162" t="s">
        <v>472</v>
      </c>
      <c r="B19" s="162">
        <f>ROW()</f>
        <v>19</v>
      </c>
      <c r="C19" s="162" t="s">
        <v>474</v>
      </c>
      <c r="D19" s="162" t="s">
        <v>259</v>
      </c>
      <c r="E19" s="162" t="s">
        <v>189</v>
      </c>
      <c r="F19" s="162"/>
      <c r="G19" s="162" t="s">
        <v>456</v>
      </c>
      <c r="H19" s="195"/>
      <c r="I19" s="65"/>
      <c r="J19" s="65"/>
      <c r="K19" s="65"/>
      <c r="L19" s="197"/>
      <c r="M19" s="197"/>
      <c r="N19" s="197"/>
      <c r="O19" s="197"/>
      <c r="P19" s="197"/>
      <c r="Q19" s="197"/>
      <c r="R19" s="196"/>
      <c r="S19" s="141"/>
      <c r="T19" s="65"/>
      <c r="U19" s="65"/>
      <c r="V19" s="65"/>
      <c r="W19" s="65"/>
      <c r="X19" s="65"/>
      <c r="Y19" s="65"/>
      <c r="Z19" s="65"/>
      <c r="AA19" s="65"/>
      <c r="AB19" s="65"/>
      <c r="AC19" s="65"/>
      <c r="AD19" s="65"/>
      <c r="AE19" s="65"/>
      <c r="AF19" s="65"/>
      <c r="AG19" s="65"/>
      <c r="AH19" s="65"/>
      <c r="AI19" s="65"/>
      <c r="AJ19" s="65"/>
      <c r="AK19" s="65"/>
      <c r="AL19" s="65"/>
      <c r="AM19" s="65"/>
      <c r="AN19" s="65"/>
      <c r="AO19" s="65"/>
      <c r="AP19" s="170"/>
    </row>
    <row r="20" spans="1:42" ht="14.25" x14ac:dyDescent="0.45">
      <c r="A20" t="s">
        <v>472</v>
      </c>
      <c r="B20">
        <f>ROW()</f>
        <v>20</v>
      </c>
      <c r="C20" t="s">
        <v>474</v>
      </c>
      <c r="D20" t="s">
        <v>259</v>
      </c>
      <c r="E20" t="s">
        <v>189</v>
      </c>
      <c r="F20" t="s">
        <v>466</v>
      </c>
      <c r="G20" t="s">
        <v>456</v>
      </c>
      <c r="H20" s="195"/>
      <c r="I20" s="65"/>
      <c r="J20" s="65"/>
      <c r="K20" s="65"/>
      <c r="L20" s="83"/>
      <c r="M20" s="83"/>
      <c r="N20" s="83"/>
      <c r="O20" s="83"/>
      <c r="P20" s="83"/>
      <c r="Q20" s="83"/>
      <c r="R20" s="196"/>
      <c r="S20" s="141"/>
      <c r="T20" s="65"/>
      <c r="U20" s="65"/>
      <c r="V20" s="65"/>
      <c r="W20" s="65"/>
      <c r="X20" s="65"/>
      <c r="Y20" s="65"/>
      <c r="Z20" s="65"/>
      <c r="AA20" s="65"/>
      <c r="AB20" s="65"/>
      <c r="AC20" s="65"/>
      <c r="AD20" s="65"/>
      <c r="AE20" s="65"/>
      <c r="AF20" s="65"/>
      <c r="AG20" s="65"/>
      <c r="AH20" s="65"/>
      <c r="AI20" s="65"/>
      <c r="AJ20" s="65"/>
      <c r="AK20" s="65"/>
      <c r="AL20" s="65"/>
      <c r="AM20" s="65"/>
      <c r="AN20" s="65"/>
      <c r="AO20" s="65"/>
      <c r="AP20" s="170"/>
    </row>
    <row r="21" spans="1:42" ht="14.25" x14ac:dyDescent="0.45">
      <c r="A21" t="s">
        <v>472</v>
      </c>
      <c r="B21">
        <f>ROW()</f>
        <v>21</v>
      </c>
      <c r="C21" t="s">
        <v>474</v>
      </c>
      <c r="D21" t="s">
        <v>259</v>
      </c>
      <c r="E21" t="s">
        <v>189</v>
      </c>
      <c r="F21" t="s">
        <v>467</v>
      </c>
      <c r="G21" t="s">
        <v>456</v>
      </c>
      <c r="H21" s="195"/>
      <c r="I21" s="65"/>
      <c r="J21" s="65"/>
      <c r="K21" s="65"/>
      <c r="L21" s="83"/>
      <c r="M21" s="83"/>
      <c r="N21" s="83"/>
      <c r="O21" s="83"/>
      <c r="P21" s="83"/>
      <c r="Q21" s="83"/>
      <c r="R21" s="196"/>
      <c r="S21" s="141"/>
      <c r="T21" s="65"/>
      <c r="U21" s="65"/>
      <c r="V21" s="65"/>
      <c r="W21" s="65"/>
      <c r="X21" s="65"/>
      <c r="Y21" s="65"/>
      <c r="Z21" s="65"/>
      <c r="AA21" s="65"/>
      <c r="AB21" s="65"/>
      <c r="AC21" s="65"/>
      <c r="AD21" s="65"/>
      <c r="AE21" s="65"/>
      <c r="AF21" s="65"/>
      <c r="AG21" s="65"/>
      <c r="AH21" s="65"/>
      <c r="AI21" s="65"/>
      <c r="AJ21" s="65"/>
      <c r="AK21" s="65"/>
      <c r="AL21" s="65"/>
      <c r="AM21" s="65"/>
      <c r="AN21" s="65"/>
      <c r="AO21" s="65"/>
      <c r="AP21" s="170"/>
    </row>
    <row r="22" spans="1:42" ht="14.25" x14ac:dyDescent="0.45">
      <c r="A22" t="s">
        <v>472</v>
      </c>
      <c r="B22">
        <f>ROW()</f>
        <v>22</v>
      </c>
      <c r="C22" t="s">
        <v>474</v>
      </c>
      <c r="D22" t="s">
        <v>259</v>
      </c>
      <c r="E22" t="s">
        <v>189</v>
      </c>
      <c r="F22" t="s">
        <v>468</v>
      </c>
      <c r="G22" t="s">
        <v>456</v>
      </c>
      <c r="H22" s="195"/>
      <c r="I22" s="65"/>
      <c r="J22" s="65"/>
      <c r="K22" s="65"/>
      <c r="L22" s="83"/>
      <c r="M22" s="83"/>
      <c r="N22" s="83"/>
      <c r="O22" s="83"/>
      <c r="P22" s="83"/>
      <c r="Q22" s="83"/>
      <c r="R22" s="196"/>
      <c r="S22" s="141"/>
      <c r="T22" s="65"/>
      <c r="U22" s="65"/>
      <c r="V22" s="65"/>
      <c r="W22" s="65"/>
      <c r="X22" s="65"/>
      <c r="Y22" s="65"/>
      <c r="Z22" s="65"/>
      <c r="AA22" s="65"/>
      <c r="AB22" s="65"/>
      <c r="AC22" s="65"/>
      <c r="AD22" s="65"/>
      <c r="AE22" s="65"/>
      <c r="AF22" s="65"/>
      <c r="AG22" s="65"/>
      <c r="AH22" s="65"/>
      <c r="AI22" s="65"/>
      <c r="AJ22" s="65"/>
      <c r="AK22" s="65"/>
      <c r="AL22" s="65"/>
      <c r="AM22" s="65"/>
      <c r="AN22" s="65"/>
      <c r="AO22" s="65"/>
      <c r="AP22" s="170"/>
    </row>
    <row r="23" spans="1:42" ht="14.25" x14ac:dyDescent="0.45">
      <c r="A23" t="s">
        <v>472</v>
      </c>
      <c r="B23">
        <f>ROW()</f>
        <v>23</v>
      </c>
      <c r="C23" t="s">
        <v>469</v>
      </c>
      <c r="D23" t="s">
        <v>470</v>
      </c>
      <c r="E23" s="170" t="s">
        <v>1301</v>
      </c>
      <c r="G23" t="s">
        <v>456</v>
      </c>
      <c r="H23" s="170"/>
      <c r="I23" s="65"/>
      <c r="J23" s="65"/>
      <c r="K23" s="65"/>
      <c r="L23" s="83"/>
      <c r="M23" s="83"/>
      <c r="N23" s="83"/>
      <c r="O23" s="83"/>
      <c r="P23" s="83"/>
      <c r="Q23" s="83"/>
      <c r="R23" s="196"/>
      <c r="S23" s="141"/>
      <c r="T23" s="65"/>
      <c r="U23" s="65"/>
      <c r="V23" s="65"/>
      <c r="W23" s="65"/>
      <c r="X23" s="65"/>
      <c r="Y23" s="65"/>
      <c r="Z23" s="65"/>
      <c r="AA23" s="65"/>
      <c r="AB23" s="65"/>
      <c r="AC23" s="65"/>
      <c r="AD23" s="65"/>
      <c r="AE23" s="65"/>
      <c r="AF23" s="65"/>
      <c r="AG23" s="65"/>
      <c r="AH23" s="65"/>
      <c r="AI23" s="65"/>
      <c r="AJ23" s="65"/>
      <c r="AK23" s="65"/>
      <c r="AL23" s="65"/>
      <c r="AM23" s="65"/>
      <c r="AN23" s="65"/>
      <c r="AO23" s="65"/>
      <c r="AP23" s="170"/>
    </row>
    <row r="24" spans="1:42" ht="14.25" x14ac:dyDescent="0.45">
      <c r="A24" t="s">
        <v>472</v>
      </c>
      <c r="B24">
        <f>ROW()</f>
        <v>24</v>
      </c>
      <c r="C24" t="s">
        <v>469</v>
      </c>
      <c r="D24" t="s">
        <v>470</v>
      </c>
      <c r="E24" s="170" t="s">
        <v>1301</v>
      </c>
      <c r="G24" t="s">
        <v>456</v>
      </c>
      <c r="H24" s="170"/>
      <c r="I24" s="65"/>
      <c r="J24" s="65"/>
      <c r="K24" s="65"/>
      <c r="L24" s="83"/>
      <c r="M24" s="83"/>
      <c r="N24" s="83"/>
      <c r="O24" s="83"/>
      <c r="P24" s="83"/>
      <c r="Q24" s="83"/>
      <c r="R24" s="196"/>
      <c r="S24" s="141"/>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1:42" ht="14.25" x14ac:dyDescent="0.45">
      <c r="A25" t="s">
        <v>472</v>
      </c>
      <c r="B25">
        <f>ROW()</f>
        <v>25</v>
      </c>
      <c r="C25" t="s">
        <v>469</v>
      </c>
      <c r="D25" t="s">
        <v>470</v>
      </c>
      <c r="E25" s="170" t="s">
        <v>1301</v>
      </c>
      <c r="G25" t="s">
        <v>456</v>
      </c>
      <c r="H25" s="195"/>
      <c r="I25" s="65"/>
      <c r="J25" s="65"/>
      <c r="K25" s="65"/>
      <c r="L25" s="83"/>
      <c r="M25" s="83"/>
      <c r="N25" s="83"/>
      <c r="O25" s="83"/>
      <c r="P25" s="83"/>
      <c r="Q25" s="83"/>
      <c r="R25" s="196"/>
      <c r="S25" s="141"/>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1:42" ht="14.25" x14ac:dyDescent="0.45">
      <c r="A26" t="s">
        <v>472</v>
      </c>
      <c r="B26">
        <f>ROW()</f>
        <v>26</v>
      </c>
      <c r="C26" t="s">
        <v>469</v>
      </c>
      <c r="D26" t="s">
        <v>470</v>
      </c>
      <c r="E26" s="170" t="s">
        <v>1301</v>
      </c>
      <c r="G26" t="s">
        <v>456</v>
      </c>
      <c r="H26" s="195"/>
      <c r="I26" s="65"/>
      <c r="J26" s="65"/>
      <c r="K26" s="65"/>
      <c r="L26" s="83"/>
      <c r="M26" s="83"/>
      <c r="N26" s="83"/>
      <c r="O26" s="83"/>
      <c r="P26" s="83"/>
      <c r="Q26" s="83"/>
      <c r="R26" s="196"/>
      <c r="S26" s="141"/>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1:42" ht="14.25" x14ac:dyDescent="0.45">
      <c r="A27" t="s">
        <v>472</v>
      </c>
      <c r="B27">
        <f>ROW()</f>
        <v>27</v>
      </c>
      <c r="C27" t="s">
        <v>469</v>
      </c>
      <c r="D27" t="s">
        <v>471</v>
      </c>
      <c r="E27" s="170" t="s">
        <v>1301</v>
      </c>
      <c r="G27" t="s">
        <v>456</v>
      </c>
      <c r="H27" s="195"/>
      <c r="I27" s="65"/>
      <c r="J27" s="65"/>
      <c r="K27" s="65"/>
      <c r="L27" s="83"/>
      <c r="M27" s="83"/>
      <c r="N27" s="83"/>
      <c r="O27" s="83"/>
      <c r="P27" s="83"/>
      <c r="Q27" s="83"/>
      <c r="R27" s="196"/>
      <c r="S27" s="141"/>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1:42" ht="14.25" x14ac:dyDescent="0.45">
      <c r="A28" t="s">
        <v>472</v>
      </c>
      <c r="B28">
        <f>ROW()</f>
        <v>28</v>
      </c>
      <c r="C28" t="s">
        <v>469</v>
      </c>
      <c r="D28" t="s">
        <v>471</v>
      </c>
      <c r="E28" s="170" t="s">
        <v>1301</v>
      </c>
      <c r="G28" t="s">
        <v>456</v>
      </c>
      <c r="H28" s="195"/>
      <c r="I28" s="65"/>
      <c r="J28" s="65"/>
      <c r="K28" s="65"/>
      <c r="L28" s="83"/>
      <c r="M28" s="83"/>
      <c r="N28" s="83"/>
      <c r="O28" s="83"/>
      <c r="P28" s="83"/>
      <c r="Q28" s="83"/>
      <c r="R28" s="196"/>
      <c r="S28" s="141"/>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1:42" ht="14.25" x14ac:dyDescent="0.45">
      <c r="A29" t="s">
        <v>472</v>
      </c>
      <c r="B29">
        <f>ROW()</f>
        <v>29</v>
      </c>
      <c r="C29" t="s">
        <v>469</v>
      </c>
      <c r="D29" t="s">
        <v>471</v>
      </c>
      <c r="E29" s="170" t="s">
        <v>1301</v>
      </c>
      <c r="G29" t="s">
        <v>456</v>
      </c>
      <c r="H29" s="170"/>
      <c r="I29" s="65"/>
      <c r="J29" s="65"/>
      <c r="K29" s="65"/>
      <c r="L29" s="83"/>
      <c r="M29" s="83"/>
      <c r="N29" s="83"/>
      <c r="O29" s="83"/>
      <c r="P29" s="83"/>
      <c r="Q29" s="83"/>
      <c r="R29" s="196"/>
      <c r="S29" s="141"/>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1:42" ht="14.25" x14ac:dyDescent="0.45">
      <c r="A30" t="s">
        <v>472</v>
      </c>
      <c r="B30">
        <f>ROW()</f>
        <v>30</v>
      </c>
      <c r="C30" t="s">
        <v>469</v>
      </c>
      <c r="D30" t="s">
        <v>471</v>
      </c>
      <c r="E30" s="170" t="s">
        <v>1301</v>
      </c>
      <c r="G30" t="s">
        <v>456</v>
      </c>
      <c r="H30" s="170"/>
      <c r="I30" s="65"/>
      <c r="J30" s="65"/>
      <c r="K30" s="65"/>
      <c r="L30" s="83"/>
      <c r="M30" s="83"/>
      <c r="N30" s="83"/>
      <c r="O30" s="83"/>
      <c r="P30" s="83"/>
      <c r="Q30" s="83"/>
      <c r="R30" s="196"/>
      <c r="S30" s="141"/>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1:42" ht="14.25" x14ac:dyDescent="0.45">
      <c r="A31" t="s">
        <v>472</v>
      </c>
      <c r="B31">
        <f>ROW()</f>
        <v>31</v>
      </c>
      <c r="C31" t="s">
        <v>469</v>
      </c>
      <c r="D31" t="s">
        <v>471</v>
      </c>
      <c r="E31" s="170" t="s">
        <v>1301</v>
      </c>
      <c r="G31" t="s">
        <v>456</v>
      </c>
      <c r="H31" s="170"/>
      <c r="I31" s="65"/>
      <c r="J31" s="65"/>
      <c r="K31" s="65"/>
      <c r="L31" s="83"/>
      <c r="M31" s="83"/>
      <c r="N31" s="83"/>
      <c r="O31" s="83"/>
      <c r="P31" s="83"/>
      <c r="Q31" s="83"/>
      <c r="R31" s="196"/>
      <c r="S31" s="141"/>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1:42" ht="14.25" x14ac:dyDescent="0.45">
      <c r="A32" t="s">
        <v>472</v>
      </c>
      <c r="B32">
        <f>ROW()</f>
        <v>32</v>
      </c>
      <c r="C32" t="s">
        <v>469</v>
      </c>
      <c r="D32" t="s">
        <v>471</v>
      </c>
      <c r="E32" s="170" t="s">
        <v>1301</v>
      </c>
      <c r="G32" t="s">
        <v>456</v>
      </c>
      <c r="H32" s="195"/>
      <c r="I32" s="65"/>
      <c r="J32" s="65"/>
      <c r="K32" s="65"/>
      <c r="L32" s="83"/>
      <c r="M32" s="83"/>
      <c r="N32" s="83"/>
      <c r="O32" s="83"/>
      <c r="P32" s="83"/>
      <c r="Q32" s="83"/>
      <c r="R32" s="196"/>
      <c r="S32" s="141"/>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1:42" ht="14.25" x14ac:dyDescent="0.45">
      <c r="A33" t="s">
        <v>472</v>
      </c>
      <c r="B33">
        <f>ROW()</f>
        <v>33</v>
      </c>
      <c r="C33" t="s">
        <v>469</v>
      </c>
      <c r="D33" t="s">
        <v>471</v>
      </c>
      <c r="E33" s="170" t="s">
        <v>1301</v>
      </c>
      <c r="G33" t="s">
        <v>456</v>
      </c>
      <c r="H33" s="65"/>
      <c r="I33" s="65"/>
      <c r="J33" s="65"/>
      <c r="K33" s="65"/>
      <c r="L33" s="83"/>
      <c r="M33" s="83"/>
      <c r="N33" s="83"/>
      <c r="O33" s="83"/>
      <c r="P33" s="83"/>
      <c r="Q33" s="83"/>
      <c r="R33" s="196"/>
      <c r="S33" s="141"/>
      <c r="T33" s="65"/>
      <c r="U33" s="65"/>
      <c r="V33" s="65"/>
      <c r="W33" s="65"/>
      <c r="X33" s="65"/>
      <c r="Y33" s="65"/>
      <c r="Z33" s="65"/>
      <c r="AA33" s="65"/>
      <c r="AB33" s="65"/>
      <c r="AC33" s="65"/>
      <c r="AD33" s="65"/>
      <c r="AE33" s="65"/>
      <c r="AF33" s="65"/>
      <c r="AG33" s="65"/>
      <c r="AH33" s="65"/>
      <c r="AI33" s="65"/>
      <c r="AJ33" s="65"/>
      <c r="AK33" s="65"/>
      <c r="AL33" s="65"/>
      <c r="AM33" s="65"/>
      <c r="AN33" s="65"/>
      <c r="AO33" s="65"/>
      <c r="AP33" s="65"/>
    </row>
  </sheetData>
  <phoneticPr fontId="27" type="noConversion"/>
  <dataValidations count="1">
    <dataValidation type="list" allowBlank="1" showInputMessage="1" showErrorMessage="1" sqref="Q4:Q16 AP4:AP33 K4:K33" xr:uid="{7E080804-F46F-4036-A52F-20E31B8ABED3}">
      <formula1>$AT$4:$AT$9</formula1>
    </dataValidation>
  </dataValidations>
  <pageMargins left="0.7" right="0.7" top="0.75" bottom="0.75" header="0.3" footer="0.3"/>
  <pageSetup paperSize="9" scale="19" fitToHeight="0"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1EF7-760C-4D93-8C67-7399E611A32F}">
  <sheetPr codeName="Sheet25">
    <pageSetUpPr fitToPage="1"/>
  </sheetPr>
  <dimension ref="A1:AS24"/>
  <sheetViews>
    <sheetView zoomScale="85" zoomScaleNormal="85" workbookViewId="0"/>
  </sheetViews>
  <sheetFormatPr defaultRowHeight="14.45" customHeight="1" x14ac:dyDescent="0.45"/>
  <cols>
    <col min="1" max="1" width="23" customWidth="1"/>
    <col min="2" max="2" width="6.73046875" bestFit="1" customWidth="1"/>
    <col min="3" max="3" width="16.265625" customWidth="1"/>
    <col min="4" max="4" width="18" bestFit="1" customWidth="1"/>
    <col min="5" max="5" width="28" customWidth="1"/>
    <col min="6" max="6" width="13" bestFit="1" customWidth="1"/>
    <col min="7" max="7" width="10.1328125" bestFit="1" customWidth="1"/>
    <col min="8" max="8" width="13.265625" bestFit="1" customWidth="1"/>
    <col min="9" max="9" width="11.73046875" bestFit="1" customWidth="1"/>
    <col min="10" max="10" width="13.265625" bestFit="1" customWidth="1"/>
    <col min="11" max="11" width="15.1328125" bestFit="1" customWidth="1"/>
    <col min="12" max="17" width="15.59765625" customWidth="1"/>
    <col min="18" max="18" width="8.265625" bestFit="1" customWidth="1"/>
    <col min="19" max="19" width="11.59765625" bestFit="1" customWidth="1"/>
    <col min="20" max="20" width="12" bestFit="1" customWidth="1"/>
    <col min="21" max="21" width="11" bestFit="1" customWidth="1"/>
    <col min="22" max="27" width="12.59765625" bestFit="1" customWidth="1"/>
    <col min="28" max="28" width="13.73046875" bestFit="1" customWidth="1"/>
    <col min="29" max="30" width="12" bestFit="1" customWidth="1"/>
    <col min="31" max="31" width="11" bestFit="1" customWidth="1"/>
    <col min="32" max="32" width="12" bestFit="1" customWidth="1"/>
    <col min="33" max="39" width="11" bestFit="1" customWidth="1"/>
    <col min="40" max="40" width="13.73046875" bestFit="1" customWidth="1"/>
    <col min="41" max="41" width="14.1328125" bestFit="1" customWidth="1"/>
    <col min="42" max="42" width="15.59765625" bestFit="1" customWidth="1"/>
    <col min="43" max="43" width="1.73046875" customWidth="1"/>
  </cols>
  <sheetData>
    <row r="1" spans="1:45" ht="23.25" x14ac:dyDescent="0.45">
      <c r="A1" s="146" t="s">
        <v>1168</v>
      </c>
    </row>
    <row r="2" spans="1:45" ht="21" x14ac:dyDescent="0.65">
      <c r="A2" s="129" t="s">
        <v>476</v>
      </c>
      <c r="D2" s="143" t="s">
        <v>1132</v>
      </c>
      <c r="E2" s="47"/>
    </row>
    <row r="3" spans="1:45" ht="207.95" customHeight="1" x14ac:dyDescent="0.45">
      <c r="A3" s="119" t="s">
        <v>78</v>
      </c>
      <c r="B3" s="119" t="s">
        <v>79</v>
      </c>
      <c r="C3" s="119" t="s">
        <v>208</v>
      </c>
      <c r="D3" s="119" t="s">
        <v>1244</v>
      </c>
      <c r="E3" s="119" t="s">
        <v>1245</v>
      </c>
      <c r="F3" s="119" t="s">
        <v>1250</v>
      </c>
      <c r="G3" s="119" t="s">
        <v>1251</v>
      </c>
      <c r="H3" s="119" t="s">
        <v>1031</v>
      </c>
      <c r="I3" s="119" t="s">
        <v>1032</v>
      </c>
      <c r="J3" s="119" t="s">
        <v>1275</v>
      </c>
      <c r="K3" s="119" t="s">
        <v>1033</v>
      </c>
      <c r="L3" s="119" t="s">
        <v>1034</v>
      </c>
      <c r="M3" s="119" t="s">
        <v>1035</v>
      </c>
      <c r="N3" s="119" t="s">
        <v>1036</v>
      </c>
      <c r="O3" s="119" t="s">
        <v>1037</v>
      </c>
      <c r="P3" s="119" t="s">
        <v>1038</v>
      </c>
      <c r="Q3" s="119" t="s">
        <v>1039</v>
      </c>
      <c r="R3" s="134" t="s">
        <v>452</v>
      </c>
      <c r="S3" s="134" t="s">
        <v>1131</v>
      </c>
      <c r="T3" s="119" t="s">
        <v>1041</v>
      </c>
      <c r="U3" s="119" t="s">
        <v>1042</v>
      </c>
      <c r="V3" s="119" t="s">
        <v>1043</v>
      </c>
      <c r="W3" s="119" t="s">
        <v>1044</v>
      </c>
      <c r="X3" s="119" t="s">
        <v>1045</v>
      </c>
      <c r="Y3" s="119" t="s">
        <v>1046</v>
      </c>
      <c r="Z3" s="119" t="s">
        <v>1047</v>
      </c>
      <c r="AA3" s="119" t="s">
        <v>1048</v>
      </c>
      <c r="AB3" s="119" t="s">
        <v>1049</v>
      </c>
      <c r="AC3" s="119" t="s">
        <v>1050</v>
      </c>
      <c r="AD3" s="119" t="s">
        <v>1051</v>
      </c>
      <c r="AE3" s="119" t="s">
        <v>1052</v>
      </c>
      <c r="AF3" s="119" t="s">
        <v>1053</v>
      </c>
      <c r="AG3" s="119" t="s">
        <v>1054</v>
      </c>
      <c r="AH3" s="119" t="s">
        <v>1055</v>
      </c>
      <c r="AI3" s="119" t="s">
        <v>1056</v>
      </c>
      <c r="AJ3" s="119" t="s">
        <v>1057</v>
      </c>
      <c r="AK3" s="119" t="s">
        <v>1058</v>
      </c>
      <c r="AL3" s="119" t="s">
        <v>1059</v>
      </c>
      <c r="AM3" s="119" t="s">
        <v>1060</v>
      </c>
      <c r="AN3" s="119" t="s">
        <v>1061</v>
      </c>
      <c r="AO3" s="119" t="s">
        <v>1091</v>
      </c>
      <c r="AP3" s="119" t="s">
        <v>1062</v>
      </c>
      <c r="AS3" s="110" t="s">
        <v>473</v>
      </c>
    </row>
    <row r="4" spans="1:45" ht="14.25" x14ac:dyDescent="0.45">
      <c r="A4" t="s">
        <v>476</v>
      </c>
      <c r="B4">
        <f>ROW()</f>
        <v>4</v>
      </c>
      <c r="C4" t="s">
        <v>474</v>
      </c>
      <c r="D4" t="s">
        <v>256</v>
      </c>
      <c r="E4" t="s">
        <v>453</v>
      </c>
      <c r="G4" t="s">
        <v>454</v>
      </c>
      <c r="H4" s="141"/>
      <c r="I4" s="141"/>
      <c r="J4" s="141"/>
      <c r="K4" s="141"/>
      <c r="L4" s="142"/>
      <c r="M4" s="142"/>
      <c r="N4" s="142"/>
      <c r="O4" s="142"/>
      <c r="P4" s="142"/>
      <c r="Q4" s="141"/>
      <c r="R4" s="142"/>
      <c r="S4" s="141"/>
      <c r="T4" s="141"/>
      <c r="U4" s="141"/>
      <c r="V4" s="141"/>
      <c r="W4" s="141"/>
      <c r="X4" s="141"/>
      <c r="Y4" s="141"/>
      <c r="Z4" s="141"/>
      <c r="AA4" s="141"/>
      <c r="AB4" s="141"/>
      <c r="AC4" s="141"/>
      <c r="AD4" s="141"/>
      <c r="AE4" s="141"/>
      <c r="AF4" s="141"/>
      <c r="AG4" s="141"/>
      <c r="AH4" s="141"/>
      <c r="AI4" s="141"/>
      <c r="AJ4" s="141"/>
      <c r="AK4" s="141"/>
      <c r="AL4" s="141"/>
      <c r="AM4" s="141"/>
      <c r="AN4" s="141"/>
      <c r="AO4" s="141"/>
      <c r="AP4" s="138"/>
      <c r="AS4" s="111">
        <v>1</v>
      </c>
    </row>
    <row r="5" spans="1:45" ht="14.25" x14ac:dyDescent="0.45">
      <c r="A5" t="s">
        <v>476</v>
      </c>
      <c r="B5">
        <f>ROW()</f>
        <v>5</v>
      </c>
      <c r="C5" t="s">
        <v>474</v>
      </c>
      <c r="D5" t="s">
        <v>256</v>
      </c>
      <c r="E5" t="s">
        <v>455</v>
      </c>
      <c r="G5" t="s">
        <v>456</v>
      </c>
      <c r="H5" s="141"/>
      <c r="I5" s="141"/>
      <c r="J5" s="141"/>
      <c r="K5" s="141"/>
      <c r="L5" s="142"/>
      <c r="M5" s="142"/>
      <c r="N5" s="142"/>
      <c r="O5" s="142"/>
      <c r="P5" s="142"/>
      <c r="Q5" s="141"/>
      <c r="R5" s="142"/>
      <c r="S5" s="141"/>
      <c r="T5" s="141"/>
      <c r="U5" s="141"/>
      <c r="V5" s="141"/>
      <c r="W5" s="141"/>
      <c r="X5" s="141"/>
      <c r="Y5" s="141"/>
      <c r="Z5" s="141"/>
      <c r="AA5" s="141"/>
      <c r="AB5" s="141"/>
      <c r="AC5" s="141"/>
      <c r="AD5" s="141"/>
      <c r="AE5" s="141"/>
      <c r="AF5" s="141"/>
      <c r="AG5" s="141"/>
      <c r="AH5" s="141"/>
      <c r="AI5" s="141"/>
      <c r="AJ5" s="141"/>
      <c r="AK5" s="141"/>
      <c r="AL5" s="141"/>
      <c r="AM5" s="141"/>
      <c r="AN5" s="141"/>
      <c r="AO5" s="141"/>
      <c r="AP5" s="138"/>
      <c r="AS5" s="111">
        <v>2</v>
      </c>
    </row>
    <row r="6" spans="1:45" ht="14.25" x14ac:dyDescent="0.45">
      <c r="A6" t="s">
        <v>476</v>
      </c>
      <c r="B6">
        <f>ROW()</f>
        <v>6</v>
      </c>
      <c r="C6" t="s">
        <v>474</v>
      </c>
      <c r="D6" t="s">
        <v>256</v>
      </c>
      <c r="E6" t="s">
        <v>457</v>
      </c>
      <c r="G6" t="s">
        <v>456</v>
      </c>
      <c r="H6" s="141"/>
      <c r="I6" s="141"/>
      <c r="J6" s="141"/>
      <c r="K6" s="141"/>
      <c r="L6" s="142"/>
      <c r="M6" s="142"/>
      <c r="N6" s="142"/>
      <c r="O6" s="142"/>
      <c r="P6" s="142"/>
      <c r="Q6" s="141"/>
      <c r="R6" s="142"/>
      <c r="S6" s="141"/>
      <c r="T6" s="141"/>
      <c r="U6" s="141"/>
      <c r="V6" s="141"/>
      <c r="W6" s="141"/>
      <c r="X6" s="141"/>
      <c r="Y6" s="141"/>
      <c r="Z6" s="141"/>
      <c r="AA6" s="141"/>
      <c r="AB6" s="141"/>
      <c r="AC6" s="141"/>
      <c r="AD6" s="141"/>
      <c r="AE6" s="141"/>
      <c r="AF6" s="141"/>
      <c r="AG6" s="141"/>
      <c r="AH6" s="141"/>
      <c r="AI6" s="141"/>
      <c r="AJ6" s="141"/>
      <c r="AK6" s="141"/>
      <c r="AL6" s="141"/>
      <c r="AM6" s="141"/>
      <c r="AN6" s="141"/>
      <c r="AO6" s="141"/>
      <c r="AP6" s="138"/>
      <c r="AS6" s="111">
        <v>3</v>
      </c>
    </row>
    <row r="7" spans="1:45" ht="14.25" x14ac:dyDescent="0.45">
      <c r="A7" t="s">
        <v>476</v>
      </c>
      <c r="B7">
        <f>ROW()</f>
        <v>7</v>
      </c>
      <c r="C7" t="s">
        <v>474</v>
      </c>
      <c r="D7" t="s">
        <v>256</v>
      </c>
      <c r="E7" t="s">
        <v>458</v>
      </c>
      <c r="F7" t="s">
        <v>459</v>
      </c>
      <c r="G7" t="s">
        <v>454</v>
      </c>
      <c r="H7" s="141"/>
      <c r="I7" s="141"/>
      <c r="J7" s="141"/>
      <c r="K7" s="141"/>
      <c r="L7" s="142"/>
      <c r="M7" s="142"/>
      <c r="N7" s="142"/>
      <c r="O7" s="142"/>
      <c r="P7" s="142"/>
      <c r="Q7" s="141"/>
      <c r="R7" s="142"/>
      <c r="S7" s="141"/>
      <c r="T7" s="141"/>
      <c r="U7" s="141"/>
      <c r="V7" s="141"/>
      <c r="W7" s="141"/>
      <c r="X7" s="141"/>
      <c r="Y7" s="141"/>
      <c r="Z7" s="141"/>
      <c r="AA7" s="141"/>
      <c r="AB7" s="141"/>
      <c r="AC7" s="141"/>
      <c r="AD7" s="141"/>
      <c r="AE7" s="141"/>
      <c r="AF7" s="141"/>
      <c r="AG7" s="141"/>
      <c r="AH7" s="141"/>
      <c r="AI7" s="141"/>
      <c r="AJ7" s="141"/>
      <c r="AK7" s="141"/>
      <c r="AL7" s="141"/>
      <c r="AM7" s="141"/>
      <c r="AN7" s="141"/>
      <c r="AO7" s="141"/>
      <c r="AP7" s="138"/>
      <c r="AS7" s="111">
        <v>4</v>
      </c>
    </row>
    <row r="8" spans="1:45" ht="14.25" x14ac:dyDescent="0.45">
      <c r="A8" t="s">
        <v>476</v>
      </c>
      <c r="B8">
        <f>ROW()</f>
        <v>8</v>
      </c>
      <c r="C8" t="s">
        <v>474</v>
      </c>
      <c r="D8" t="s">
        <v>256</v>
      </c>
      <c r="E8" t="s">
        <v>458</v>
      </c>
      <c r="F8" t="s">
        <v>460</v>
      </c>
      <c r="G8" t="s">
        <v>454</v>
      </c>
      <c r="H8" s="141"/>
      <c r="I8" s="141"/>
      <c r="J8" s="141"/>
      <c r="K8" s="141"/>
      <c r="L8" s="142"/>
      <c r="M8" s="142"/>
      <c r="N8" s="142"/>
      <c r="O8" s="142"/>
      <c r="P8" s="142"/>
      <c r="Q8" s="141"/>
      <c r="R8" s="142"/>
      <c r="S8" s="141"/>
      <c r="T8" s="141"/>
      <c r="U8" s="141"/>
      <c r="V8" s="141"/>
      <c r="W8" s="141"/>
      <c r="X8" s="141"/>
      <c r="Y8" s="141"/>
      <c r="Z8" s="141"/>
      <c r="AA8" s="141"/>
      <c r="AB8" s="141"/>
      <c r="AC8" s="141"/>
      <c r="AD8" s="141"/>
      <c r="AE8" s="141"/>
      <c r="AF8" s="141"/>
      <c r="AG8" s="141"/>
      <c r="AH8" s="141"/>
      <c r="AI8" s="141"/>
      <c r="AJ8" s="141"/>
      <c r="AK8" s="141"/>
      <c r="AL8" s="141"/>
      <c r="AM8" s="141"/>
      <c r="AN8" s="141"/>
      <c r="AO8" s="141"/>
      <c r="AP8" s="138"/>
      <c r="AS8" s="111" t="s">
        <v>135</v>
      </c>
    </row>
    <row r="9" spans="1:45" ht="14.25" x14ac:dyDescent="0.45">
      <c r="A9" t="s">
        <v>476</v>
      </c>
      <c r="B9">
        <f>ROW()</f>
        <v>9</v>
      </c>
      <c r="C9" t="s">
        <v>474</v>
      </c>
      <c r="D9" t="s">
        <v>256</v>
      </c>
      <c r="E9" t="s">
        <v>461</v>
      </c>
      <c r="F9" t="s">
        <v>459</v>
      </c>
      <c r="G9" t="s">
        <v>454</v>
      </c>
      <c r="H9" s="141"/>
      <c r="I9" s="141"/>
      <c r="J9" s="141"/>
      <c r="K9" s="141"/>
      <c r="L9" s="142"/>
      <c r="M9" s="142"/>
      <c r="N9" s="142"/>
      <c r="O9" s="142"/>
      <c r="P9" s="142"/>
      <c r="Q9" s="141"/>
      <c r="R9" s="142"/>
      <c r="S9" s="141"/>
      <c r="T9" s="141"/>
      <c r="U9" s="141"/>
      <c r="V9" s="141"/>
      <c r="W9" s="141"/>
      <c r="X9" s="141"/>
      <c r="Y9" s="141"/>
      <c r="Z9" s="141"/>
      <c r="AA9" s="141"/>
      <c r="AB9" s="141"/>
      <c r="AC9" s="141"/>
      <c r="AD9" s="141"/>
      <c r="AE9" s="141"/>
      <c r="AF9" s="141"/>
      <c r="AG9" s="141"/>
      <c r="AH9" s="141"/>
      <c r="AI9" s="141"/>
      <c r="AJ9" s="141"/>
      <c r="AK9" s="141"/>
      <c r="AL9" s="141"/>
      <c r="AM9" s="141"/>
      <c r="AN9" s="141"/>
      <c r="AO9" s="141"/>
      <c r="AP9" s="138"/>
      <c r="AS9" s="111" t="s">
        <v>449</v>
      </c>
    </row>
    <row r="10" spans="1:45" ht="14.25" x14ac:dyDescent="0.45">
      <c r="A10" t="s">
        <v>476</v>
      </c>
      <c r="B10">
        <f>ROW()</f>
        <v>10</v>
      </c>
      <c r="C10" t="s">
        <v>474</v>
      </c>
      <c r="D10" t="s">
        <v>256</v>
      </c>
      <c r="E10" t="s">
        <v>461</v>
      </c>
      <c r="F10" t="s">
        <v>460</v>
      </c>
      <c r="G10" t="s">
        <v>454</v>
      </c>
      <c r="H10" s="141"/>
      <c r="I10" s="141"/>
      <c r="J10" s="141"/>
      <c r="K10" s="141"/>
      <c r="L10" s="142"/>
      <c r="M10" s="142"/>
      <c r="N10" s="142"/>
      <c r="O10" s="142"/>
      <c r="P10" s="142"/>
      <c r="Q10" s="141"/>
      <c r="R10" s="142"/>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38"/>
    </row>
    <row r="11" spans="1:45" ht="14.25" x14ac:dyDescent="0.45">
      <c r="A11" t="s">
        <v>476</v>
      </c>
      <c r="B11">
        <f>ROW()</f>
        <v>11</v>
      </c>
      <c r="C11" t="s">
        <v>474</v>
      </c>
      <c r="D11" t="s">
        <v>256</v>
      </c>
      <c r="E11" t="s">
        <v>462</v>
      </c>
      <c r="F11" t="s">
        <v>459</v>
      </c>
      <c r="G11" t="s">
        <v>454</v>
      </c>
      <c r="H11" s="141"/>
      <c r="I11" s="141"/>
      <c r="J11" s="141"/>
      <c r="K11" s="141"/>
      <c r="L11" s="142"/>
      <c r="M11" s="142"/>
      <c r="N11" s="142"/>
      <c r="O11" s="142"/>
      <c r="P11" s="142"/>
      <c r="Q11" s="141"/>
      <c r="R11" s="142"/>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38"/>
    </row>
    <row r="12" spans="1:45" ht="14.25" x14ac:dyDescent="0.45">
      <c r="A12" t="s">
        <v>476</v>
      </c>
      <c r="B12">
        <f>ROW()</f>
        <v>12</v>
      </c>
      <c r="C12" t="s">
        <v>474</v>
      </c>
      <c r="D12" t="s">
        <v>256</v>
      </c>
      <c r="E12" t="s">
        <v>462</v>
      </c>
      <c r="F12" t="s">
        <v>460</v>
      </c>
      <c r="G12" t="s">
        <v>454</v>
      </c>
      <c r="H12" s="141"/>
      <c r="I12" s="141"/>
      <c r="J12" s="141"/>
      <c r="K12" s="141"/>
      <c r="L12" s="142"/>
      <c r="M12" s="142"/>
      <c r="N12" s="142"/>
      <c r="O12" s="142"/>
      <c r="P12" s="142"/>
      <c r="Q12" s="141"/>
      <c r="R12" s="142"/>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38"/>
    </row>
    <row r="13" spans="1:45" ht="14.25" x14ac:dyDescent="0.45">
      <c r="A13" t="s">
        <v>476</v>
      </c>
      <c r="B13">
        <f>ROW()</f>
        <v>13</v>
      </c>
      <c r="C13" t="s">
        <v>474</v>
      </c>
      <c r="D13" t="s">
        <v>256</v>
      </c>
      <c r="E13" t="s">
        <v>463</v>
      </c>
      <c r="G13" t="s">
        <v>456</v>
      </c>
      <c r="H13" s="141"/>
      <c r="I13" s="141"/>
      <c r="J13" s="141"/>
      <c r="K13" s="141"/>
      <c r="L13" s="142"/>
      <c r="M13" s="142"/>
      <c r="N13" s="142"/>
      <c r="O13" s="142"/>
      <c r="P13" s="142"/>
      <c r="Q13" s="141"/>
      <c r="R13" s="142"/>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38"/>
    </row>
    <row r="14" spans="1:45" ht="14.25" x14ac:dyDescent="0.45">
      <c r="A14" t="s">
        <v>476</v>
      </c>
      <c r="B14">
        <f>ROW()</f>
        <v>14</v>
      </c>
      <c r="C14" t="s">
        <v>474</v>
      </c>
      <c r="D14" t="s">
        <v>256</v>
      </c>
      <c r="E14" t="s">
        <v>257</v>
      </c>
      <c r="G14" t="s">
        <v>456</v>
      </c>
      <c r="H14" s="141"/>
      <c r="I14" s="141"/>
      <c r="J14" s="141"/>
      <c r="K14" s="141"/>
      <c r="L14" s="142"/>
      <c r="M14" s="142"/>
      <c r="N14" s="142"/>
      <c r="O14" s="142"/>
      <c r="P14" s="142"/>
      <c r="Q14" s="141"/>
      <c r="R14" s="142"/>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38"/>
    </row>
    <row r="15" spans="1:45" ht="14.25" x14ac:dyDescent="0.45">
      <c r="A15" t="s">
        <v>476</v>
      </c>
      <c r="B15">
        <f>ROW()</f>
        <v>15</v>
      </c>
      <c r="C15" t="s">
        <v>474</v>
      </c>
      <c r="D15" t="s">
        <v>261</v>
      </c>
      <c r="E15" t="s">
        <v>195</v>
      </c>
      <c r="H15" s="141"/>
      <c r="I15" s="141"/>
      <c r="J15" s="141"/>
      <c r="K15" s="141"/>
      <c r="L15" s="142"/>
      <c r="M15" s="142"/>
      <c r="N15" s="142"/>
      <c r="O15" s="142"/>
      <c r="P15" s="142"/>
      <c r="Q15" s="141"/>
      <c r="R15" s="142"/>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row>
    <row r="16" spans="1:45" ht="14.25" x14ac:dyDescent="0.45">
      <c r="A16" t="s">
        <v>476</v>
      </c>
      <c r="B16">
        <f>ROW()</f>
        <v>16</v>
      </c>
      <c r="C16" t="s">
        <v>474</v>
      </c>
      <c r="D16" t="s">
        <v>261</v>
      </c>
      <c r="E16" t="s">
        <v>195</v>
      </c>
      <c r="F16" t="s">
        <v>464</v>
      </c>
      <c r="G16" t="s">
        <v>456</v>
      </c>
      <c r="H16" s="141"/>
      <c r="I16" s="141"/>
      <c r="J16" s="141"/>
      <c r="K16" s="141"/>
      <c r="L16" s="142"/>
      <c r="M16" s="142"/>
      <c r="N16" s="142"/>
      <c r="O16" s="142"/>
      <c r="P16" s="142"/>
      <c r="Q16" s="141"/>
      <c r="R16" s="142"/>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row>
    <row r="17" spans="1:45" ht="14.25" x14ac:dyDescent="0.45">
      <c r="A17" t="s">
        <v>476</v>
      </c>
      <c r="B17">
        <f>ROW()</f>
        <v>17</v>
      </c>
      <c r="C17" t="s">
        <v>474</v>
      </c>
      <c r="D17" t="s">
        <v>259</v>
      </c>
      <c r="E17" t="s">
        <v>257</v>
      </c>
      <c r="G17" t="s">
        <v>456</v>
      </c>
      <c r="H17" s="141"/>
      <c r="I17" s="141"/>
      <c r="J17" s="141"/>
      <c r="K17" s="141"/>
      <c r="L17" s="83"/>
      <c r="M17" s="83"/>
      <c r="N17" s="83"/>
      <c r="O17" s="83"/>
      <c r="P17" s="83"/>
      <c r="Q17" s="83"/>
      <c r="R17" s="142"/>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row>
    <row r="18" spans="1:45" ht="14.25" x14ac:dyDescent="0.45">
      <c r="A18" t="s">
        <v>476</v>
      </c>
      <c r="B18">
        <f>ROW()</f>
        <v>18</v>
      </c>
      <c r="C18" t="s">
        <v>474</v>
      </c>
      <c r="D18" t="s">
        <v>259</v>
      </c>
      <c r="E18" t="s">
        <v>465</v>
      </c>
      <c r="G18" t="s">
        <v>456</v>
      </c>
      <c r="H18" s="141"/>
      <c r="I18" s="141"/>
      <c r="J18" s="141"/>
      <c r="K18" s="141"/>
      <c r="L18" s="83"/>
      <c r="M18" s="83"/>
      <c r="N18" s="83"/>
      <c r="O18" s="83"/>
      <c r="P18" s="83"/>
      <c r="Q18" s="83"/>
      <c r="R18" s="142"/>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row>
    <row r="19" spans="1:45" ht="14.25" x14ac:dyDescent="0.45">
      <c r="A19" s="162" t="s">
        <v>476</v>
      </c>
      <c r="B19" s="162">
        <f>ROW()</f>
        <v>19</v>
      </c>
      <c r="C19" s="162" t="s">
        <v>474</v>
      </c>
      <c r="D19" s="162" t="s">
        <v>259</v>
      </c>
      <c r="E19" s="162" t="s">
        <v>189</v>
      </c>
      <c r="F19" s="162"/>
      <c r="G19" s="47"/>
      <c r="H19" s="141"/>
      <c r="I19" s="141"/>
      <c r="J19" s="141"/>
      <c r="K19" s="141"/>
      <c r="L19" s="83"/>
      <c r="M19" s="83"/>
      <c r="N19" s="83"/>
      <c r="O19" s="83"/>
      <c r="P19" s="83"/>
      <c r="Q19" s="83"/>
      <c r="R19" s="142"/>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47"/>
      <c r="AR19" s="47"/>
      <c r="AS19" s="47"/>
    </row>
    <row r="20" spans="1:45" ht="14.25" x14ac:dyDescent="0.45">
      <c r="A20" t="s">
        <v>476</v>
      </c>
      <c r="B20">
        <f>ROW()</f>
        <v>20</v>
      </c>
      <c r="C20" t="s">
        <v>474</v>
      </c>
      <c r="D20" t="s">
        <v>259</v>
      </c>
      <c r="E20" t="s">
        <v>189</v>
      </c>
      <c r="F20" t="s">
        <v>466</v>
      </c>
      <c r="G20" t="s">
        <v>456</v>
      </c>
      <c r="H20" s="141"/>
      <c r="I20" s="141"/>
      <c r="J20" s="141"/>
      <c r="K20" s="141"/>
      <c r="L20" s="83"/>
      <c r="M20" s="83"/>
      <c r="N20" s="83"/>
      <c r="O20" s="83"/>
      <c r="P20" s="83"/>
      <c r="Q20" s="83"/>
      <c r="R20" s="142"/>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row>
    <row r="21" spans="1:45" ht="14.25" x14ac:dyDescent="0.45">
      <c r="A21" t="s">
        <v>476</v>
      </c>
      <c r="B21">
        <f>ROW()</f>
        <v>21</v>
      </c>
      <c r="C21" t="s">
        <v>474</v>
      </c>
      <c r="D21" t="s">
        <v>259</v>
      </c>
      <c r="E21" t="s">
        <v>189</v>
      </c>
      <c r="F21" t="s">
        <v>467</v>
      </c>
      <c r="G21" t="s">
        <v>456</v>
      </c>
      <c r="H21" s="141"/>
      <c r="I21" s="141"/>
      <c r="J21" s="141"/>
      <c r="K21" s="141"/>
      <c r="L21" s="83"/>
      <c r="M21" s="83"/>
      <c r="N21" s="83"/>
      <c r="O21" s="83"/>
      <c r="P21" s="83"/>
      <c r="Q21" s="83"/>
      <c r="R21" s="142"/>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row>
    <row r="22" spans="1:45" ht="14.25" x14ac:dyDescent="0.45">
      <c r="A22" t="s">
        <v>476</v>
      </c>
      <c r="B22">
        <f>ROW()</f>
        <v>22</v>
      </c>
      <c r="C22" t="s">
        <v>474</v>
      </c>
      <c r="D22" t="s">
        <v>259</v>
      </c>
      <c r="E22" t="s">
        <v>189</v>
      </c>
      <c r="F22" t="s">
        <v>468</v>
      </c>
      <c r="G22" t="s">
        <v>456</v>
      </c>
      <c r="H22" s="141"/>
      <c r="I22" s="141"/>
      <c r="J22" s="141"/>
      <c r="K22" s="141"/>
      <c r="L22" s="83"/>
      <c r="M22" s="83"/>
      <c r="N22" s="83"/>
      <c r="O22" s="83"/>
      <c r="P22" s="83"/>
      <c r="Q22" s="83"/>
      <c r="R22" s="142"/>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row>
    <row r="23" spans="1:45" ht="14.25" x14ac:dyDescent="0.45"/>
    <row r="24" spans="1:45" ht="14.25" x14ac:dyDescent="0.45">
      <c r="A24" s="64" t="s">
        <v>475</v>
      </c>
    </row>
  </sheetData>
  <dataValidations count="1">
    <dataValidation type="list" allowBlank="1" showInputMessage="1" showErrorMessage="1" sqref="K4:K22 AP4:AP22 Q4:Q16" xr:uid="{708009F5-90E2-4B08-9D3E-3C3D286EC510}">
      <formula1>$AS$4:$AS$9</formula1>
    </dataValidation>
  </dataValidations>
  <pageMargins left="0.7" right="0.7" top="0.75" bottom="0.75" header="0.3" footer="0.3"/>
  <pageSetup paperSize="9" scale="23" fitToHeight="0"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60D63-E267-4634-8889-A10BE5395C5F}">
  <sheetPr codeName="Sheet18">
    <pageSetUpPr fitToPage="1"/>
  </sheetPr>
  <dimension ref="A1:J100"/>
  <sheetViews>
    <sheetView zoomScale="85" zoomScaleNormal="85" workbookViewId="0"/>
  </sheetViews>
  <sheetFormatPr defaultRowHeight="14.45" customHeight="1" x14ac:dyDescent="0.45"/>
  <cols>
    <col min="1" max="1" width="32.86328125" customWidth="1"/>
    <col min="2" max="2" width="9" bestFit="1" customWidth="1"/>
    <col min="3" max="3" width="45.86328125" bestFit="1" customWidth="1"/>
    <col min="4" max="4" width="27.86328125" bestFit="1" customWidth="1"/>
    <col min="5" max="5" width="24.59765625" bestFit="1" customWidth="1"/>
    <col min="6" max="8" width="22.1328125" bestFit="1" customWidth="1"/>
    <col min="9" max="10" width="24.59765625" bestFit="1" customWidth="1"/>
    <col min="11" max="11" width="2" customWidth="1"/>
  </cols>
  <sheetData>
    <row r="1" spans="1:10" ht="23.25" x14ac:dyDescent="0.45">
      <c r="A1" s="146" t="s">
        <v>1169</v>
      </c>
    </row>
    <row r="2" spans="1:10" ht="21" x14ac:dyDescent="0.65">
      <c r="A2" s="129" t="s">
        <v>811</v>
      </c>
    </row>
    <row r="3" spans="1:10" ht="94.5" customHeight="1" x14ac:dyDescent="0.45">
      <c r="A3" s="119" t="s">
        <v>78</v>
      </c>
      <c r="B3" s="119" t="s">
        <v>79</v>
      </c>
      <c r="C3" s="119" t="s">
        <v>1244</v>
      </c>
      <c r="D3" s="119" t="s">
        <v>1245</v>
      </c>
      <c r="E3" s="119" t="s">
        <v>1063</v>
      </c>
      <c r="F3" s="119" t="s">
        <v>1064</v>
      </c>
      <c r="G3" s="119" t="s">
        <v>1065</v>
      </c>
      <c r="H3" s="119" t="s">
        <v>1066</v>
      </c>
      <c r="I3" s="119" t="s">
        <v>1067</v>
      </c>
      <c r="J3" s="119" t="s">
        <v>1068</v>
      </c>
    </row>
    <row r="4" spans="1:10" ht="14.25" x14ac:dyDescent="0.45">
      <c r="A4" t="s">
        <v>811</v>
      </c>
      <c r="B4" s="162">
        <f>ROW()</f>
        <v>4</v>
      </c>
      <c r="C4" s="162" t="s">
        <v>299</v>
      </c>
      <c r="D4" s="162" t="s">
        <v>300</v>
      </c>
      <c r="E4" s="173"/>
      <c r="F4" s="173"/>
      <c r="G4" s="173"/>
      <c r="H4" s="173"/>
      <c r="I4" s="166"/>
      <c r="J4" s="166"/>
    </row>
    <row r="5" spans="1:10" ht="14.25" x14ac:dyDescent="0.45">
      <c r="A5" t="s">
        <v>811</v>
      </c>
      <c r="B5" s="162">
        <f>ROW()</f>
        <v>5</v>
      </c>
      <c r="C5" s="162" t="s">
        <v>299</v>
      </c>
      <c r="D5" s="162" t="s">
        <v>301</v>
      </c>
      <c r="E5" s="173"/>
      <c r="F5" s="173"/>
      <c r="G5" s="173"/>
      <c r="H5" s="173"/>
      <c r="I5" s="166"/>
      <c r="J5" s="166"/>
    </row>
    <row r="6" spans="1:10" ht="14.25" x14ac:dyDescent="0.45">
      <c r="A6" t="s">
        <v>811</v>
      </c>
      <c r="B6" s="162">
        <f>ROW()</f>
        <v>6</v>
      </c>
      <c r="C6" s="162" t="s">
        <v>299</v>
      </c>
      <c r="D6" s="162" t="s">
        <v>335</v>
      </c>
      <c r="E6" s="173"/>
      <c r="F6" s="173"/>
      <c r="G6" s="173"/>
      <c r="H6" s="173"/>
      <c r="I6" s="166"/>
      <c r="J6" s="166"/>
    </row>
    <row r="7" spans="1:10" ht="14.25" x14ac:dyDescent="0.45">
      <c r="A7" t="s">
        <v>811</v>
      </c>
      <c r="B7" s="162">
        <f>ROW()</f>
        <v>7</v>
      </c>
      <c r="C7" s="183" t="s">
        <v>299</v>
      </c>
      <c r="D7" s="162"/>
      <c r="E7" s="163">
        <f t="shared" ref="E7:J7" si="0">SUM(E4:E6)</f>
        <v>0</v>
      </c>
      <c r="F7" s="163">
        <f t="shared" si="0"/>
        <v>0</v>
      </c>
      <c r="G7" s="163">
        <f t="shared" si="0"/>
        <v>0</v>
      </c>
      <c r="H7" s="163">
        <f t="shared" si="0"/>
        <v>0</v>
      </c>
      <c r="I7" s="163">
        <f t="shared" si="0"/>
        <v>0</v>
      </c>
      <c r="J7" s="163">
        <f t="shared" si="0"/>
        <v>0</v>
      </c>
    </row>
    <row r="8" spans="1:10" ht="14.25" x14ac:dyDescent="0.45">
      <c r="A8" t="s">
        <v>811</v>
      </c>
      <c r="B8" s="162">
        <f>ROW()</f>
        <v>8</v>
      </c>
      <c r="C8" s="162" t="s">
        <v>302</v>
      </c>
      <c r="D8" s="162" t="s">
        <v>303</v>
      </c>
      <c r="E8" s="173"/>
      <c r="F8" s="173"/>
      <c r="G8" s="173"/>
      <c r="H8" s="173"/>
      <c r="I8" s="166"/>
      <c r="J8" s="166"/>
    </row>
    <row r="9" spans="1:10" ht="14.25" x14ac:dyDescent="0.45">
      <c r="A9" t="s">
        <v>811</v>
      </c>
      <c r="B9" s="162">
        <f>ROW()</f>
        <v>9</v>
      </c>
      <c r="C9" s="162" t="s">
        <v>302</v>
      </c>
      <c r="D9" s="162" t="s">
        <v>304</v>
      </c>
      <c r="E9" s="173"/>
      <c r="F9" s="173"/>
      <c r="G9" s="173"/>
      <c r="H9" s="173"/>
      <c r="I9" s="166"/>
      <c r="J9" s="166"/>
    </row>
    <row r="10" spans="1:10" ht="14.25" x14ac:dyDescent="0.45">
      <c r="A10" t="s">
        <v>811</v>
      </c>
      <c r="B10" s="162">
        <f>ROW()</f>
        <v>10</v>
      </c>
      <c r="C10" s="183" t="s">
        <v>302</v>
      </c>
      <c r="D10" s="162"/>
      <c r="E10" s="163">
        <f t="shared" ref="E10:J10" si="1">SUM(E8:E9)</f>
        <v>0</v>
      </c>
      <c r="F10" s="163">
        <f>SUM(F8:F9)</f>
        <v>0</v>
      </c>
      <c r="G10" s="163">
        <f t="shared" si="1"/>
        <v>0</v>
      </c>
      <c r="H10" s="163">
        <f t="shared" si="1"/>
        <v>0</v>
      </c>
      <c r="I10" s="163">
        <f t="shared" si="1"/>
        <v>0</v>
      </c>
      <c r="J10" s="163">
        <f t="shared" si="1"/>
        <v>0</v>
      </c>
    </row>
    <row r="11" spans="1:10" ht="14.25" x14ac:dyDescent="0.45">
      <c r="A11" t="s">
        <v>811</v>
      </c>
      <c r="B11" s="162">
        <f>ROW()</f>
        <v>11</v>
      </c>
      <c r="C11" s="162" t="s">
        <v>345</v>
      </c>
      <c r="D11" s="162" t="s">
        <v>305</v>
      </c>
      <c r="E11" s="173"/>
      <c r="F11" s="173"/>
      <c r="G11" s="173"/>
      <c r="H11" s="173"/>
      <c r="I11" s="166"/>
      <c r="J11" s="166"/>
    </row>
    <row r="12" spans="1:10" ht="14.25" x14ac:dyDescent="0.45">
      <c r="A12" t="s">
        <v>811</v>
      </c>
      <c r="B12" s="162">
        <f>ROW()</f>
        <v>12</v>
      </c>
      <c r="C12" s="162" t="s">
        <v>345</v>
      </c>
      <c r="D12" s="162" t="s">
        <v>306</v>
      </c>
      <c r="E12" s="173"/>
      <c r="F12" s="173"/>
      <c r="G12" s="173"/>
      <c r="H12" s="173"/>
      <c r="I12" s="166"/>
      <c r="J12" s="166"/>
    </row>
    <row r="13" spans="1:10" ht="14.25" x14ac:dyDescent="0.45">
      <c r="A13" t="s">
        <v>811</v>
      </c>
      <c r="B13" s="162">
        <f>ROW()</f>
        <v>13</v>
      </c>
      <c r="C13" s="162" t="s">
        <v>345</v>
      </c>
      <c r="D13" s="162" t="s">
        <v>307</v>
      </c>
      <c r="E13" s="173"/>
      <c r="F13" s="173"/>
      <c r="G13" s="173"/>
      <c r="H13" s="173"/>
      <c r="I13" s="166"/>
      <c r="J13" s="166"/>
    </row>
    <row r="14" spans="1:10" ht="14.25" x14ac:dyDescent="0.45">
      <c r="A14" t="s">
        <v>811</v>
      </c>
      <c r="B14" s="162">
        <f>ROW()</f>
        <v>14</v>
      </c>
      <c r="C14" s="183" t="s">
        <v>345</v>
      </c>
      <c r="D14" s="162"/>
      <c r="E14" s="163">
        <f t="shared" ref="E14:J14" si="2">SUM(E11:E13)</f>
        <v>0</v>
      </c>
      <c r="F14" s="163">
        <f t="shared" si="2"/>
        <v>0</v>
      </c>
      <c r="G14" s="163">
        <f t="shared" si="2"/>
        <v>0</v>
      </c>
      <c r="H14" s="163">
        <f t="shared" si="2"/>
        <v>0</v>
      </c>
      <c r="I14" s="163">
        <f t="shared" si="2"/>
        <v>0</v>
      </c>
      <c r="J14" s="163">
        <f t="shared" si="2"/>
        <v>0</v>
      </c>
    </row>
    <row r="15" spans="1:10" ht="14.25" x14ac:dyDescent="0.45">
      <c r="A15" t="s">
        <v>811</v>
      </c>
      <c r="B15" s="162">
        <f>ROW()</f>
        <v>15</v>
      </c>
      <c r="C15" s="162" t="s">
        <v>308</v>
      </c>
      <c r="D15" s="162" t="s">
        <v>309</v>
      </c>
      <c r="E15" s="173"/>
      <c r="F15" s="173"/>
      <c r="G15" s="173"/>
      <c r="H15" s="173"/>
      <c r="I15" s="166"/>
      <c r="J15" s="166"/>
    </row>
    <row r="16" spans="1:10" ht="14.25" x14ac:dyDescent="0.45">
      <c r="A16" t="s">
        <v>811</v>
      </c>
      <c r="B16" s="162">
        <f>ROW()</f>
        <v>16</v>
      </c>
      <c r="C16" s="162" t="s">
        <v>308</v>
      </c>
      <c r="D16" s="162" t="s">
        <v>310</v>
      </c>
      <c r="E16" s="173"/>
      <c r="F16" s="173"/>
      <c r="G16" s="173"/>
      <c r="H16" s="173"/>
      <c r="I16" s="166"/>
      <c r="J16" s="166"/>
    </row>
    <row r="17" spans="1:10" ht="14.25" x14ac:dyDescent="0.45">
      <c r="A17" t="s">
        <v>811</v>
      </c>
      <c r="B17" s="162">
        <f>ROW()</f>
        <v>17</v>
      </c>
      <c r="C17" s="162" t="s">
        <v>308</v>
      </c>
      <c r="D17" s="162" t="s">
        <v>311</v>
      </c>
      <c r="E17" s="173"/>
      <c r="F17" s="173"/>
      <c r="G17" s="173"/>
      <c r="H17" s="173"/>
      <c r="I17" s="166"/>
      <c r="J17" s="166"/>
    </row>
    <row r="18" spans="1:10" ht="14.25" x14ac:dyDescent="0.45">
      <c r="A18" t="s">
        <v>811</v>
      </c>
      <c r="B18" s="162">
        <f>ROW()</f>
        <v>18</v>
      </c>
      <c r="C18" s="162" t="s">
        <v>308</v>
      </c>
      <c r="D18" s="162" t="s">
        <v>312</v>
      </c>
      <c r="E18" s="173"/>
      <c r="F18" s="173"/>
      <c r="G18" s="173"/>
      <c r="H18" s="173"/>
      <c r="I18" s="166"/>
      <c r="J18" s="166"/>
    </row>
    <row r="19" spans="1:10" ht="14.25" x14ac:dyDescent="0.45">
      <c r="A19" t="s">
        <v>811</v>
      </c>
      <c r="B19" s="162">
        <f>ROW()</f>
        <v>19</v>
      </c>
      <c r="C19" s="183" t="s">
        <v>308</v>
      </c>
      <c r="D19" s="162"/>
      <c r="E19" s="163">
        <f t="shared" ref="E19:J19" si="3">SUM(E15:E18)</f>
        <v>0</v>
      </c>
      <c r="F19" s="163">
        <f t="shared" si="3"/>
        <v>0</v>
      </c>
      <c r="G19" s="163">
        <f t="shared" si="3"/>
        <v>0</v>
      </c>
      <c r="H19" s="163">
        <f t="shared" si="3"/>
        <v>0</v>
      </c>
      <c r="I19" s="163">
        <f t="shared" si="3"/>
        <v>0</v>
      </c>
      <c r="J19" s="163">
        <f t="shared" si="3"/>
        <v>0</v>
      </c>
    </row>
    <row r="20" spans="1:10" ht="14.25" x14ac:dyDescent="0.45">
      <c r="A20" t="s">
        <v>811</v>
      </c>
      <c r="B20" s="162">
        <f>ROW()</f>
        <v>20</v>
      </c>
      <c r="C20" s="162" t="s">
        <v>313</v>
      </c>
      <c r="D20" s="162"/>
      <c r="E20" s="173"/>
      <c r="F20" s="173"/>
      <c r="G20" s="173"/>
      <c r="H20" s="173"/>
      <c r="I20" s="166"/>
      <c r="J20" s="166"/>
    </row>
    <row r="21" spans="1:10" ht="14.25" x14ac:dyDescent="0.45">
      <c r="A21" t="s">
        <v>811</v>
      </c>
      <c r="B21" s="162">
        <f>ROW()</f>
        <v>21</v>
      </c>
      <c r="C21" s="183" t="s">
        <v>314</v>
      </c>
      <c r="D21" s="47"/>
      <c r="E21" s="163">
        <f t="shared" ref="E21:J21" si="4">E7+E10+E14+E19+E20</f>
        <v>0</v>
      </c>
      <c r="F21" s="163">
        <f t="shared" si="4"/>
        <v>0</v>
      </c>
      <c r="G21" s="163">
        <f t="shared" si="4"/>
        <v>0</v>
      </c>
      <c r="H21" s="163">
        <f t="shared" si="4"/>
        <v>0</v>
      </c>
      <c r="I21" s="163">
        <f t="shared" si="4"/>
        <v>0</v>
      </c>
      <c r="J21" s="163">
        <f t="shared" si="4"/>
        <v>0</v>
      </c>
    </row>
    <row r="22" spans="1:10" ht="14.25" x14ac:dyDescent="0.45">
      <c r="A22" t="s">
        <v>811</v>
      </c>
      <c r="B22" s="162">
        <f>ROW()</f>
        <v>22</v>
      </c>
      <c r="C22" s="162" t="s">
        <v>315</v>
      </c>
      <c r="D22" s="162" t="s">
        <v>316</v>
      </c>
      <c r="E22" s="173"/>
      <c r="F22" s="173"/>
      <c r="G22" s="173"/>
      <c r="H22" s="173"/>
      <c r="I22" s="166"/>
      <c r="J22" s="166"/>
    </row>
    <row r="23" spans="1:10" ht="14.25" x14ac:dyDescent="0.45">
      <c r="A23" t="s">
        <v>811</v>
      </c>
      <c r="B23" s="162">
        <f>ROW()</f>
        <v>23</v>
      </c>
      <c r="C23" s="162" t="s">
        <v>315</v>
      </c>
      <c r="D23" s="162" t="s">
        <v>317</v>
      </c>
      <c r="E23" s="173"/>
      <c r="F23" s="173"/>
      <c r="G23" s="173"/>
      <c r="H23" s="173"/>
      <c r="I23" s="166"/>
      <c r="J23" s="166"/>
    </row>
    <row r="24" spans="1:10" ht="14.25" x14ac:dyDescent="0.45">
      <c r="A24" t="s">
        <v>811</v>
      </c>
      <c r="B24" s="162">
        <f>ROW()</f>
        <v>24</v>
      </c>
      <c r="C24" s="183" t="s">
        <v>318</v>
      </c>
      <c r="D24" s="162"/>
      <c r="E24" s="163">
        <f t="shared" ref="E24:J24" si="5">SUM(E22:E23)</f>
        <v>0</v>
      </c>
      <c r="F24" s="163">
        <f t="shared" si="5"/>
        <v>0</v>
      </c>
      <c r="G24" s="163">
        <f t="shared" si="5"/>
        <v>0</v>
      </c>
      <c r="H24" s="163">
        <f t="shared" si="5"/>
        <v>0</v>
      </c>
      <c r="I24" s="163">
        <f t="shared" si="5"/>
        <v>0</v>
      </c>
      <c r="J24" s="163">
        <f t="shared" si="5"/>
        <v>0</v>
      </c>
    </row>
    <row r="25" spans="1:10" ht="14.25" x14ac:dyDescent="0.45">
      <c r="A25" t="s">
        <v>811</v>
      </c>
      <c r="B25" s="162">
        <f>ROW()</f>
        <v>25</v>
      </c>
      <c r="C25" s="183" t="s">
        <v>319</v>
      </c>
      <c r="D25" s="162"/>
      <c r="E25" s="163">
        <f t="shared" ref="E25:J25" si="6">E21+E24</f>
        <v>0</v>
      </c>
      <c r="F25" s="163">
        <f t="shared" si="6"/>
        <v>0</v>
      </c>
      <c r="G25" s="163">
        <f t="shared" si="6"/>
        <v>0</v>
      </c>
      <c r="H25" s="163">
        <f t="shared" si="6"/>
        <v>0</v>
      </c>
      <c r="I25" s="163">
        <f t="shared" si="6"/>
        <v>0</v>
      </c>
      <c r="J25" s="163">
        <f t="shared" si="6"/>
        <v>0</v>
      </c>
    </row>
    <row r="26" spans="1:10" ht="14.25" x14ac:dyDescent="0.45">
      <c r="A26" t="s">
        <v>811</v>
      </c>
      <c r="B26" s="162">
        <f>ROW()</f>
        <v>26</v>
      </c>
      <c r="C26" s="162" t="s">
        <v>320</v>
      </c>
      <c r="D26" s="162" t="s">
        <v>1274</v>
      </c>
      <c r="E26" s="173"/>
      <c r="F26" s="173"/>
      <c r="G26" s="173"/>
      <c r="H26" s="173"/>
      <c r="I26" s="166"/>
      <c r="J26" s="166"/>
    </row>
    <row r="27" spans="1:10" ht="14.25" x14ac:dyDescent="0.45">
      <c r="A27" t="s">
        <v>811</v>
      </c>
      <c r="B27" s="162">
        <f>ROW()</f>
        <v>27</v>
      </c>
      <c r="C27" s="162" t="s">
        <v>320</v>
      </c>
      <c r="D27" s="162" t="s">
        <v>321</v>
      </c>
      <c r="E27" s="173"/>
      <c r="F27" s="173"/>
      <c r="G27" s="173"/>
      <c r="H27" s="173"/>
      <c r="I27" s="166"/>
      <c r="J27" s="166"/>
    </row>
    <row r="28" spans="1:10" ht="14.25" x14ac:dyDescent="0.45">
      <c r="A28" t="s">
        <v>811</v>
      </c>
      <c r="B28" s="162">
        <f>ROW()</f>
        <v>28</v>
      </c>
      <c r="C28" s="183" t="s">
        <v>320</v>
      </c>
      <c r="D28" s="162"/>
      <c r="E28" s="163">
        <f t="shared" ref="E28:J28" si="7">E25+E26-E27</f>
        <v>0</v>
      </c>
      <c r="F28" s="163">
        <f t="shared" si="7"/>
        <v>0</v>
      </c>
      <c r="G28" s="163">
        <f t="shared" si="7"/>
        <v>0</v>
      </c>
      <c r="H28" s="163">
        <f t="shared" si="7"/>
        <v>0</v>
      </c>
      <c r="I28" s="163">
        <f t="shared" si="7"/>
        <v>0</v>
      </c>
      <c r="J28" s="163">
        <f t="shared" si="7"/>
        <v>0</v>
      </c>
    </row>
    <row r="29" spans="1:10" ht="14.25" x14ac:dyDescent="0.45">
      <c r="A29" t="s">
        <v>811</v>
      </c>
      <c r="B29" s="162">
        <f>ROW()</f>
        <v>29</v>
      </c>
      <c r="C29" s="162" t="s">
        <v>109</v>
      </c>
      <c r="D29" s="162"/>
      <c r="E29" s="173"/>
      <c r="F29" s="173"/>
      <c r="G29" s="173"/>
      <c r="H29" s="173"/>
      <c r="I29" s="166"/>
      <c r="J29" s="166"/>
    </row>
    <row r="30" spans="1:10" ht="14.25" x14ac:dyDescent="0.45">
      <c r="A30" t="s">
        <v>811</v>
      </c>
      <c r="B30" s="162">
        <f>ROW()</f>
        <v>30</v>
      </c>
      <c r="C30" s="162" t="s">
        <v>342</v>
      </c>
      <c r="D30" s="162" t="s">
        <v>1273</v>
      </c>
      <c r="E30" s="198"/>
      <c r="F30" s="198"/>
      <c r="G30" s="198"/>
      <c r="H30" s="198"/>
      <c r="I30" s="199"/>
      <c r="J30" s="199"/>
    </row>
    <row r="31" spans="1:10" ht="14.25" x14ac:dyDescent="0.45"/>
    <row r="32" spans="1:10" ht="14.25" x14ac:dyDescent="0.45"/>
    <row r="33" spans="1:10" ht="21" x14ac:dyDescent="0.65">
      <c r="A33" s="129" t="s">
        <v>811</v>
      </c>
    </row>
    <row r="34" spans="1:10" ht="94.5" customHeight="1" x14ac:dyDescent="0.45">
      <c r="A34" s="119" t="s">
        <v>78</v>
      </c>
      <c r="B34" s="119" t="s">
        <v>79</v>
      </c>
      <c r="C34" s="119" t="s">
        <v>1244</v>
      </c>
      <c r="D34" s="119" t="s">
        <v>1245</v>
      </c>
      <c r="E34" s="119" t="s">
        <v>1069</v>
      </c>
      <c r="F34" s="119" t="s">
        <v>1070</v>
      </c>
      <c r="G34" s="119" t="s">
        <v>1071</v>
      </c>
      <c r="H34" s="119" t="s">
        <v>1072</v>
      </c>
      <c r="I34" s="119" t="s">
        <v>1073</v>
      </c>
      <c r="J34" s="119" t="s">
        <v>1074</v>
      </c>
    </row>
    <row r="35" spans="1:10" ht="14.25" x14ac:dyDescent="0.45">
      <c r="A35" t="s">
        <v>811</v>
      </c>
      <c r="B35" s="162">
        <f>ROW()</f>
        <v>35</v>
      </c>
      <c r="C35" s="162" t="s">
        <v>299</v>
      </c>
      <c r="D35" s="162" t="s">
        <v>300</v>
      </c>
      <c r="E35" s="173"/>
      <c r="F35" s="173"/>
      <c r="G35" s="173"/>
      <c r="H35" s="173"/>
      <c r="I35" s="166"/>
      <c r="J35" s="166"/>
    </row>
    <row r="36" spans="1:10" ht="14.25" x14ac:dyDescent="0.45">
      <c r="A36" t="s">
        <v>811</v>
      </c>
      <c r="B36" s="162">
        <f>ROW()</f>
        <v>36</v>
      </c>
      <c r="C36" s="162" t="s">
        <v>299</v>
      </c>
      <c r="D36" s="162" t="s">
        <v>301</v>
      </c>
      <c r="E36" s="173"/>
      <c r="F36" s="173"/>
      <c r="G36" s="173"/>
      <c r="H36" s="173"/>
      <c r="I36" s="166"/>
      <c r="J36" s="166"/>
    </row>
    <row r="37" spans="1:10" ht="14.25" x14ac:dyDescent="0.45">
      <c r="A37" t="s">
        <v>811</v>
      </c>
      <c r="B37" s="162">
        <f>ROW()</f>
        <v>37</v>
      </c>
      <c r="C37" s="162" t="s">
        <v>299</v>
      </c>
      <c r="D37" s="162" t="s">
        <v>335</v>
      </c>
      <c r="E37" s="173"/>
      <c r="F37" s="173"/>
      <c r="G37" s="173"/>
      <c r="H37" s="173"/>
      <c r="I37" s="166"/>
      <c r="J37" s="166"/>
    </row>
    <row r="38" spans="1:10" ht="14.25" x14ac:dyDescent="0.45">
      <c r="A38" t="s">
        <v>811</v>
      </c>
      <c r="B38" s="162">
        <f>ROW()</f>
        <v>38</v>
      </c>
      <c r="C38" s="183" t="s">
        <v>299</v>
      </c>
      <c r="D38" s="162"/>
      <c r="E38" s="158">
        <f t="shared" ref="E38:J38" si="8">SUM(E35:E37)</f>
        <v>0</v>
      </c>
      <c r="F38" s="158">
        <f t="shared" si="8"/>
        <v>0</v>
      </c>
      <c r="G38" s="158">
        <f t="shared" si="8"/>
        <v>0</v>
      </c>
      <c r="H38" s="158">
        <f t="shared" si="8"/>
        <v>0</v>
      </c>
      <c r="I38" s="158">
        <f t="shared" si="8"/>
        <v>0</v>
      </c>
      <c r="J38" s="158">
        <f t="shared" si="8"/>
        <v>0</v>
      </c>
    </row>
    <row r="39" spans="1:10" ht="14.25" x14ac:dyDescent="0.45">
      <c r="A39" t="s">
        <v>811</v>
      </c>
      <c r="B39" s="162">
        <f>ROW()</f>
        <v>39</v>
      </c>
      <c r="C39" s="162" t="s">
        <v>302</v>
      </c>
      <c r="D39" s="162" t="s">
        <v>303</v>
      </c>
      <c r="E39" s="173"/>
      <c r="F39" s="173"/>
      <c r="G39" s="173"/>
      <c r="H39" s="173"/>
      <c r="I39" s="166"/>
      <c r="J39" s="166"/>
    </row>
    <row r="40" spans="1:10" ht="14.25" x14ac:dyDescent="0.45">
      <c r="A40" t="s">
        <v>811</v>
      </c>
      <c r="B40" s="162">
        <f>ROW()</f>
        <v>40</v>
      </c>
      <c r="C40" s="162" t="s">
        <v>302</v>
      </c>
      <c r="D40" s="162" t="s">
        <v>304</v>
      </c>
      <c r="E40" s="173"/>
      <c r="F40" s="173"/>
      <c r="G40" s="173"/>
      <c r="H40" s="173"/>
      <c r="I40" s="166"/>
      <c r="J40" s="166"/>
    </row>
    <row r="41" spans="1:10" ht="14.25" x14ac:dyDescent="0.45">
      <c r="A41" t="s">
        <v>811</v>
      </c>
      <c r="B41" s="162">
        <f>ROW()</f>
        <v>41</v>
      </c>
      <c r="C41" s="183" t="s">
        <v>302</v>
      </c>
      <c r="D41" s="162"/>
      <c r="E41" s="158">
        <f t="shared" ref="E41:J41" si="9">SUM(E39:E40)</f>
        <v>0</v>
      </c>
      <c r="F41" s="158">
        <f t="shared" si="9"/>
        <v>0</v>
      </c>
      <c r="G41" s="158">
        <f t="shared" si="9"/>
        <v>0</v>
      </c>
      <c r="H41" s="158">
        <f t="shared" si="9"/>
        <v>0</v>
      </c>
      <c r="I41" s="158">
        <f t="shared" si="9"/>
        <v>0</v>
      </c>
      <c r="J41" s="158">
        <f t="shared" si="9"/>
        <v>0</v>
      </c>
    </row>
    <row r="42" spans="1:10" ht="14.25" x14ac:dyDescent="0.45">
      <c r="A42" t="s">
        <v>811</v>
      </c>
      <c r="B42" s="162">
        <f>ROW()</f>
        <v>42</v>
      </c>
      <c r="C42" s="162" t="s">
        <v>345</v>
      </c>
      <c r="D42" s="162" t="s">
        <v>305</v>
      </c>
      <c r="E42" s="173"/>
      <c r="F42" s="173"/>
      <c r="G42" s="173"/>
      <c r="H42" s="173"/>
      <c r="I42" s="166"/>
      <c r="J42" s="166"/>
    </row>
    <row r="43" spans="1:10" ht="14.25" x14ac:dyDescent="0.45">
      <c r="A43" t="s">
        <v>811</v>
      </c>
      <c r="B43" s="162">
        <f>ROW()</f>
        <v>43</v>
      </c>
      <c r="C43" s="162" t="s">
        <v>345</v>
      </c>
      <c r="D43" s="162" t="s">
        <v>306</v>
      </c>
      <c r="E43" s="173"/>
      <c r="F43" s="173"/>
      <c r="G43" s="173"/>
      <c r="H43" s="173"/>
      <c r="I43" s="166"/>
      <c r="J43" s="166"/>
    </row>
    <row r="44" spans="1:10" ht="14.25" x14ac:dyDescent="0.45">
      <c r="A44" t="s">
        <v>811</v>
      </c>
      <c r="B44" s="162">
        <f>ROW()</f>
        <v>44</v>
      </c>
      <c r="C44" s="162" t="s">
        <v>345</v>
      </c>
      <c r="D44" s="162" t="s">
        <v>307</v>
      </c>
      <c r="E44" s="173"/>
      <c r="F44" s="173"/>
      <c r="G44" s="173"/>
      <c r="H44" s="173"/>
      <c r="I44" s="166"/>
      <c r="J44" s="166"/>
    </row>
    <row r="45" spans="1:10" ht="14.25" x14ac:dyDescent="0.45">
      <c r="A45" t="s">
        <v>811</v>
      </c>
      <c r="B45" s="162">
        <f>ROW()</f>
        <v>45</v>
      </c>
      <c r="C45" s="183" t="s">
        <v>345</v>
      </c>
      <c r="D45" s="162"/>
      <c r="E45" s="158">
        <f t="shared" ref="E45:J45" si="10">SUM(E42:E44)</f>
        <v>0</v>
      </c>
      <c r="F45" s="158">
        <f t="shared" si="10"/>
        <v>0</v>
      </c>
      <c r="G45" s="158">
        <f t="shared" si="10"/>
        <v>0</v>
      </c>
      <c r="H45" s="158">
        <f t="shared" si="10"/>
        <v>0</v>
      </c>
      <c r="I45" s="158">
        <f t="shared" si="10"/>
        <v>0</v>
      </c>
      <c r="J45" s="158">
        <f t="shared" si="10"/>
        <v>0</v>
      </c>
    </row>
    <row r="46" spans="1:10" ht="14.25" x14ac:dyDescent="0.45">
      <c r="A46" t="s">
        <v>811</v>
      </c>
      <c r="B46" s="162">
        <f>ROW()</f>
        <v>46</v>
      </c>
      <c r="C46" s="162" t="s">
        <v>308</v>
      </c>
      <c r="D46" s="162" t="s">
        <v>309</v>
      </c>
      <c r="E46" s="173"/>
      <c r="F46" s="173"/>
      <c r="G46" s="173"/>
      <c r="H46" s="173"/>
      <c r="I46" s="166"/>
      <c r="J46" s="166"/>
    </row>
    <row r="47" spans="1:10" ht="14.25" x14ac:dyDescent="0.45">
      <c r="A47" t="s">
        <v>811</v>
      </c>
      <c r="B47" s="162">
        <f>ROW()</f>
        <v>47</v>
      </c>
      <c r="C47" s="162" t="s">
        <v>308</v>
      </c>
      <c r="D47" s="162" t="s">
        <v>310</v>
      </c>
      <c r="E47" s="173"/>
      <c r="F47" s="173"/>
      <c r="G47" s="173"/>
      <c r="H47" s="173"/>
      <c r="I47" s="166"/>
      <c r="J47" s="166"/>
    </row>
    <row r="48" spans="1:10" ht="14.25" x14ac:dyDescent="0.45">
      <c r="A48" t="s">
        <v>811</v>
      </c>
      <c r="B48" s="162">
        <f>ROW()</f>
        <v>48</v>
      </c>
      <c r="C48" s="162" t="s">
        <v>308</v>
      </c>
      <c r="D48" s="162" t="s">
        <v>343</v>
      </c>
      <c r="E48" s="173"/>
      <c r="F48" s="173"/>
      <c r="G48" s="173"/>
      <c r="H48" s="173"/>
      <c r="I48" s="166"/>
      <c r="J48" s="166"/>
    </row>
    <row r="49" spans="1:10" ht="14.25" x14ac:dyDescent="0.45">
      <c r="A49" t="s">
        <v>811</v>
      </c>
      <c r="B49" s="162">
        <f>ROW()</f>
        <v>49</v>
      </c>
      <c r="C49" s="162" t="s">
        <v>308</v>
      </c>
      <c r="D49" s="162" t="s">
        <v>312</v>
      </c>
      <c r="E49" s="173"/>
      <c r="F49" s="173"/>
      <c r="G49" s="173"/>
      <c r="H49" s="173"/>
      <c r="I49" s="166"/>
      <c r="J49" s="166"/>
    </row>
    <row r="50" spans="1:10" ht="14.25" x14ac:dyDescent="0.45">
      <c r="A50" t="s">
        <v>811</v>
      </c>
      <c r="B50" s="162">
        <f>ROW()</f>
        <v>50</v>
      </c>
      <c r="C50" s="183" t="s">
        <v>308</v>
      </c>
      <c r="D50" s="162"/>
      <c r="E50" s="158">
        <f t="shared" ref="E50:J50" si="11">SUM(E46:E49)</f>
        <v>0</v>
      </c>
      <c r="F50" s="158">
        <f t="shared" si="11"/>
        <v>0</v>
      </c>
      <c r="G50" s="158">
        <f t="shared" si="11"/>
        <v>0</v>
      </c>
      <c r="H50" s="158">
        <f t="shared" si="11"/>
        <v>0</v>
      </c>
      <c r="I50" s="158">
        <f t="shared" si="11"/>
        <v>0</v>
      </c>
      <c r="J50" s="158">
        <f t="shared" si="11"/>
        <v>0</v>
      </c>
    </row>
    <row r="51" spans="1:10" ht="14.25" x14ac:dyDescent="0.45">
      <c r="A51" t="s">
        <v>811</v>
      </c>
      <c r="B51" s="162">
        <f>ROW()</f>
        <v>51</v>
      </c>
      <c r="C51" s="162" t="s">
        <v>313</v>
      </c>
      <c r="D51" s="162"/>
      <c r="E51" s="173"/>
      <c r="F51" s="173"/>
      <c r="G51" s="173"/>
      <c r="H51" s="173"/>
      <c r="I51" s="166"/>
      <c r="J51" s="166"/>
    </row>
    <row r="52" spans="1:10" ht="14.25" x14ac:dyDescent="0.45">
      <c r="A52" t="s">
        <v>811</v>
      </c>
      <c r="B52" s="162">
        <f>ROW()</f>
        <v>52</v>
      </c>
      <c r="C52" s="183" t="s">
        <v>314</v>
      </c>
      <c r="D52" s="162"/>
      <c r="E52" s="158">
        <f t="shared" ref="E52:J52" si="12">E38+E41+E45+E50+E51</f>
        <v>0</v>
      </c>
      <c r="F52" s="158">
        <f t="shared" si="12"/>
        <v>0</v>
      </c>
      <c r="G52" s="158">
        <f t="shared" si="12"/>
        <v>0</v>
      </c>
      <c r="H52" s="158">
        <f t="shared" si="12"/>
        <v>0</v>
      </c>
      <c r="I52" s="158">
        <f t="shared" si="12"/>
        <v>0</v>
      </c>
      <c r="J52" s="158">
        <f t="shared" si="12"/>
        <v>0</v>
      </c>
    </row>
    <row r="53" spans="1:10" ht="14.25" x14ac:dyDescent="0.45">
      <c r="A53" t="s">
        <v>811</v>
      </c>
      <c r="B53" s="162">
        <f>ROW()</f>
        <v>53</v>
      </c>
      <c r="C53" s="162" t="s">
        <v>315</v>
      </c>
      <c r="D53" s="162" t="s">
        <v>316</v>
      </c>
      <c r="E53" s="173"/>
      <c r="F53" s="173"/>
      <c r="G53" s="173"/>
      <c r="H53" s="173"/>
      <c r="I53" s="166"/>
      <c r="J53" s="166"/>
    </row>
    <row r="54" spans="1:10" ht="14.25" x14ac:dyDescent="0.45">
      <c r="A54" t="s">
        <v>811</v>
      </c>
      <c r="B54" s="162">
        <f>ROW()</f>
        <v>54</v>
      </c>
      <c r="C54" s="162" t="s">
        <v>315</v>
      </c>
      <c r="D54" s="162" t="s">
        <v>317</v>
      </c>
      <c r="E54" s="173"/>
      <c r="F54" s="173"/>
      <c r="G54" s="173"/>
      <c r="H54" s="173"/>
      <c r="I54" s="166"/>
      <c r="J54" s="166"/>
    </row>
    <row r="55" spans="1:10" ht="14.25" x14ac:dyDescent="0.45">
      <c r="A55" t="s">
        <v>811</v>
      </c>
      <c r="B55" s="162">
        <f>ROW()</f>
        <v>55</v>
      </c>
      <c r="C55" s="183" t="s">
        <v>318</v>
      </c>
      <c r="D55" s="162"/>
      <c r="E55" s="158">
        <f t="shared" ref="E55:J55" si="13">SUM(E53:E54)</f>
        <v>0</v>
      </c>
      <c r="F55" s="158">
        <f t="shared" si="13"/>
        <v>0</v>
      </c>
      <c r="G55" s="158">
        <f t="shared" si="13"/>
        <v>0</v>
      </c>
      <c r="H55" s="158">
        <f t="shared" si="13"/>
        <v>0</v>
      </c>
      <c r="I55" s="158">
        <f t="shared" si="13"/>
        <v>0</v>
      </c>
      <c r="J55" s="158">
        <f t="shared" si="13"/>
        <v>0</v>
      </c>
    </row>
    <row r="56" spans="1:10" ht="14.25" x14ac:dyDescent="0.45">
      <c r="A56" t="s">
        <v>811</v>
      </c>
      <c r="B56" s="162">
        <f>ROW()</f>
        <v>56</v>
      </c>
      <c r="C56" s="183" t="s">
        <v>319</v>
      </c>
      <c r="D56" s="162"/>
      <c r="E56" s="158">
        <f t="shared" ref="E56:J56" si="14">E52+E55</f>
        <v>0</v>
      </c>
      <c r="F56" s="158">
        <f t="shared" si="14"/>
        <v>0</v>
      </c>
      <c r="G56" s="158">
        <f t="shared" si="14"/>
        <v>0</v>
      </c>
      <c r="H56" s="158">
        <f t="shared" si="14"/>
        <v>0</v>
      </c>
      <c r="I56" s="158">
        <f t="shared" si="14"/>
        <v>0</v>
      </c>
      <c r="J56" s="158">
        <f t="shared" si="14"/>
        <v>0</v>
      </c>
    </row>
    <row r="57" spans="1:10" ht="14.25" x14ac:dyDescent="0.45">
      <c r="A57" t="s">
        <v>811</v>
      </c>
      <c r="B57" s="162">
        <f>ROW()</f>
        <v>57</v>
      </c>
      <c r="C57" s="162" t="s">
        <v>319</v>
      </c>
      <c r="D57" s="162" t="s">
        <v>1274</v>
      </c>
      <c r="E57" s="173"/>
      <c r="F57" s="173"/>
      <c r="G57" s="173"/>
      <c r="H57" s="173"/>
      <c r="I57" s="166"/>
      <c r="J57" s="166"/>
    </row>
    <row r="58" spans="1:10" ht="14.25" x14ac:dyDescent="0.45">
      <c r="A58" t="s">
        <v>811</v>
      </c>
      <c r="B58" s="162">
        <f>ROW()</f>
        <v>58</v>
      </c>
      <c r="C58" s="183" t="s">
        <v>319</v>
      </c>
      <c r="D58" s="162" t="s">
        <v>321</v>
      </c>
      <c r="E58" s="158">
        <f t="shared" ref="E58:J58" si="15">E100</f>
        <v>0</v>
      </c>
      <c r="F58" s="158">
        <f t="shared" si="15"/>
        <v>0</v>
      </c>
      <c r="G58" s="158">
        <f t="shared" si="15"/>
        <v>0</v>
      </c>
      <c r="H58" s="158">
        <f t="shared" si="15"/>
        <v>0</v>
      </c>
      <c r="I58" s="158">
        <f t="shared" si="15"/>
        <v>0</v>
      </c>
      <c r="J58" s="158">
        <f t="shared" si="15"/>
        <v>0</v>
      </c>
    </row>
    <row r="59" spans="1:10" ht="14.25" x14ac:dyDescent="0.45">
      <c r="A59" t="s">
        <v>811</v>
      </c>
      <c r="B59" s="162">
        <f>ROW()</f>
        <v>59</v>
      </c>
      <c r="C59" s="183" t="s">
        <v>344</v>
      </c>
      <c r="D59" s="162"/>
      <c r="E59" s="158">
        <f t="shared" ref="E59:J59" si="16">E56+E57-E58</f>
        <v>0</v>
      </c>
      <c r="F59" s="158">
        <f t="shared" si="16"/>
        <v>0</v>
      </c>
      <c r="G59" s="158">
        <f t="shared" si="16"/>
        <v>0</v>
      </c>
      <c r="H59" s="158">
        <f t="shared" si="16"/>
        <v>0</v>
      </c>
      <c r="I59" s="158">
        <f t="shared" si="16"/>
        <v>0</v>
      </c>
      <c r="J59" s="158">
        <f t="shared" si="16"/>
        <v>0</v>
      </c>
    </row>
    <row r="60" spans="1:10" ht="14.25" x14ac:dyDescent="0.45">
      <c r="A60" t="s">
        <v>811</v>
      </c>
      <c r="B60" s="162">
        <f>ROW()</f>
        <v>60</v>
      </c>
      <c r="C60" s="162" t="s">
        <v>109</v>
      </c>
      <c r="D60" s="162"/>
      <c r="E60" s="173"/>
      <c r="F60" s="173"/>
      <c r="G60" s="173"/>
      <c r="H60" s="173"/>
      <c r="I60" s="166"/>
      <c r="J60" s="166"/>
    </row>
    <row r="61" spans="1:10" ht="14.25" x14ac:dyDescent="0.45"/>
    <row r="62" spans="1:10" ht="14.25" x14ac:dyDescent="0.45"/>
    <row r="63" spans="1:10" ht="21" x14ac:dyDescent="0.65">
      <c r="A63" s="129" t="s">
        <v>811</v>
      </c>
    </row>
    <row r="64" spans="1:10" ht="113.45" customHeight="1" x14ac:dyDescent="0.45">
      <c r="A64" s="119" t="s">
        <v>78</v>
      </c>
      <c r="B64" s="119" t="s">
        <v>79</v>
      </c>
      <c r="C64" s="119" t="s">
        <v>1244</v>
      </c>
      <c r="D64" s="119" t="s">
        <v>1245</v>
      </c>
      <c r="E64" s="119" t="s">
        <v>1075</v>
      </c>
      <c r="F64" s="119" t="s">
        <v>1076</v>
      </c>
      <c r="G64" s="119" t="s">
        <v>1077</v>
      </c>
      <c r="H64" s="119" t="s">
        <v>1078</v>
      </c>
      <c r="I64" s="119" t="s">
        <v>1079</v>
      </c>
      <c r="J64" s="119" t="s">
        <v>1080</v>
      </c>
    </row>
    <row r="65" spans="1:10" ht="14.25" x14ac:dyDescent="0.45">
      <c r="A65" t="s">
        <v>811</v>
      </c>
      <c r="B65" s="162">
        <f>ROW()</f>
        <v>65</v>
      </c>
      <c r="C65" s="162" t="s">
        <v>299</v>
      </c>
      <c r="D65" s="162" t="s">
        <v>300</v>
      </c>
      <c r="E65" s="158">
        <f>E4-E35</f>
        <v>0</v>
      </c>
      <c r="F65" s="158">
        <f t="shared" ref="E65:J82" si="17">F4-F35</f>
        <v>0</v>
      </c>
      <c r="G65" s="158">
        <f t="shared" si="17"/>
        <v>0</v>
      </c>
      <c r="H65" s="158">
        <f t="shared" si="17"/>
        <v>0</v>
      </c>
      <c r="I65" s="158">
        <f>I4-I35</f>
        <v>0</v>
      </c>
      <c r="J65" s="158">
        <f t="shared" si="17"/>
        <v>0</v>
      </c>
    </row>
    <row r="66" spans="1:10" ht="14.25" x14ac:dyDescent="0.45">
      <c r="A66" t="s">
        <v>811</v>
      </c>
      <c r="B66" s="162">
        <f>ROW()</f>
        <v>66</v>
      </c>
      <c r="C66" s="162" t="s">
        <v>299</v>
      </c>
      <c r="D66" s="162" t="s">
        <v>301</v>
      </c>
      <c r="E66" s="158">
        <f t="shared" si="17"/>
        <v>0</v>
      </c>
      <c r="F66" s="158">
        <f t="shared" si="17"/>
        <v>0</v>
      </c>
      <c r="G66" s="158">
        <f t="shared" si="17"/>
        <v>0</v>
      </c>
      <c r="H66" s="158">
        <f t="shared" si="17"/>
        <v>0</v>
      </c>
      <c r="I66" s="158">
        <f t="shared" si="17"/>
        <v>0</v>
      </c>
      <c r="J66" s="158">
        <f t="shared" si="17"/>
        <v>0</v>
      </c>
    </row>
    <row r="67" spans="1:10" ht="14.25" x14ac:dyDescent="0.45">
      <c r="A67" t="s">
        <v>811</v>
      </c>
      <c r="B67" s="162">
        <f>ROW()</f>
        <v>67</v>
      </c>
      <c r="C67" s="162" t="s">
        <v>299</v>
      </c>
      <c r="D67" s="162" t="s">
        <v>335</v>
      </c>
      <c r="E67" s="158">
        <f t="shared" ref="E67:J67" si="18">E6-E37</f>
        <v>0</v>
      </c>
      <c r="F67" s="158">
        <f t="shared" si="18"/>
        <v>0</v>
      </c>
      <c r="G67" s="158">
        <f t="shared" si="18"/>
        <v>0</v>
      </c>
      <c r="H67" s="158">
        <f t="shared" si="18"/>
        <v>0</v>
      </c>
      <c r="I67" s="158">
        <f t="shared" si="18"/>
        <v>0</v>
      </c>
      <c r="J67" s="158">
        <f t="shared" si="18"/>
        <v>0</v>
      </c>
    </row>
    <row r="68" spans="1:10" ht="14.25" x14ac:dyDescent="0.45">
      <c r="A68" t="s">
        <v>811</v>
      </c>
      <c r="B68" s="162">
        <f>ROW()</f>
        <v>68</v>
      </c>
      <c r="C68" s="183" t="s">
        <v>299</v>
      </c>
      <c r="D68" s="162"/>
      <c r="E68" s="158">
        <f>E7-E38</f>
        <v>0</v>
      </c>
      <c r="F68" s="158">
        <f>SUM(F65:F67)</f>
        <v>0</v>
      </c>
      <c r="G68" s="158">
        <f>SUM(G65:G67)</f>
        <v>0</v>
      </c>
      <c r="H68" s="158">
        <f>SUM(H65:H67)</f>
        <v>0</v>
      </c>
      <c r="I68" s="158">
        <f>SUM(I65:I67)</f>
        <v>0</v>
      </c>
      <c r="J68" s="158">
        <f>SUM(J65:J67)</f>
        <v>0</v>
      </c>
    </row>
    <row r="69" spans="1:10" ht="14.25" x14ac:dyDescent="0.45">
      <c r="A69" t="s">
        <v>811</v>
      </c>
      <c r="B69" s="162">
        <f>ROW()</f>
        <v>69</v>
      </c>
      <c r="C69" s="162" t="s">
        <v>302</v>
      </c>
      <c r="D69" s="162" t="s">
        <v>303</v>
      </c>
      <c r="E69" s="158">
        <f>E8-E39</f>
        <v>0</v>
      </c>
      <c r="F69" s="158">
        <f t="shared" ref="F69:J70" si="19">F8-F39</f>
        <v>0</v>
      </c>
      <c r="G69" s="158">
        <f t="shared" si="19"/>
        <v>0</v>
      </c>
      <c r="H69" s="158">
        <f t="shared" si="19"/>
        <v>0</v>
      </c>
      <c r="I69" s="158">
        <f t="shared" si="19"/>
        <v>0</v>
      </c>
      <c r="J69" s="158">
        <f t="shared" si="19"/>
        <v>0</v>
      </c>
    </row>
    <row r="70" spans="1:10" ht="14.25" x14ac:dyDescent="0.45">
      <c r="A70" t="s">
        <v>811</v>
      </c>
      <c r="B70" s="162">
        <f>ROW()</f>
        <v>70</v>
      </c>
      <c r="C70" s="162" t="s">
        <v>302</v>
      </c>
      <c r="D70" s="162" t="s">
        <v>304</v>
      </c>
      <c r="E70" s="158">
        <f>E9-E40</f>
        <v>0</v>
      </c>
      <c r="F70" s="158">
        <f t="shared" si="19"/>
        <v>0</v>
      </c>
      <c r="G70" s="158">
        <f t="shared" si="19"/>
        <v>0</v>
      </c>
      <c r="H70" s="158">
        <f t="shared" si="19"/>
        <v>0</v>
      </c>
      <c r="I70" s="158">
        <f t="shared" si="19"/>
        <v>0</v>
      </c>
      <c r="J70" s="158">
        <f t="shared" si="19"/>
        <v>0</v>
      </c>
    </row>
    <row r="71" spans="1:10" ht="14.25" x14ac:dyDescent="0.45">
      <c r="A71" t="s">
        <v>811</v>
      </c>
      <c r="B71" s="162">
        <f>ROW()</f>
        <v>71</v>
      </c>
      <c r="C71" s="183" t="s">
        <v>302</v>
      </c>
      <c r="D71" s="162"/>
      <c r="E71" s="158">
        <f>E10-E41</f>
        <v>0</v>
      </c>
      <c r="F71" s="158">
        <f>SUM(F69:F70)</f>
        <v>0</v>
      </c>
      <c r="G71" s="158">
        <f>SUM(G69:G70)</f>
        <v>0</v>
      </c>
      <c r="H71" s="158">
        <f>SUM(H69:H70)</f>
        <v>0</v>
      </c>
      <c r="I71" s="158">
        <f>SUM(I69:I70)</f>
        <v>0</v>
      </c>
      <c r="J71" s="158">
        <f>SUM(J69:J70)</f>
        <v>0</v>
      </c>
    </row>
    <row r="72" spans="1:10" ht="14.25" x14ac:dyDescent="0.45">
      <c r="A72" t="s">
        <v>811</v>
      </c>
      <c r="B72" s="162">
        <f>ROW()</f>
        <v>72</v>
      </c>
      <c r="C72" s="162" t="s">
        <v>345</v>
      </c>
      <c r="D72" s="162" t="s">
        <v>305</v>
      </c>
      <c r="E72" s="158">
        <f t="shared" si="17"/>
        <v>0</v>
      </c>
      <c r="F72" s="158">
        <f t="shared" si="17"/>
        <v>0</v>
      </c>
      <c r="G72" s="158">
        <f t="shared" si="17"/>
        <v>0</v>
      </c>
      <c r="H72" s="158">
        <f t="shared" si="17"/>
        <v>0</v>
      </c>
      <c r="I72" s="158">
        <f t="shared" si="17"/>
        <v>0</v>
      </c>
      <c r="J72" s="158">
        <f t="shared" si="17"/>
        <v>0</v>
      </c>
    </row>
    <row r="73" spans="1:10" ht="14.25" x14ac:dyDescent="0.45">
      <c r="A73" t="s">
        <v>811</v>
      </c>
      <c r="B73" s="162">
        <f>ROW()</f>
        <v>73</v>
      </c>
      <c r="C73" s="162" t="s">
        <v>345</v>
      </c>
      <c r="D73" s="162" t="s">
        <v>306</v>
      </c>
      <c r="E73" s="158">
        <f t="shared" si="17"/>
        <v>0</v>
      </c>
      <c r="F73" s="158">
        <f t="shared" si="17"/>
        <v>0</v>
      </c>
      <c r="G73" s="158">
        <f t="shared" si="17"/>
        <v>0</v>
      </c>
      <c r="H73" s="158">
        <f t="shared" si="17"/>
        <v>0</v>
      </c>
      <c r="I73" s="158">
        <f t="shared" si="17"/>
        <v>0</v>
      </c>
      <c r="J73" s="158">
        <f t="shared" si="17"/>
        <v>0</v>
      </c>
    </row>
    <row r="74" spans="1:10" ht="14.25" x14ac:dyDescent="0.45">
      <c r="A74" t="s">
        <v>811</v>
      </c>
      <c r="B74" s="162">
        <f>ROW()</f>
        <v>74</v>
      </c>
      <c r="C74" s="162" t="s">
        <v>345</v>
      </c>
      <c r="D74" s="162" t="s">
        <v>307</v>
      </c>
      <c r="E74" s="158">
        <f t="shared" si="17"/>
        <v>0</v>
      </c>
      <c r="F74" s="158">
        <f t="shared" si="17"/>
        <v>0</v>
      </c>
      <c r="G74" s="158">
        <f t="shared" si="17"/>
        <v>0</v>
      </c>
      <c r="H74" s="158">
        <f t="shared" si="17"/>
        <v>0</v>
      </c>
      <c r="I74" s="158">
        <f t="shared" si="17"/>
        <v>0</v>
      </c>
      <c r="J74" s="158">
        <f t="shared" si="17"/>
        <v>0</v>
      </c>
    </row>
    <row r="75" spans="1:10" ht="14.25" x14ac:dyDescent="0.45">
      <c r="A75" t="s">
        <v>811</v>
      </c>
      <c r="B75" s="162">
        <f>ROW()</f>
        <v>75</v>
      </c>
      <c r="C75" s="183" t="s">
        <v>345</v>
      </c>
      <c r="D75" s="162"/>
      <c r="E75" s="158">
        <f t="shared" si="17"/>
        <v>0</v>
      </c>
      <c r="F75" s="158">
        <f>SUM(F72:F74)</f>
        <v>0</v>
      </c>
      <c r="G75" s="158">
        <f>SUM(G72:G74)</f>
        <v>0</v>
      </c>
      <c r="H75" s="158">
        <f>SUM(H72:H74)</f>
        <v>0</v>
      </c>
      <c r="I75" s="158">
        <f>SUM(I72:I74)</f>
        <v>0</v>
      </c>
      <c r="J75" s="158">
        <f>SUM(J72:J74)</f>
        <v>0</v>
      </c>
    </row>
    <row r="76" spans="1:10" ht="14.25" x14ac:dyDescent="0.45">
      <c r="A76" t="s">
        <v>811</v>
      </c>
      <c r="B76" s="162">
        <f>ROW()</f>
        <v>76</v>
      </c>
      <c r="C76" s="162" t="s">
        <v>308</v>
      </c>
      <c r="D76" s="162" t="s">
        <v>309</v>
      </c>
      <c r="E76" s="158">
        <f t="shared" si="17"/>
        <v>0</v>
      </c>
      <c r="F76" s="158">
        <f t="shared" si="17"/>
        <v>0</v>
      </c>
      <c r="G76" s="158">
        <f t="shared" si="17"/>
        <v>0</v>
      </c>
      <c r="H76" s="158">
        <f t="shared" si="17"/>
        <v>0</v>
      </c>
      <c r="I76" s="158">
        <f t="shared" si="17"/>
        <v>0</v>
      </c>
      <c r="J76" s="158">
        <f t="shared" si="17"/>
        <v>0</v>
      </c>
    </row>
    <row r="77" spans="1:10" ht="14.25" x14ac:dyDescent="0.45">
      <c r="A77" t="s">
        <v>811</v>
      </c>
      <c r="B77" s="162">
        <f>ROW()</f>
        <v>77</v>
      </c>
      <c r="C77" s="162" t="s">
        <v>308</v>
      </c>
      <c r="D77" s="162" t="s">
        <v>310</v>
      </c>
      <c r="E77" s="158">
        <f t="shared" si="17"/>
        <v>0</v>
      </c>
      <c r="F77" s="158">
        <f t="shared" si="17"/>
        <v>0</v>
      </c>
      <c r="G77" s="158">
        <f t="shared" si="17"/>
        <v>0</v>
      </c>
      <c r="H77" s="158">
        <f t="shared" si="17"/>
        <v>0</v>
      </c>
      <c r="I77" s="158">
        <f t="shared" si="17"/>
        <v>0</v>
      </c>
      <c r="J77" s="158">
        <f t="shared" si="17"/>
        <v>0</v>
      </c>
    </row>
    <row r="78" spans="1:10" ht="14.25" x14ac:dyDescent="0.45">
      <c r="A78" t="s">
        <v>811</v>
      </c>
      <c r="B78" s="162">
        <f>ROW()</f>
        <v>78</v>
      </c>
      <c r="C78" s="162" t="s">
        <v>308</v>
      </c>
      <c r="D78" s="162" t="s">
        <v>343</v>
      </c>
      <c r="E78" s="158">
        <f t="shared" si="17"/>
        <v>0</v>
      </c>
      <c r="F78" s="158">
        <f t="shared" si="17"/>
        <v>0</v>
      </c>
      <c r="G78" s="158">
        <f t="shared" si="17"/>
        <v>0</v>
      </c>
      <c r="H78" s="158">
        <f t="shared" si="17"/>
        <v>0</v>
      </c>
      <c r="I78" s="158">
        <f t="shared" si="17"/>
        <v>0</v>
      </c>
      <c r="J78" s="158">
        <f t="shared" si="17"/>
        <v>0</v>
      </c>
    </row>
    <row r="79" spans="1:10" ht="14.25" x14ac:dyDescent="0.45">
      <c r="A79" t="s">
        <v>811</v>
      </c>
      <c r="B79" s="162">
        <f>ROW()</f>
        <v>79</v>
      </c>
      <c r="C79" s="162" t="s">
        <v>308</v>
      </c>
      <c r="D79" s="162" t="s">
        <v>312</v>
      </c>
      <c r="E79" s="158">
        <f t="shared" si="17"/>
        <v>0</v>
      </c>
      <c r="F79" s="158">
        <f t="shared" si="17"/>
        <v>0</v>
      </c>
      <c r="G79" s="158">
        <f t="shared" si="17"/>
        <v>0</v>
      </c>
      <c r="H79" s="158">
        <f t="shared" si="17"/>
        <v>0</v>
      </c>
      <c r="I79" s="158">
        <f t="shared" si="17"/>
        <v>0</v>
      </c>
      <c r="J79" s="158">
        <f t="shared" si="17"/>
        <v>0</v>
      </c>
    </row>
    <row r="80" spans="1:10" ht="14.25" x14ac:dyDescent="0.45">
      <c r="A80" t="s">
        <v>811</v>
      </c>
      <c r="B80" s="162">
        <f>ROW()</f>
        <v>80</v>
      </c>
      <c r="C80" s="183" t="s">
        <v>308</v>
      </c>
      <c r="D80" s="162"/>
      <c r="E80" s="158">
        <f t="shared" si="17"/>
        <v>0</v>
      </c>
      <c r="F80" s="158">
        <f>SUM(F76:F79)</f>
        <v>0</v>
      </c>
      <c r="G80" s="158">
        <f>SUM(G76:G79)</f>
        <v>0</v>
      </c>
      <c r="H80" s="158">
        <f>SUM(H76:H79)</f>
        <v>0</v>
      </c>
      <c r="I80" s="158">
        <f>SUM(I76:I79)</f>
        <v>0</v>
      </c>
      <c r="J80" s="158">
        <f>SUM(J76:J79)</f>
        <v>0</v>
      </c>
    </row>
    <row r="81" spans="1:10" ht="14.25" x14ac:dyDescent="0.45">
      <c r="A81" t="s">
        <v>811</v>
      </c>
      <c r="B81" s="162">
        <f>ROW()</f>
        <v>81</v>
      </c>
      <c r="C81" s="162" t="s">
        <v>313</v>
      </c>
      <c r="D81" s="162"/>
      <c r="E81" s="158">
        <f t="shared" si="17"/>
        <v>0</v>
      </c>
      <c r="F81" s="158">
        <f t="shared" si="17"/>
        <v>0</v>
      </c>
      <c r="G81" s="158">
        <f t="shared" si="17"/>
        <v>0</v>
      </c>
      <c r="H81" s="158">
        <f t="shared" si="17"/>
        <v>0</v>
      </c>
      <c r="I81" s="158">
        <f t="shared" si="17"/>
        <v>0</v>
      </c>
      <c r="J81" s="158">
        <f t="shared" si="17"/>
        <v>0</v>
      </c>
    </row>
    <row r="82" spans="1:10" ht="14.25" x14ac:dyDescent="0.45">
      <c r="A82" t="s">
        <v>811</v>
      </c>
      <c r="B82" s="162">
        <f>ROW()</f>
        <v>82</v>
      </c>
      <c r="C82" s="183" t="s">
        <v>314</v>
      </c>
      <c r="D82" s="162"/>
      <c r="E82" s="158">
        <f t="shared" si="17"/>
        <v>0</v>
      </c>
      <c r="F82" s="158">
        <f t="shared" si="17"/>
        <v>0</v>
      </c>
      <c r="G82" s="158">
        <f t="shared" si="17"/>
        <v>0</v>
      </c>
      <c r="H82" s="158">
        <f t="shared" si="17"/>
        <v>0</v>
      </c>
      <c r="I82" s="158">
        <f t="shared" si="17"/>
        <v>0</v>
      </c>
      <c r="J82" s="158">
        <f t="shared" si="17"/>
        <v>0</v>
      </c>
    </row>
    <row r="83" spans="1:10" ht="14.25" x14ac:dyDescent="0.45">
      <c r="A83" t="s">
        <v>811</v>
      </c>
      <c r="B83" s="162">
        <f>ROW()</f>
        <v>83</v>
      </c>
      <c r="C83" s="162" t="s">
        <v>315</v>
      </c>
      <c r="D83" s="162" t="s">
        <v>316</v>
      </c>
      <c r="E83" s="158">
        <f t="shared" ref="E83:E89" si="20">E22-E53</f>
        <v>0</v>
      </c>
      <c r="F83" s="158">
        <f t="shared" ref="F83:J84" si="21">F22-F53</f>
        <v>0</v>
      </c>
      <c r="G83" s="158">
        <f t="shared" si="21"/>
        <v>0</v>
      </c>
      <c r="H83" s="158">
        <f t="shared" si="21"/>
        <v>0</v>
      </c>
      <c r="I83" s="158">
        <f t="shared" si="21"/>
        <v>0</v>
      </c>
      <c r="J83" s="158">
        <f t="shared" si="21"/>
        <v>0</v>
      </c>
    </row>
    <row r="84" spans="1:10" ht="14.25" x14ac:dyDescent="0.45">
      <c r="A84" t="s">
        <v>811</v>
      </c>
      <c r="B84" s="162">
        <f>ROW()</f>
        <v>84</v>
      </c>
      <c r="C84" s="162" t="s">
        <v>315</v>
      </c>
      <c r="D84" s="162" t="s">
        <v>317</v>
      </c>
      <c r="E84" s="158">
        <f t="shared" si="20"/>
        <v>0</v>
      </c>
      <c r="F84" s="158">
        <f t="shared" si="21"/>
        <v>0</v>
      </c>
      <c r="G84" s="158">
        <f t="shared" si="21"/>
        <v>0</v>
      </c>
      <c r="H84" s="158">
        <f t="shared" si="21"/>
        <v>0</v>
      </c>
      <c r="I84" s="158">
        <f t="shared" si="21"/>
        <v>0</v>
      </c>
      <c r="J84" s="158">
        <f t="shared" si="21"/>
        <v>0</v>
      </c>
    </row>
    <row r="85" spans="1:10" ht="14.25" x14ac:dyDescent="0.45">
      <c r="A85" t="s">
        <v>811</v>
      </c>
      <c r="B85" s="162">
        <f>ROW()</f>
        <v>85</v>
      </c>
      <c r="C85" s="183" t="s">
        <v>318</v>
      </c>
      <c r="D85" s="162"/>
      <c r="E85" s="158">
        <f t="shared" si="20"/>
        <v>0</v>
      </c>
      <c r="F85" s="158">
        <f>SUM(F83:F84)</f>
        <v>0</v>
      </c>
      <c r="G85" s="158">
        <f>SUM(G83:G84)</f>
        <v>0</v>
      </c>
      <c r="H85" s="158">
        <f>SUM(H83:H84)</f>
        <v>0</v>
      </c>
      <c r="I85" s="158">
        <f>SUM(I83:I84)</f>
        <v>0</v>
      </c>
      <c r="J85" s="158">
        <f>SUM(J83:J84)</f>
        <v>0</v>
      </c>
    </row>
    <row r="86" spans="1:10" ht="14.25" x14ac:dyDescent="0.45">
      <c r="A86" t="s">
        <v>811</v>
      </c>
      <c r="B86" s="162">
        <f>ROW()</f>
        <v>86</v>
      </c>
      <c r="C86" s="183" t="s">
        <v>319</v>
      </c>
      <c r="D86" s="162"/>
      <c r="E86" s="158">
        <f t="shared" si="20"/>
        <v>0</v>
      </c>
      <c r="F86" s="158">
        <f t="shared" ref="F86:J90" si="22">F25-F56</f>
        <v>0</v>
      </c>
      <c r="G86" s="158">
        <f t="shared" si="22"/>
        <v>0</v>
      </c>
      <c r="H86" s="158">
        <f t="shared" si="22"/>
        <v>0</v>
      </c>
      <c r="I86" s="158">
        <f t="shared" si="22"/>
        <v>0</v>
      </c>
      <c r="J86" s="158">
        <f t="shared" si="22"/>
        <v>0</v>
      </c>
    </row>
    <row r="87" spans="1:10" ht="14.25" x14ac:dyDescent="0.45">
      <c r="A87" t="s">
        <v>811</v>
      </c>
      <c r="B87" s="162">
        <f>ROW()</f>
        <v>87</v>
      </c>
      <c r="C87" s="162" t="s">
        <v>319</v>
      </c>
      <c r="D87" s="162" t="s">
        <v>1274</v>
      </c>
      <c r="E87" s="158">
        <f t="shared" si="20"/>
        <v>0</v>
      </c>
      <c r="F87" s="158">
        <f t="shared" si="22"/>
        <v>0</v>
      </c>
      <c r="G87" s="158">
        <f t="shared" si="22"/>
        <v>0</v>
      </c>
      <c r="H87" s="158">
        <f t="shared" si="22"/>
        <v>0</v>
      </c>
      <c r="I87" s="158">
        <f t="shared" si="22"/>
        <v>0</v>
      </c>
      <c r="J87" s="158">
        <f t="shared" si="22"/>
        <v>0</v>
      </c>
    </row>
    <row r="88" spans="1:10" ht="14.25" x14ac:dyDescent="0.45">
      <c r="A88" t="s">
        <v>811</v>
      </c>
      <c r="B88" s="162">
        <f>ROW()</f>
        <v>88</v>
      </c>
      <c r="C88" s="162" t="s">
        <v>319</v>
      </c>
      <c r="D88" s="162" t="s">
        <v>321</v>
      </c>
      <c r="E88" s="158">
        <f t="shared" si="20"/>
        <v>0</v>
      </c>
      <c r="F88" s="158">
        <f t="shared" si="22"/>
        <v>0</v>
      </c>
      <c r="G88" s="158">
        <f t="shared" si="22"/>
        <v>0</v>
      </c>
      <c r="H88" s="158">
        <f t="shared" si="22"/>
        <v>0</v>
      </c>
      <c r="I88" s="158">
        <f t="shared" si="22"/>
        <v>0</v>
      </c>
      <c r="J88" s="158">
        <f t="shared" si="22"/>
        <v>0</v>
      </c>
    </row>
    <row r="89" spans="1:10" ht="14.25" x14ac:dyDescent="0.45">
      <c r="A89" t="s">
        <v>811</v>
      </c>
      <c r="B89" s="162">
        <f>ROW()</f>
        <v>89</v>
      </c>
      <c r="C89" s="183" t="s">
        <v>344</v>
      </c>
      <c r="D89" s="162"/>
      <c r="E89" s="158">
        <f t="shared" si="20"/>
        <v>0</v>
      </c>
      <c r="F89" s="158">
        <f t="shared" si="22"/>
        <v>0</v>
      </c>
      <c r="G89" s="158">
        <f t="shared" si="22"/>
        <v>0</v>
      </c>
      <c r="H89" s="158">
        <f t="shared" si="22"/>
        <v>0</v>
      </c>
      <c r="I89" s="158">
        <f t="shared" si="22"/>
        <v>0</v>
      </c>
      <c r="J89" s="158">
        <f t="shared" si="22"/>
        <v>0</v>
      </c>
    </row>
    <row r="90" spans="1:10" ht="14.25" x14ac:dyDescent="0.45">
      <c r="A90" t="s">
        <v>811</v>
      </c>
      <c r="B90" s="162">
        <f>ROW()</f>
        <v>90</v>
      </c>
      <c r="C90" s="162" t="s">
        <v>109</v>
      </c>
      <c r="D90" s="162"/>
      <c r="E90" s="158">
        <f>E29-E60</f>
        <v>0</v>
      </c>
      <c r="F90" s="158">
        <f t="shared" si="22"/>
        <v>0</v>
      </c>
      <c r="G90" s="158">
        <f t="shared" si="22"/>
        <v>0</v>
      </c>
      <c r="H90" s="158">
        <f t="shared" si="22"/>
        <v>0</v>
      </c>
      <c r="I90" s="158">
        <f t="shared" si="22"/>
        <v>0</v>
      </c>
      <c r="J90" s="158">
        <f t="shared" si="22"/>
        <v>0</v>
      </c>
    </row>
    <row r="91" spans="1:10" ht="14.25" x14ac:dyDescent="0.45"/>
    <row r="92" spans="1:10" ht="14.25" x14ac:dyDescent="0.45"/>
    <row r="93" spans="1:10" ht="21" x14ac:dyDescent="0.65">
      <c r="A93" s="129" t="s">
        <v>852</v>
      </c>
    </row>
    <row r="94" spans="1:10" ht="94.5" customHeight="1" x14ac:dyDescent="0.45">
      <c r="A94" s="119" t="s">
        <v>78</v>
      </c>
      <c r="B94" s="119" t="s">
        <v>79</v>
      </c>
      <c r="C94" s="119" t="s">
        <v>1244</v>
      </c>
      <c r="D94" s="119" t="s">
        <v>1245</v>
      </c>
      <c r="E94" s="119" t="s">
        <v>1069</v>
      </c>
      <c r="F94" s="119" t="s">
        <v>1070</v>
      </c>
      <c r="G94" s="119" t="s">
        <v>1071</v>
      </c>
      <c r="H94" s="119" t="s">
        <v>1066</v>
      </c>
      <c r="I94" s="119" t="s">
        <v>1073</v>
      </c>
      <c r="J94" s="119" t="s">
        <v>1074</v>
      </c>
    </row>
    <row r="95" spans="1:10" ht="14.25" x14ac:dyDescent="0.45">
      <c r="A95" t="s">
        <v>852</v>
      </c>
      <c r="B95" s="162">
        <f>ROW()</f>
        <v>95</v>
      </c>
      <c r="C95" s="162" t="s">
        <v>299</v>
      </c>
      <c r="D95" s="162"/>
      <c r="E95" s="173">
        <f t="shared" ref="E95:E100" si="23">SUM(E90:E94)</f>
        <v>0</v>
      </c>
      <c r="F95" s="173"/>
      <c r="G95" s="173"/>
      <c r="H95" s="173"/>
      <c r="I95" s="166"/>
      <c r="J95" s="166"/>
    </row>
    <row r="96" spans="1:10" ht="14.25" x14ac:dyDescent="0.45">
      <c r="A96" t="s">
        <v>852</v>
      </c>
      <c r="B96" s="162">
        <f>ROW()</f>
        <v>96</v>
      </c>
      <c r="C96" s="162" t="s">
        <v>302</v>
      </c>
      <c r="D96" s="162"/>
      <c r="E96" s="173">
        <f t="shared" si="23"/>
        <v>0</v>
      </c>
      <c r="F96" s="173"/>
      <c r="G96" s="173"/>
      <c r="H96" s="173"/>
      <c r="I96" s="166"/>
      <c r="J96" s="166"/>
    </row>
    <row r="97" spans="1:10" ht="14.25" x14ac:dyDescent="0.45">
      <c r="A97" t="s">
        <v>852</v>
      </c>
      <c r="B97" s="162">
        <f>ROW()</f>
        <v>97</v>
      </c>
      <c r="C97" s="162" t="s">
        <v>345</v>
      </c>
      <c r="D97" s="162"/>
      <c r="E97" s="173">
        <f t="shared" si="23"/>
        <v>0</v>
      </c>
      <c r="F97" s="173"/>
      <c r="G97" s="173"/>
      <c r="H97" s="173"/>
      <c r="I97" s="166"/>
      <c r="J97" s="166"/>
    </row>
    <row r="98" spans="1:10" ht="14.25" x14ac:dyDescent="0.45">
      <c r="A98" t="s">
        <v>852</v>
      </c>
      <c r="B98" s="162">
        <f>ROW()</f>
        <v>98</v>
      </c>
      <c r="C98" s="162" t="s">
        <v>308</v>
      </c>
      <c r="D98" s="162"/>
      <c r="E98" s="173">
        <f t="shared" si="23"/>
        <v>0</v>
      </c>
      <c r="F98" s="173"/>
      <c r="G98" s="173"/>
      <c r="H98" s="173"/>
      <c r="I98" s="166"/>
      <c r="J98" s="166"/>
    </row>
    <row r="99" spans="1:10" ht="14.25" x14ac:dyDescent="0.45">
      <c r="A99" t="s">
        <v>852</v>
      </c>
      <c r="B99" s="162">
        <f>ROW()</f>
        <v>99</v>
      </c>
      <c r="C99" s="162" t="s">
        <v>324</v>
      </c>
      <c r="D99" s="162"/>
      <c r="E99" s="173">
        <f t="shared" si="23"/>
        <v>0</v>
      </c>
      <c r="F99" s="173"/>
      <c r="G99" s="173"/>
      <c r="H99" s="173"/>
      <c r="I99" s="166"/>
      <c r="J99" s="166"/>
    </row>
    <row r="100" spans="1:10" ht="14.25" x14ac:dyDescent="0.45">
      <c r="A100" t="s">
        <v>852</v>
      </c>
      <c r="B100" s="162">
        <f>ROW()</f>
        <v>100</v>
      </c>
      <c r="C100" s="183" t="s">
        <v>325</v>
      </c>
      <c r="D100" s="162"/>
      <c r="E100" s="171">
        <f t="shared" si="23"/>
        <v>0</v>
      </c>
      <c r="F100" s="171">
        <f t="shared" ref="F100" si="24">SUM(F95:F99)</f>
        <v>0</v>
      </c>
      <c r="G100" s="171">
        <f t="shared" ref="G100" si="25">SUM(G95:G99)</f>
        <v>0</v>
      </c>
      <c r="H100" s="171">
        <f t="shared" ref="H100" si="26">SUM(H95:H99)</f>
        <v>0</v>
      </c>
      <c r="I100" s="171">
        <f t="shared" ref="I100" si="27">SUM(I95:I99)</f>
        <v>0</v>
      </c>
      <c r="J100" s="171">
        <f t="shared" ref="J100" si="28">SUM(J95:J99)</f>
        <v>0</v>
      </c>
    </row>
  </sheetData>
  <phoneticPr fontId="27" type="noConversion"/>
  <pageMargins left="0.70866141732283472" right="0.70866141732283472" top="0.74803149606299213" bottom="0.74803149606299213" header="0.31496062992125984" footer="0.31496062992125984"/>
  <pageSetup paperSize="9" scale="50" fitToHeight="0" orientation="landscape" r:id="rId1"/>
  <rowBreaks count="1" manualBreakCount="1">
    <brk id="56" max="10" man="1"/>
  </rowBreaks>
  <tableParts count="4">
    <tablePart r:id="rId2"/>
    <tablePart r:id="rId3"/>
    <tablePart r:id="rId4"/>
    <tablePart r:id="rId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C3637-D551-44AF-AE4B-096FF302E3FE}">
  <sheetPr codeName="Sheet19">
    <pageSetUpPr fitToPage="1"/>
  </sheetPr>
  <dimension ref="A1:J49"/>
  <sheetViews>
    <sheetView zoomScale="85" zoomScaleNormal="85" workbookViewId="0"/>
  </sheetViews>
  <sheetFormatPr defaultRowHeight="14.45" customHeight="1" x14ac:dyDescent="0.45"/>
  <cols>
    <col min="1" max="1" width="35.3984375" customWidth="1"/>
    <col min="2" max="2" width="9" bestFit="1" customWidth="1"/>
    <col min="3" max="3" width="46.265625" bestFit="1" customWidth="1"/>
    <col min="4" max="4" width="26.1328125" customWidth="1"/>
    <col min="5" max="10" width="20.59765625" customWidth="1"/>
    <col min="11" max="11" width="3.3984375" customWidth="1"/>
  </cols>
  <sheetData>
    <row r="1" spans="1:10" ht="23.25" x14ac:dyDescent="0.45">
      <c r="A1" s="146" t="s">
        <v>1170</v>
      </c>
    </row>
    <row r="2" spans="1:10" ht="21" x14ac:dyDescent="0.65">
      <c r="A2" s="129" t="s">
        <v>812</v>
      </c>
    </row>
    <row r="3" spans="1:10" ht="94.5" customHeight="1" x14ac:dyDescent="0.45">
      <c r="A3" s="119" t="s">
        <v>78</v>
      </c>
      <c r="B3" s="119" t="s">
        <v>79</v>
      </c>
      <c r="C3" s="119" t="s">
        <v>1244</v>
      </c>
      <c r="D3" s="119" t="s">
        <v>1245</v>
      </c>
      <c r="E3" s="119" t="s">
        <v>1063</v>
      </c>
      <c r="F3" s="119" t="s">
        <v>1064</v>
      </c>
      <c r="G3" s="119" t="s">
        <v>1065</v>
      </c>
      <c r="H3" s="119" t="s">
        <v>1066</v>
      </c>
      <c r="I3" s="119" t="s">
        <v>1067</v>
      </c>
      <c r="J3" s="119" t="s">
        <v>1068</v>
      </c>
    </row>
    <row r="4" spans="1:10" ht="14.25" x14ac:dyDescent="0.45">
      <c r="A4" t="s">
        <v>812</v>
      </c>
      <c r="B4" s="162">
        <f>ROW()</f>
        <v>4</v>
      </c>
      <c r="C4" s="162" t="s">
        <v>286</v>
      </c>
      <c r="D4" s="162" t="s">
        <v>346</v>
      </c>
      <c r="E4" s="173"/>
      <c r="F4" s="173"/>
      <c r="G4" s="173"/>
      <c r="H4" s="173"/>
      <c r="I4" s="166"/>
      <c r="J4" s="166"/>
    </row>
    <row r="5" spans="1:10" ht="14.25" x14ac:dyDescent="0.45">
      <c r="A5" t="s">
        <v>812</v>
      </c>
      <c r="B5" s="162">
        <f>ROW()</f>
        <v>5</v>
      </c>
      <c r="C5" s="162" t="s">
        <v>286</v>
      </c>
      <c r="D5" s="162" t="s">
        <v>273</v>
      </c>
      <c r="E5" s="173"/>
      <c r="F5" s="173"/>
      <c r="G5" s="173"/>
      <c r="H5" s="173"/>
      <c r="I5" s="166"/>
      <c r="J5" s="166"/>
    </row>
    <row r="6" spans="1:10" ht="14.25" x14ac:dyDescent="0.45">
      <c r="A6" t="s">
        <v>812</v>
      </c>
      <c r="B6" s="162">
        <f>ROW()</f>
        <v>6</v>
      </c>
      <c r="C6" s="183" t="s">
        <v>287</v>
      </c>
      <c r="D6" s="162"/>
      <c r="E6" s="158">
        <f t="shared" ref="E6:J6" si="0">SUM(E4:E5)</f>
        <v>0</v>
      </c>
      <c r="F6" s="158">
        <f t="shared" si="0"/>
        <v>0</v>
      </c>
      <c r="G6" s="158">
        <f t="shared" si="0"/>
        <v>0</v>
      </c>
      <c r="H6" s="158">
        <f t="shared" si="0"/>
        <v>0</v>
      </c>
      <c r="I6" s="158">
        <f t="shared" si="0"/>
        <v>0</v>
      </c>
      <c r="J6" s="158">
        <f t="shared" si="0"/>
        <v>0</v>
      </c>
    </row>
    <row r="7" spans="1:10" ht="14.25" x14ac:dyDescent="0.45">
      <c r="A7" t="s">
        <v>812</v>
      </c>
      <c r="B7" s="162">
        <f>ROW()</f>
        <v>7</v>
      </c>
      <c r="C7" s="162" t="s">
        <v>288</v>
      </c>
      <c r="D7" s="162" t="s">
        <v>274</v>
      </c>
      <c r="E7" s="173"/>
      <c r="F7" s="173"/>
      <c r="G7" s="173"/>
      <c r="H7" s="173"/>
      <c r="I7" s="166"/>
      <c r="J7" s="166"/>
    </row>
    <row r="8" spans="1:10" ht="14.25" x14ac:dyDescent="0.45">
      <c r="A8" t="s">
        <v>812</v>
      </c>
      <c r="B8" s="162">
        <f>ROW()</f>
        <v>8</v>
      </c>
      <c r="C8" s="162" t="s">
        <v>288</v>
      </c>
      <c r="D8" s="162" t="s">
        <v>275</v>
      </c>
      <c r="E8" s="173"/>
      <c r="F8" s="173"/>
      <c r="G8" s="173"/>
      <c r="H8" s="173"/>
      <c r="I8" s="166"/>
      <c r="J8" s="166"/>
    </row>
    <row r="9" spans="1:10" ht="14.25" x14ac:dyDescent="0.45">
      <c r="A9" t="s">
        <v>812</v>
      </c>
      <c r="B9" s="162">
        <f>ROW()</f>
        <v>9</v>
      </c>
      <c r="C9" s="162" t="s">
        <v>288</v>
      </c>
      <c r="D9" s="162" t="s">
        <v>276</v>
      </c>
      <c r="E9" s="173"/>
      <c r="F9" s="173"/>
      <c r="G9" s="173"/>
      <c r="H9" s="173"/>
      <c r="I9" s="166"/>
      <c r="J9" s="166"/>
    </row>
    <row r="10" spans="1:10" ht="14.25" x14ac:dyDescent="0.45">
      <c r="A10" t="s">
        <v>812</v>
      </c>
      <c r="B10" s="162">
        <f>ROW()</f>
        <v>10</v>
      </c>
      <c r="C10" s="183" t="s">
        <v>290</v>
      </c>
      <c r="D10" s="162"/>
      <c r="E10" s="158">
        <f t="shared" ref="E10:J10" si="1">SUM(E7:E9)</f>
        <v>0</v>
      </c>
      <c r="F10" s="158">
        <f t="shared" si="1"/>
        <v>0</v>
      </c>
      <c r="G10" s="158">
        <f t="shared" si="1"/>
        <v>0</v>
      </c>
      <c r="H10" s="158">
        <f t="shared" si="1"/>
        <v>0</v>
      </c>
      <c r="I10" s="158">
        <f t="shared" si="1"/>
        <v>0</v>
      </c>
      <c r="J10" s="158">
        <f t="shared" si="1"/>
        <v>0</v>
      </c>
    </row>
    <row r="11" spans="1:10" ht="14.25" x14ac:dyDescent="0.45">
      <c r="A11" t="s">
        <v>812</v>
      </c>
      <c r="B11" s="162">
        <f>ROW()</f>
        <v>11</v>
      </c>
      <c r="C11" s="162" t="s">
        <v>291</v>
      </c>
      <c r="D11" s="162" t="s">
        <v>1271</v>
      </c>
      <c r="E11" s="173"/>
      <c r="F11" s="173"/>
      <c r="G11" s="173"/>
      <c r="H11" s="173"/>
      <c r="I11" s="166"/>
      <c r="J11" s="166"/>
    </row>
    <row r="12" spans="1:10" ht="14.25" x14ac:dyDescent="0.45">
      <c r="A12" t="s">
        <v>812</v>
      </c>
      <c r="B12" s="162">
        <f>ROW()</f>
        <v>12</v>
      </c>
      <c r="C12" s="162" t="s">
        <v>291</v>
      </c>
      <c r="D12" s="162" t="s">
        <v>278</v>
      </c>
      <c r="E12" s="173"/>
      <c r="F12" s="173"/>
      <c r="G12" s="173"/>
      <c r="H12" s="173"/>
      <c r="I12" s="166"/>
      <c r="J12" s="166"/>
    </row>
    <row r="13" spans="1:10" ht="14.25" x14ac:dyDescent="0.45">
      <c r="A13" t="s">
        <v>812</v>
      </c>
      <c r="B13" s="162">
        <f>ROW()</f>
        <v>13</v>
      </c>
      <c r="C13" s="162" t="s">
        <v>291</v>
      </c>
      <c r="D13" s="162" t="s">
        <v>279</v>
      </c>
      <c r="E13" s="173"/>
      <c r="F13" s="173"/>
      <c r="G13" s="173"/>
      <c r="H13" s="173"/>
      <c r="I13" s="166"/>
      <c r="J13" s="166"/>
    </row>
    <row r="14" spans="1:10" ht="14.25" x14ac:dyDescent="0.45">
      <c r="A14" t="s">
        <v>812</v>
      </c>
      <c r="B14" s="162">
        <f>ROW()</f>
        <v>14</v>
      </c>
      <c r="C14" s="183" t="s">
        <v>292</v>
      </c>
      <c r="D14" s="162"/>
      <c r="E14" s="158">
        <f t="shared" ref="E14:J14" si="2">SUM(E11:E13)</f>
        <v>0</v>
      </c>
      <c r="F14" s="158">
        <f t="shared" si="2"/>
        <v>0</v>
      </c>
      <c r="G14" s="158">
        <f t="shared" si="2"/>
        <v>0</v>
      </c>
      <c r="H14" s="158">
        <f t="shared" si="2"/>
        <v>0</v>
      </c>
      <c r="I14" s="158">
        <f t="shared" si="2"/>
        <v>0</v>
      </c>
      <c r="J14" s="158">
        <f t="shared" si="2"/>
        <v>0</v>
      </c>
    </row>
    <row r="15" spans="1:10" ht="14.25" x14ac:dyDescent="0.45">
      <c r="A15" t="s">
        <v>812</v>
      </c>
      <c r="B15" s="162">
        <f>ROW()</f>
        <v>15</v>
      </c>
      <c r="C15" s="183" t="s">
        <v>282</v>
      </c>
      <c r="D15" s="162"/>
      <c r="E15" s="158">
        <f t="shared" ref="E15:J15" si="3">E6+E10+E14</f>
        <v>0</v>
      </c>
      <c r="F15" s="158">
        <f t="shared" si="3"/>
        <v>0</v>
      </c>
      <c r="G15" s="158">
        <f t="shared" si="3"/>
        <v>0</v>
      </c>
      <c r="H15" s="158">
        <f t="shared" si="3"/>
        <v>0</v>
      </c>
      <c r="I15" s="158">
        <f t="shared" si="3"/>
        <v>0</v>
      </c>
      <c r="J15" s="158">
        <f t="shared" si="3"/>
        <v>0</v>
      </c>
    </row>
    <row r="16" spans="1:10" ht="14.25" x14ac:dyDescent="0.45">
      <c r="A16" t="s">
        <v>812</v>
      </c>
      <c r="B16" s="162">
        <f>ROW()</f>
        <v>16</v>
      </c>
      <c r="C16" s="162" t="s">
        <v>347</v>
      </c>
      <c r="D16" s="162" t="s">
        <v>1273</v>
      </c>
      <c r="E16" s="173"/>
      <c r="F16" s="173"/>
      <c r="G16" s="173"/>
      <c r="H16" s="173"/>
      <c r="I16" s="166"/>
      <c r="J16" s="166"/>
    </row>
    <row r="17" spans="1:10" ht="14.25" x14ac:dyDescent="0.45">
      <c r="A17" t="s">
        <v>812</v>
      </c>
      <c r="B17" s="162">
        <f>ROW()</f>
        <v>17</v>
      </c>
      <c r="C17" s="162" t="s">
        <v>347</v>
      </c>
      <c r="D17" s="162" t="s">
        <v>1272</v>
      </c>
      <c r="E17" s="173"/>
      <c r="F17" s="173"/>
      <c r="G17" s="173"/>
      <c r="H17" s="173"/>
      <c r="I17" s="166"/>
      <c r="J17" s="166"/>
    </row>
    <row r="18" spans="1:10" ht="14.25" x14ac:dyDescent="0.45"/>
    <row r="19" spans="1:10" ht="14.25" x14ac:dyDescent="0.45"/>
    <row r="20" spans="1:10" ht="21" x14ac:dyDescent="0.65">
      <c r="A20" s="129" t="s">
        <v>812</v>
      </c>
    </row>
    <row r="21" spans="1:10" ht="94.5" customHeight="1" x14ac:dyDescent="0.45">
      <c r="A21" s="119" t="s">
        <v>78</v>
      </c>
      <c r="B21" s="119" t="s">
        <v>79</v>
      </c>
      <c r="C21" s="119" t="s">
        <v>1244</v>
      </c>
      <c r="D21" s="119" t="s">
        <v>1245</v>
      </c>
      <c r="E21" s="119" t="s">
        <v>1063</v>
      </c>
      <c r="F21" s="119" t="s">
        <v>1064</v>
      </c>
      <c r="G21" s="119" t="s">
        <v>1065</v>
      </c>
      <c r="H21" s="119" t="s">
        <v>1066</v>
      </c>
      <c r="I21" s="119" t="s">
        <v>1067</v>
      </c>
      <c r="J21" s="119" t="s">
        <v>1068</v>
      </c>
    </row>
    <row r="22" spans="1:10" ht="14.25" x14ac:dyDescent="0.45">
      <c r="A22" t="s">
        <v>812</v>
      </c>
      <c r="B22" s="162">
        <f>ROW()</f>
        <v>22</v>
      </c>
      <c r="C22" s="162" t="s">
        <v>286</v>
      </c>
      <c r="D22" s="162" t="s">
        <v>346</v>
      </c>
      <c r="E22" s="173"/>
      <c r="F22" s="173"/>
      <c r="G22" s="173"/>
      <c r="H22" s="173"/>
      <c r="I22" s="166"/>
      <c r="J22" s="166"/>
    </row>
    <row r="23" spans="1:10" ht="14.25" x14ac:dyDescent="0.45">
      <c r="A23" t="s">
        <v>812</v>
      </c>
      <c r="B23" s="162">
        <f>ROW()</f>
        <v>23</v>
      </c>
      <c r="C23" s="162" t="s">
        <v>286</v>
      </c>
      <c r="D23" s="162" t="s">
        <v>273</v>
      </c>
      <c r="E23" s="173"/>
      <c r="F23" s="173"/>
      <c r="G23" s="173"/>
      <c r="H23" s="173"/>
      <c r="I23" s="166"/>
      <c r="J23" s="166"/>
    </row>
    <row r="24" spans="1:10" ht="14.25" x14ac:dyDescent="0.45">
      <c r="A24" t="s">
        <v>812</v>
      </c>
      <c r="B24" s="162">
        <f>ROW()</f>
        <v>24</v>
      </c>
      <c r="C24" s="183" t="s">
        <v>287</v>
      </c>
      <c r="D24" s="162"/>
      <c r="E24" s="158">
        <f t="shared" ref="E24:J24" si="4">SUM(E22:E23)</f>
        <v>0</v>
      </c>
      <c r="F24" s="158">
        <f t="shared" si="4"/>
        <v>0</v>
      </c>
      <c r="G24" s="158">
        <f t="shared" si="4"/>
        <v>0</v>
      </c>
      <c r="H24" s="158">
        <f t="shared" si="4"/>
        <v>0</v>
      </c>
      <c r="I24" s="158">
        <f t="shared" si="4"/>
        <v>0</v>
      </c>
      <c r="J24" s="158">
        <f t="shared" si="4"/>
        <v>0</v>
      </c>
    </row>
    <row r="25" spans="1:10" ht="14.25" x14ac:dyDescent="0.45">
      <c r="A25" t="s">
        <v>812</v>
      </c>
      <c r="B25" s="162">
        <f>ROW()</f>
        <v>25</v>
      </c>
      <c r="C25" s="162" t="s">
        <v>288</v>
      </c>
      <c r="D25" s="162" t="s">
        <v>274</v>
      </c>
      <c r="E25" s="173"/>
      <c r="F25" s="173"/>
      <c r="G25" s="173"/>
      <c r="H25" s="173"/>
      <c r="I25" s="166"/>
      <c r="J25" s="166"/>
    </row>
    <row r="26" spans="1:10" ht="14.25" x14ac:dyDescent="0.45">
      <c r="A26" t="s">
        <v>812</v>
      </c>
      <c r="B26" s="162">
        <f>ROW()</f>
        <v>26</v>
      </c>
      <c r="C26" s="162" t="s">
        <v>288</v>
      </c>
      <c r="D26" s="162" t="s">
        <v>275</v>
      </c>
      <c r="E26" s="173"/>
      <c r="F26" s="173"/>
      <c r="G26" s="173"/>
      <c r="H26" s="173"/>
      <c r="I26" s="166"/>
      <c r="J26" s="166"/>
    </row>
    <row r="27" spans="1:10" ht="14.25" x14ac:dyDescent="0.45">
      <c r="A27" t="s">
        <v>812</v>
      </c>
      <c r="B27" s="162">
        <f>ROW()</f>
        <v>27</v>
      </c>
      <c r="C27" s="162" t="s">
        <v>288</v>
      </c>
      <c r="D27" s="162" t="s">
        <v>276</v>
      </c>
      <c r="E27" s="173"/>
      <c r="F27" s="173"/>
      <c r="G27" s="173"/>
      <c r="H27" s="173"/>
      <c r="I27" s="166"/>
      <c r="J27" s="166"/>
    </row>
    <row r="28" spans="1:10" ht="14.25" x14ac:dyDescent="0.45">
      <c r="A28" t="s">
        <v>812</v>
      </c>
      <c r="B28" s="162">
        <f>ROW()</f>
        <v>28</v>
      </c>
      <c r="C28" s="183" t="s">
        <v>290</v>
      </c>
      <c r="D28" s="162"/>
      <c r="E28" s="158">
        <f t="shared" ref="E28:J28" si="5">SUM(E25:E27)</f>
        <v>0</v>
      </c>
      <c r="F28" s="158">
        <f t="shared" si="5"/>
        <v>0</v>
      </c>
      <c r="G28" s="158">
        <f t="shared" si="5"/>
        <v>0</v>
      </c>
      <c r="H28" s="158">
        <f t="shared" si="5"/>
        <v>0</v>
      </c>
      <c r="I28" s="158">
        <f t="shared" si="5"/>
        <v>0</v>
      </c>
      <c r="J28" s="158">
        <f t="shared" si="5"/>
        <v>0</v>
      </c>
    </row>
    <row r="29" spans="1:10" ht="14.25" x14ac:dyDescent="0.45">
      <c r="A29" t="s">
        <v>812</v>
      </c>
      <c r="B29" s="162">
        <f>ROW()</f>
        <v>29</v>
      </c>
      <c r="C29" s="162" t="s">
        <v>291</v>
      </c>
      <c r="D29" s="162" t="s">
        <v>1271</v>
      </c>
      <c r="E29" s="173"/>
      <c r="F29" s="173"/>
      <c r="G29" s="173"/>
      <c r="H29" s="173"/>
      <c r="I29" s="166"/>
      <c r="J29" s="166"/>
    </row>
    <row r="30" spans="1:10" ht="14.25" x14ac:dyDescent="0.45">
      <c r="A30" t="s">
        <v>812</v>
      </c>
      <c r="B30" s="162">
        <f>ROW()</f>
        <v>30</v>
      </c>
      <c r="C30" s="162" t="s">
        <v>291</v>
      </c>
      <c r="D30" s="162" t="s">
        <v>278</v>
      </c>
      <c r="E30" s="173"/>
      <c r="F30" s="173"/>
      <c r="G30" s="173"/>
      <c r="H30" s="173"/>
      <c r="I30" s="166"/>
      <c r="J30" s="166"/>
    </row>
    <row r="31" spans="1:10" ht="14.25" x14ac:dyDescent="0.45">
      <c r="A31" t="s">
        <v>812</v>
      </c>
      <c r="B31" s="162">
        <f>ROW()</f>
        <v>31</v>
      </c>
      <c r="C31" s="162" t="s">
        <v>291</v>
      </c>
      <c r="D31" s="162" t="s">
        <v>279</v>
      </c>
      <c r="E31" s="173"/>
      <c r="F31" s="173"/>
      <c r="G31" s="173"/>
      <c r="H31" s="173"/>
      <c r="I31" s="166"/>
      <c r="J31" s="166"/>
    </row>
    <row r="32" spans="1:10" ht="14.25" x14ac:dyDescent="0.45">
      <c r="A32" t="s">
        <v>812</v>
      </c>
      <c r="B32" s="162">
        <f>ROW()</f>
        <v>32</v>
      </c>
      <c r="C32" s="183" t="s">
        <v>292</v>
      </c>
      <c r="D32" s="162"/>
      <c r="E32" s="158">
        <f t="shared" ref="E32:J32" si="6">SUM(E29:E31)</f>
        <v>0</v>
      </c>
      <c r="F32" s="158">
        <f t="shared" si="6"/>
        <v>0</v>
      </c>
      <c r="G32" s="158">
        <f t="shared" si="6"/>
        <v>0</v>
      </c>
      <c r="H32" s="158">
        <f t="shared" si="6"/>
        <v>0</v>
      </c>
      <c r="I32" s="158">
        <f t="shared" si="6"/>
        <v>0</v>
      </c>
      <c r="J32" s="158">
        <f t="shared" si="6"/>
        <v>0</v>
      </c>
    </row>
    <row r="33" spans="1:10" ht="14.25" x14ac:dyDescent="0.45">
      <c r="A33" t="s">
        <v>812</v>
      </c>
      <c r="B33" s="162">
        <f>ROW()</f>
        <v>33</v>
      </c>
      <c r="C33" s="183" t="s">
        <v>282</v>
      </c>
      <c r="D33" s="162"/>
      <c r="E33" s="158">
        <f t="shared" ref="E33:J33" si="7">E24+E28+E32</f>
        <v>0</v>
      </c>
      <c r="F33" s="158">
        <f t="shared" si="7"/>
        <v>0</v>
      </c>
      <c r="G33" s="158">
        <f t="shared" si="7"/>
        <v>0</v>
      </c>
      <c r="H33" s="158">
        <f t="shared" si="7"/>
        <v>0</v>
      </c>
      <c r="I33" s="158">
        <f t="shared" si="7"/>
        <v>0</v>
      </c>
      <c r="J33" s="158">
        <f t="shared" si="7"/>
        <v>0</v>
      </c>
    </row>
    <row r="34" spans="1:10" ht="14.25" x14ac:dyDescent="0.45"/>
    <row r="35" spans="1:10" ht="14.25" x14ac:dyDescent="0.45"/>
    <row r="36" spans="1:10" ht="21" x14ac:dyDescent="0.65">
      <c r="A36" s="129" t="s">
        <v>812</v>
      </c>
    </row>
    <row r="37" spans="1:10" ht="94.5" customHeight="1" x14ac:dyDescent="0.45">
      <c r="A37" s="119" t="s">
        <v>78</v>
      </c>
      <c r="B37" s="119" t="s">
        <v>79</v>
      </c>
      <c r="C37" s="119" t="s">
        <v>1244</v>
      </c>
      <c r="D37" s="119" t="s">
        <v>1245</v>
      </c>
      <c r="E37" s="119" t="s">
        <v>1063</v>
      </c>
      <c r="F37" s="119" t="s">
        <v>1064</v>
      </c>
      <c r="G37" s="119" t="s">
        <v>1065</v>
      </c>
      <c r="H37" s="119" t="s">
        <v>1066</v>
      </c>
      <c r="I37" s="119" t="s">
        <v>1067</v>
      </c>
      <c r="J37" s="119" t="s">
        <v>1068</v>
      </c>
    </row>
    <row r="38" spans="1:10" ht="14.25" x14ac:dyDescent="0.45">
      <c r="A38" t="s">
        <v>812</v>
      </c>
      <c r="B38" s="162">
        <f>ROW()</f>
        <v>38</v>
      </c>
      <c r="C38" s="162" t="s">
        <v>286</v>
      </c>
      <c r="D38" s="162" t="s">
        <v>346</v>
      </c>
      <c r="E38" s="158">
        <f t="shared" ref="E38:J49" si="8">E4-E22</f>
        <v>0</v>
      </c>
      <c r="F38" s="158">
        <f t="shared" si="8"/>
        <v>0</v>
      </c>
      <c r="G38" s="158">
        <f t="shared" si="8"/>
        <v>0</v>
      </c>
      <c r="H38" s="158">
        <f t="shared" si="8"/>
        <v>0</v>
      </c>
      <c r="I38" s="158">
        <f t="shared" si="8"/>
        <v>0</v>
      </c>
      <c r="J38" s="158">
        <f t="shared" si="8"/>
        <v>0</v>
      </c>
    </row>
    <row r="39" spans="1:10" ht="14.25" x14ac:dyDescent="0.45">
      <c r="A39" t="s">
        <v>812</v>
      </c>
      <c r="B39" s="162">
        <f>ROW()</f>
        <v>39</v>
      </c>
      <c r="C39" s="162" t="s">
        <v>286</v>
      </c>
      <c r="D39" s="162" t="s">
        <v>273</v>
      </c>
      <c r="E39" s="158">
        <f t="shared" si="8"/>
        <v>0</v>
      </c>
      <c r="F39" s="158">
        <f t="shared" si="8"/>
        <v>0</v>
      </c>
      <c r="G39" s="158">
        <f t="shared" si="8"/>
        <v>0</v>
      </c>
      <c r="H39" s="158">
        <f t="shared" si="8"/>
        <v>0</v>
      </c>
      <c r="I39" s="158">
        <f t="shared" si="8"/>
        <v>0</v>
      </c>
      <c r="J39" s="158">
        <f t="shared" si="8"/>
        <v>0</v>
      </c>
    </row>
    <row r="40" spans="1:10" ht="14.25" x14ac:dyDescent="0.45">
      <c r="A40" t="s">
        <v>812</v>
      </c>
      <c r="B40" s="162">
        <f>ROW()</f>
        <v>40</v>
      </c>
      <c r="C40" s="183" t="s">
        <v>287</v>
      </c>
      <c r="D40" s="162"/>
      <c r="E40" s="158">
        <f t="shared" si="8"/>
        <v>0</v>
      </c>
      <c r="F40" s="158">
        <f t="shared" si="8"/>
        <v>0</v>
      </c>
      <c r="G40" s="158">
        <f t="shared" si="8"/>
        <v>0</v>
      </c>
      <c r="H40" s="158">
        <f t="shared" si="8"/>
        <v>0</v>
      </c>
      <c r="I40" s="158">
        <f t="shared" si="8"/>
        <v>0</v>
      </c>
      <c r="J40" s="158">
        <f t="shared" si="8"/>
        <v>0</v>
      </c>
    </row>
    <row r="41" spans="1:10" ht="14.25" x14ac:dyDescent="0.45">
      <c r="A41" t="s">
        <v>812</v>
      </c>
      <c r="B41" s="162">
        <f>ROW()</f>
        <v>41</v>
      </c>
      <c r="C41" s="162" t="s">
        <v>288</v>
      </c>
      <c r="D41" s="162" t="s">
        <v>274</v>
      </c>
      <c r="E41" s="158">
        <f t="shared" si="8"/>
        <v>0</v>
      </c>
      <c r="F41" s="158">
        <f t="shared" si="8"/>
        <v>0</v>
      </c>
      <c r="G41" s="158">
        <f t="shared" si="8"/>
        <v>0</v>
      </c>
      <c r="H41" s="158">
        <f t="shared" si="8"/>
        <v>0</v>
      </c>
      <c r="I41" s="158">
        <f t="shared" si="8"/>
        <v>0</v>
      </c>
      <c r="J41" s="158">
        <f t="shared" si="8"/>
        <v>0</v>
      </c>
    </row>
    <row r="42" spans="1:10" ht="14.25" x14ac:dyDescent="0.45">
      <c r="A42" t="s">
        <v>812</v>
      </c>
      <c r="B42" s="162">
        <f>ROW()</f>
        <v>42</v>
      </c>
      <c r="C42" s="162" t="s">
        <v>288</v>
      </c>
      <c r="D42" s="162" t="s">
        <v>275</v>
      </c>
      <c r="E42" s="158">
        <f t="shared" si="8"/>
        <v>0</v>
      </c>
      <c r="F42" s="158">
        <f t="shared" si="8"/>
        <v>0</v>
      </c>
      <c r="G42" s="158">
        <f t="shared" si="8"/>
        <v>0</v>
      </c>
      <c r="H42" s="158">
        <f t="shared" si="8"/>
        <v>0</v>
      </c>
      <c r="I42" s="158">
        <f t="shared" si="8"/>
        <v>0</v>
      </c>
      <c r="J42" s="158">
        <f t="shared" si="8"/>
        <v>0</v>
      </c>
    </row>
    <row r="43" spans="1:10" ht="14.25" x14ac:dyDescent="0.45">
      <c r="A43" t="s">
        <v>812</v>
      </c>
      <c r="B43" s="162">
        <f>ROW()</f>
        <v>43</v>
      </c>
      <c r="C43" s="162" t="s">
        <v>288</v>
      </c>
      <c r="D43" s="162" t="s">
        <v>276</v>
      </c>
      <c r="E43" s="158">
        <f t="shared" si="8"/>
        <v>0</v>
      </c>
      <c r="F43" s="158">
        <f t="shared" si="8"/>
        <v>0</v>
      </c>
      <c r="G43" s="158">
        <f t="shared" si="8"/>
        <v>0</v>
      </c>
      <c r="H43" s="158">
        <f t="shared" si="8"/>
        <v>0</v>
      </c>
      <c r="I43" s="158">
        <f t="shared" si="8"/>
        <v>0</v>
      </c>
      <c r="J43" s="158">
        <f t="shared" si="8"/>
        <v>0</v>
      </c>
    </row>
    <row r="44" spans="1:10" ht="14.25" x14ac:dyDescent="0.45">
      <c r="A44" t="s">
        <v>812</v>
      </c>
      <c r="B44" s="162">
        <f>ROW()</f>
        <v>44</v>
      </c>
      <c r="C44" s="183" t="s">
        <v>290</v>
      </c>
      <c r="D44" s="162"/>
      <c r="E44" s="158">
        <f t="shared" si="8"/>
        <v>0</v>
      </c>
      <c r="F44" s="158">
        <f t="shared" si="8"/>
        <v>0</v>
      </c>
      <c r="G44" s="158">
        <f t="shared" si="8"/>
        <v>0</v>
      </c>
      <c r="H44" s="158">
        <f t="shared" si="8"/>
        <v>0</v>
      </c>
      <c r="I44" s="158">
        <f t="shared" si="8"/>
        <v>0</v>
      </c>
      <c r="J44" s="158">
        <f t="shared" si="8"/>
        <v>0</v>
      </c>
    </row>
    <row r="45" spans="1:10" ht="14.25" x14ac:dyDescent="0.45">
      <c r="A45" t="s">
        <v>812</v>
      </c>
      <c r="B45" s="162">
        <f>ROW()</f>
        <v>45</v>
      </c>
      <c r="C45" s="162" t="s">
        <v>291</v>
      </c>
      <c r="D45" s="162" t="s">
        <v>1271</v>
      </c>
      <c r="E45" s="158">
        <f t="shared" si="8"/>
        <v>0</v>
      </c>
      <c r="F45" s="158">
        <f t="shared" si="8"/>
        <v>0</v>
      </c>
      <c r="G45" s="158">
        <f t="shared" si="8"/>
        <v>0</v>
      </c>
      <c r="H45" s="158">
        <f t="shared" si="8"/>
        <v>0</v>
      </c>
      <c r="I45" s="158">
        <f t="shared" si="8"/>
        <v>0</v>
      </c>
      <c r="J45" s="158">
        <f t="shared" si="8"/>
        <v>0</v>
      </c>
    </row>
    <row r="46" spans="1:10" ht="14.25" x14ac:dyDescent="0.45">
      <c r="A46" t="s">
        <v>812</v>
      </c>
      <c r="B46" s="162">
        <f>ROW()</f>
        <v>46</v>
      </c>
      <c r="C46" s="162" t="s">
        <v>291</v>
      </c>
      <c r="D46" s="162" t="s">
        <v>278</v>
      </c>
      <c r="E46" s="158">
        <f t="shared" si="8"/>
        <v>0</v>
      </c>
      <c r="F46" s="158">
        <f t="shared" si="8"/>
        <v>0</v>
      </c>
      <c r="G46" s="158">
        <f t="shared" si="8"/>
        <v>0</v>
      </c>
      <c r="H46" s="158">
        <f t="shared" si="8"/>
        <v>0</v>
      </c>
      <c r="I46" s="158">
        <f t="shared" si="8"/>
        <v>0</v>
      </c>
      <c r="J46" s="158">
        <f t="shared" si="8"/>
        <v>0</v>
      </c>
    </row>
    <row r="47" spans="1:10" ht="14.25" x14ac:dyDescent="0.45">
      <c r="A47" t="s">
        <v>812</v>
      </c>
      <c r="B47" s="162">
        <f>ROW()</f>
        <v>47</v>
      </c>
      <c r="C47" s="162" t="s">
        <v>291</v>
      </c>
      <c r="D47" s="162" t="s">
        <v>279</v>
      </c>
      <c r="E47" s="158">
        <f t="shared" si="8"/>
        <v>0</v>
      </c>
      <c r="F47" s="158">
        <f t="shared" si="8"/>
        <v>0</v>
      </c>
      <c r="G47" s="158">
        <f t="shared" si="8"/>
        <v>0</v>
      </c>
      <c r="H47" s="158">
        <f t="shared" si="8"/>
        <v>0</v>
      </c>
      <c r="I47" s="158">
        <f t="shared" si="8"/>
        <v>0</v>
      </c>
      <c r="J47" s="158">
        <f t="shared" si="8"/>
        <v>0</v>
      </c>
    </row>
    <row r="48" spans="1:10" ht="14.25" x14ac:dyDescent="0.45">
      <c r="A48" t="s">
        <v>812</v>
      </c>
      <c r="B48" s="162">
        <f>ROW()</f>
        <v>48</v>
      </c>
      <c r="C48" s="183" t="s">
        <v>292</v>
      </c>
      <c r="D48" s="162"/>
      <c r="E48" s="158">
        <f t="shared" si="8"/>
        <v>0</v>
      </c>
      <c r="F48" s="158">
        <f t="shared" si="8"/>
        <v>0</v>
      </c>
      <c r="G48" s="158">
        <f t="shared" si="8"/>
        <v>0</v>
      </c>
      <c r="H48" s="158">
        <f t="shared" si="8"/>
        <v>0</v>
      </c>
      <c r="I48" s="158">
        <f t="shared" si="8"/>
        <v>0</v>
      </c>
      <c r="J48" s="158">
        <f t="shared" si="8"/>
        <v>0</v>
      </c>
    </row>
    <row r="49" spans="1:10" ht="14.25" x14ac:dyDescent="0.45">
      <c r="A49" t="s">
        <v>812</v>
      </c>
      <c r="B49" s="162">
        <f>ROW()</f>
        <v>49</v>
      </c>
      <c r="C49" s="183" t="s">
        <v>282</v>
      </c>
      <c r="D49" s="162"/>
      <c r="E49" s="158">
        <f t="shared" si="8"/>
        <v>0</v>
      </c>
      <c r="F49" s="158">
        <f t="shared" si="8"/>
        <v>0</v>
      </c>
      <c r="G49" s="158">
        <f t="shared" si="8"/>
        <v>0</v>
      </c>
      <c r="H49" s="158">
        <f t="shared" si="8"/>
        <v>0</v>
      </c>
      <c r="I49" s="158">
        <f t="shared" si="8"/>
        <v>0</v>
      </c>
      <c r="J49" s="158">
        <f t="shared" si="8"/>
        <v>0</v>
      </c>
    </row>
  </sheetData>
  <phoneticPr fontId="27" type="noConversion"/>
  <pageMargins left="0.70866141732283472" right="0.70866141732283472" top="0.74803149606299213" bottom="0.74803149606299213" header="0.31496062992125984" footer="0.31496062992125984"/>
  <pageSetup paperSize="9" scale="53" fitToHeight="0" orientation="landscape" r:id="rId1"/>
  <rowBreaks count="1" manualBreakCount="1">
    <brk id="34" max="10" man="1"/>
  </rowBreaks>
  <tableParts count="3">
    <tablePart r:id="rId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90868-668D-4945-B2D5-28A30F11C073}">
  <sheetPr codeName="Sheet20">
    <pageSetUpPr fitToPage="1"/>
  </sheetPr>
  <dimension ref="A1:P30"/>
  <sheetViews>
    <sheetView zoomScale="85" zoomScaleNormal="85" workbookViewId="0"/>
  </sheetViews>
  <sheetFormatPr defaultRowHeight="14.45" customHeight="1" x14ac:dyDescent="0.45"/>
  <cols>
    <col min="1" max="1" width="34.59765625" customWidth="1"/>
    <col min="2" max="2" width="7.59765625" bestFit="1" customWidth="1"/>
    <col min="3" max="3" width="15.1328125" bestFit="1" customWidth="1"/>
    <col min="4" max="4" width="13.265625" customWidth="1"/>
    <col min="5" max="5" width="23" customWidth="1"/>
    <col min="6" max="6" width="20" customWidth="1"/>
    <col min="7" max="7" width="21.73046875" customWidth="1"/>
    <col min="8" max="8" width="16.73046875" customWidth="1"/>
    <col min="9" max="10" width="19" customWidth="1"/>
    <col min="11" max="11" width="25" customWidth="1"/>
    <col min="12" max="12" width="27.59765625" customWidth="1"/>
    <col min="13" max="13" width="26.73046875" customWidth="1"/>
    <col min="14" max="14" width="15" customWidth="1"/>
    <col min="15" max="15" width="20" customWidth="1"/>
    <col min="16" max="16" width="19.3984375" customWidth="1"/>
    <col min="17" max="17" width="2" customWidth="1"/>
  </cols>
  <sheetData>
    <row r="1" spans="1:16" ht="23.25" x14ac:dyDescent="0.45">
      <c r="A1" s="146" t="s">
        <v>1171</v>
      </c>
    </row>
    <row r="2" spans="1:16" ht="21" x14ac:dyDescent="0.65">
      <c r="A2" s="129" t="s">
        <v>854</v>
      </c>
    </row>
    <row r="3" spans="1:16" ht="113.45" customHeight="1" x14ac:dyDescent="0.45">
      <c r="A3" s="119" t="s">
        <v>78</v>
      </c>
      <c r="B3" s="119" t="s">
        <v>79</v>
      </c>
      <c r="C3" s="119" t="s">
        <v>1270</v>
      </c>
      <c r="D3" s="119" t="s">
        <v>1129</v>
      </c>
      <c r="E3" s="119" t="s">
        <v>1081</v>
      </c>
      <c r="F3" s="119" t="s">
        <v>1082</v>
      </c>
      <c r="G3" s="119" t="s">
        <v>1083</v>
      </c>
      <c r="H3" s="119" t="s">
        <v>1084</v>
      </c>
      <c r="I3" s="119" t="s">
        <v>1085</v>
      </c>
      <c r="J3" s="119" t="s">
        <v>1086</v>
      </c>
      <c r="K3" s="119" t="s">
        <v>348</v>
      </c>
      <c r="L3" s="119" t="s">
        <v>1087</v>
      </c>
      <c r="M3" s="119" t="s">
        <v>1088</v>
      </c>
      <c r="N3" s="119" t="s">
        <v>349</v>
      </c>
      <c r="O3" s="119" t="s">
        <v>1089</v>
      </c>
      <c r="P3" s="119" t="s">
        <v>1090</v>
      </c>
    </row>
    <row r="4" spans="1:16" ht="14.25" x14ac:dyDescent="0.45">
      <c r="A4" t="s">
        <v>854</v>
      </c>
      <c r="B4">
        <f>ROW()</f>
        <v>4</v>
      </c>
      <c r="C4" t="s">
        <v>350</v>
      </c>
      <c r="D4" s="170"/>
      <c r="E4" s="173"/>
      <c r="F4" s="166"/>
      <c r="G4" s="166"/>
      <c r="H4" s="173"/>
      <c r="I4" s="166"/>
      <c r="J4" s="166"/>
      <c r="K4" s="173"/>
      <c r="L4" s="166"/>
      <c r="M4" s="166"/>
      <c r="N4" s="173"/>
      <c r="O4" s="200"/>
      <c r="P4" s="200"/>
    </row>
    <row r="5" spans="1:16" ht="14.25" x14ac:dyDescent="0.45">
      <c r="A5" t="s">
        <v>854</v>
      </c>
      <c r="B5">
        <f>ROW()</f>
        <v>5</v>
      </c>
      <c r="C5" t="s">
        <v>351</v>
      </c>
      <c r="D5" s="170"/>
      <c r="E5" s="173"/>
      <c r="F5" s="166"/>
      <c r="G5" s="166"/>
      <c r="H5" s="173"/>
      <c r="I5" s="166"/>
      <c r="J5" s="166"/>
      <c r="K5" s="173"/>
      <c r="L5" s="166"/>
      <c r="M5" s="166"/>
      <c r="N5" s="173"/>
      <c r="O5" s="200"/>
      <c r="P5" s="200"/>
    </row>
    <row r="6" spans="1:16" ht="14.25" x14ac:dyDescent="0.45">
      <c r="A6" t="s">
        <v>854</v>
      </c>
      <c r="B6">
        <f>ROW()</f>
        <v>6</v>
      </c>
      <c r="C6" t="s">
        <v>352</v>
      </c>
      <c r="D6" s="170"/>
      <c r="E6" s="173"/>
      <c r="F6" s="166"/>
      <c r="G6" s="166"/>
      <c r="H6" s="173"/>
      <c r="I6" s="166"/>
      <c r="J6" s="166"/>
      <c r="K6" s="173"/>
      <c r="L6" s="166"/>
      <c r="M6" s="166"/>
      <c r="N6" s="173"/>
      <c r="O6" s="200"/>
      <c r="P6" s="200"/>
    </row>
    <row r="7" spans="1:16" ht="14.25" x14ac:dyDescent="0.45">
      <c r="A7" t="s">
        <v>854</v>
      </c>
      <c r="B7">
        <f>ROW()</f>
        <v>7</v>
      </c>
      <c r="C7" t="s">
        <v>353</v>
      </c>
      <c r="D7" s="170"/>
      <c r="E7" s="173"/>
      <c r="F7" s="166"/>
      <c r="G7" s="166"/>
      <c r="H7" s="173"/>
      <c r="I7" s="166"/>
      <c r="J7" s="166"/>
      <c r="K7" s="173"/>
      <c r="L7" s="166"/>
      <c r="M7" s="166"/>
      <c r="N7" s="173"/>
      <c r="O7" s="200"/>
      <c r="P7" s="200"/>
    </row>
    <row r="8" spans="1:16" ht="14.25" x14ac:dyDescent="0.45">
      <c r="A8" t="s">
        <v>854</v>
      </c>
      <c r="B8">
        <f>ROW()</f>
        <v>8</v>
      </c>
      <c r="C8" t="s">
        <v>354</v>
      </c>
      <c r="D8" s="170"/>
      <c r="E8" s="173"/>
      <c r="F8" s="166"/>
      <c r="G8" s="166"/>
      <c r="H8" s="173"/>
      <c r="I8" s="166"/>
      <c r="J8" s="166"/>
      <c r="K8" s="173"/>
      <c r="L8" s="166"/>
      <c r="M8" s="166"/>
      <c r="N8" s="173"/>
      <c r="O8" s="200"/>
      <c r="P8" s="200"/>
    </row>
    <row r="9" spans="1:16" ht="14.25" x14ac:dyDescent="0.45">
      <c r="A9" t="s">
        <v>854</v>
      </c>
      <c r="B9">
        <f>ROW()</f>
        <v>9</v>
      </c>
      <c r="C9" t="s">
        <v>355</v>
      </c>
      <c r="D9" s="170"/>
      <c r="E9" s="173"/>
      <c r="F9" s="166"/>
      <c r="G9" s="166"/>
      <c r="H9" s="173"/>
      <c r="I9" s="166"/>
      <c r="J9" s="166"/>
      <c r="K9" s="173"/>
      <c r="L9" s="166"/>
      <c r="M9" s="166"/>
      <c r="N9" s="173"/>
      <c r="O9" s="200"/>
      <c r="P9" s="200"/>
    </row>
    <row r="10" spans="1:16" ht="14.25" x14ac:dyDescent="0.45">
      <c r="A10" s="162" t="s">
        <v>854</v>
      </c>
      <c r="B10" s="162">
        <f>ROW()</f>
        <v>10</v>
      </c>
      <c r="C10" s="162" t="s">
        <v>379</v>
      </c>
      <c r="D10" s="170"/>
      <c r="E10" s="173"/>
      <c r="F10" s="166"/>
      <c r="G10" s="166"/>
      <c r="H10" s="173"/>
      <c r="I10" s="166"/>
      <c r="J10" s="166"/>
      <c r="K10" s="173"/>
      <c r="L10" s="166"/>
      <c r="M10" s="166"/>
      <c r="N10" s="173"/>
      <c r="O10" s="200"/>
      <c r="P10" s="200"/>
    </row>
    <row r="11" spans="1:16" ht="14.25" x14ac:dyDescent="0.45">
      <c r="A11" t="s">
        <v>854</v>
      </c>
      <c r="B11">
        <f>ROW()</f>
        <v>11</v>
      </c>
      <c r="C11" t="s">
        <v>356</v>
      </c>
      <c r="D11" s="170"/>
      <c r="E11" s="173"/>
      <c r="F11" s="166"/>
      <c r="G11" s="166"/>
      <c r="H11" s="173"/>
      <c r="I11" s="166"/>
      <c r="J11" s="166"/>
      <c r="K11" s="173"/>
      <c r="L11" s="166"/>
      <c r="M11" s="166"/>
      <c r="N11" s="173"/>
      <c r="O11" s="200"/>
      <c r="P11" s="200"/>
    </row>
    <row r="12" spans="1:16" ht="14.25" x14ac:dyDescent="0.45">
      <c r="A12" t="s">
        <v>854</v>
      </c>
      <c r="B12">
        <f>ROW()</f>
        <v>12</v>
      </c>
      <c r="C12" t="s">
        <v>357</v>
      </c>
      <c r="D12" s="170"/>
      <c r="E12" s="173"/>
      <c r="F12" s="166"/>
      <c r="G12" s="166"/>
      <c r="H12" s="173"/>
      <c r="I12" s="166"/>
      <c r="J12" s="166"/>
      <c r="K12" s="173"/>
      <c r="L12" s="166"/>
      <c r="M12" s="166"/>
      <c r="N12" s="173"/>
      <c r="O12" s="200"/>
      <c r="P12" s="200"/>
    </row>
    <row r="13" spans="1:16" ht="14.25" x14ac:dyDescent="0.45">
      <c r="A13" t="s">
        <v>854</v>
      </c>
      <c r="B13">
        <f>ROW()</f>
        <v>13</v>
      </c>
      <c r="C13" t="s">
        <v>358</v>
      </c>
      <c r="D13" s="170"/>
      <c r="E13" s="173"/>
      <c r="F13" s="166"/>
      <c r="G13" s="166"/>
      <c r="H13" s="173"/>
      <c r="I13" s="166"/>
      <c r="J13" s="166"/>
      <c r="K13" s="173"/>
      <c r="L13" s="166"/>
      <c r="M13" s="166"/>
      <c r="N13" s="173"/>
      <c r="O13" s="200"/>
      <c r="P13" s="200"/>
    </row>
    <row r="14" spans="1:16" ht="14.25" x14ac:dyDescent="0.45">
      <c r="A14" t="s">
        <v>854</v>
      </c>
      <c r="B14">
        <f>ROW()</f>
        <v>14</v>
      </c>
      <c r="C14" t="s">
        <v>359</v>
      </c>
      <c r="D14" s="170"/>
      <c r="E14" s="173"/>
      <c r="F14" s="166"/>
      <c r="G14" s="166"/>
      <c r="H14" s="173"/>
      <c r="I14" s="166"/>
      <c r="J14" s="166"/>
      <c r="K14" s="173"/>
      <c r="L14" s="166"/>
      <c r="M14" s="166"/>
      <c r="N14" s="173"/>
      <c r="O14" s="200"/>
      <c r="P14" s="200"/>
    </row>
    <row r="15" spans="1:16" ht="14.25" x14ac:dyDescent="0.45">
      <c r="A15" t="s">
        <v>854</v>
      </c>
      <c r="B15">
        <f>ROW()</f>
        <v>15</v>
      </c>
      <c r="C15" t="s">
        <v>360</v>
      </c>
      <c r="D15" s="170"/>
      <c r="E15" s="173"/>
      <c r="F15" s="166"/>
      <c r="G15" s="166"/>
      <c r="H15" s="173"/>
      <c r="I15" s="166"/>
      <c r="J15" s="166"/>
      <c r="K15" s="173"/>
      <c r="L15" s="166"/>
      <c r="M15" s="166"/>
      <c r="N15" s="173"/>
      <c r="O15" s="200"/>
      <c r="P15" s="200"/>
    </row>
    <row r="16" spans="1:16" ht="14.25" x14ac:dyDescent="0.45">
      <c r="A16" s="162" t="s">
        <v>854</v>
      </c>
      <c r="B16" s="162">
        <f>ROW()</f>
        <v>16</v>
      </c>
      <c r="C16" s="162" t="s">
        <v>361</v>
      </c>
      <c r="D16" s="170"/>
      <c r="E16" s="173"/>
      <c r="F16" s="166"/>
      <c r="G16" s="166"/>
      <c r="H16" s="173"/>
      <c r="I16" s="166"/>
      <c r="J16" s="166"/>
      <c r="K16" s="173"/>
      <c r="L16" s="166"/>
      <c r="M16" s="166"/>
      <c r="N16" s="173"/>
      <c r="O16" s="200"/>
      <c r="P16" s="200"/>
    </row>
    <row r="17" spans="1:16" ht="14.25" x14ac:dyDescent="0.45">
      <c r="A17" t="s">
        <v>854</v>
      </c>
      <c r="B17">
        <f>ROW()</f>
        <v>17</v>
      </c>
      <c r="C17" t="s">
        <v>362</v>
      </c>
      <c r="D17" s="170"/>
      <c r="E17" s="173"/>
      <c r="F17" s="166"/>
      <c r="G17" s="166"/>
      <c r="H17" s="173"/>
      <c r="I17" s="166"/>
      <c r="J17" s="166"/>
      <c r="K17" s="173"/>
      <c r="L17" s="166"/>
      <c r="M17" s="166"/>
      <c r="N17" s="173"/>
      <c r="O17" s="200"/>
      <c r="P17" s="200"/>
    </row>
    <row r="18" spans="1:16" ht="14.25" x14ac:dyDescent="0.45">
      <c r="A18" t="s">
        <v>854</v>
      </c>
      <c r="B18">
        <f>ROW()</f>
        <v>18</v>
      </c>
      <c r="C18" t="s">
        <v>363</v>
      </c>
      <c r="D18" s="170"/>
      <c r="E18" s="173"/>
      <c r="F18" s="166"/>
      <c r="G18" s="166"/>
      <c r="H18" s="173"/>
      <c r="I18" s="166"/>
      <c r="J18" s="166"/>
      <c r="K18" s="173"/>
      <c r="L18" s="166"/>
      <c r="M18" s="166"/>
      <c r="N18" s="173"/>
      <c r="O18" s="200"/>
      <c r="P18" s="200"/>
    </row>
    <row r="19" spans="1:16" ht="14.25" x14ac:dyDescent="0.45">
      <c r="A19" t="s">
        <v>854</v>
      </c>
      <c r="B19">
        <f>ROW()</f>
        <v>19</v>
      </c>
      <c r="C19" t="s">
        <v>364</v>
      </c>
      <c r="D19" s="170"/>
      <c r="E19" s="173"/>
      <c r="F19" s="166"/>
      <c r="G19" s="166"/>
      <c r="H19" s="173"/>
      <c r="I19" s="166"/>
      <c r="J19" s="166"/>
      <c r="K19" s="173"/>
      <c r="L19" s="166"/>
      <c r="M19" s="166"/>
      <c r="N19" s="173"/>
      <c r="O19" s="200"/>
      <c r="P19" s="200"/>
    </row>
    <row r="20" spans="1:16" ht="14.25" x14ac:dyDescent="0.45">
      <c r="A20" t="s">
        <v>854</v>
      </c>
      <c r="B20">
        <f>ROW()</f>
        <v>20</v>
      </c>
      <c r="C20" t="s">
        <v>365</v>
      </c>
      <c r="D20" s="170"/>
      <c r="E20" s="173"/>
      <c r="F20" s="166"/>
      <c r="G20" s="166"/>
      <c r="H20" s="173"/>
      <c r="I20" s="166"/>
      <c r="J20" s="166"/>
      <c r="K20" s="173"/>
      <c r="L20" s="166"/>
      <c r="M20" s="166"/>
      <c r="N20" s="173"/>
      <c r="O20" s="200"/>
      <c r="P20" s="200"/>
    </row>
    <row r="21" spans="1:16" ht="14.25" x14ac:dyDescent="0.45">
      <c r="A21" t="s">
        <v>854</v>
      </c>
      <c r="B21">
        <f>ROW()</f>
        <v>21</v>
      </c>
      <c r="C21" t="s">
        <v>366</v>
      </c>
      <c r="D21" s="170"/>
      <c r="E21" s="173"/>
      <c r="F21" s="166"/>
      <c r="G21" s="166"/>
      <c r="H21" s="173"/>
      <c r="I21" s="166"/>
      <c r="J21" s="166"/>
      <c r="K21" s="173"/>
      <c r="L21" s="166"/>
      <c r="M21" s="166"/>
      <c r="N21" s="173"/>
      <c r="O21" s="200"/>
      <c r="P21" s="200"/>
    </row>
    <row r="22" spans="1:16" ht="14.25" x14ac:dyDescent="0.45">
      <c r="A22" s="162" t="s">
        <v>854</v>
      </c>
      <c r="B22" s="162">
        <f>ROW()</f>
        <v>22</v>
      </c>
      <c r="C22" s="162" t="s">
        <v>367</v>
      </c>
      <c r="D22" s="170"/>
      <c r="E22" s="173"/>
      <c r="F22" s="166"/>
      <c r="G22" s="166"/>
      <c r="H22" s="173"/>
      <c r="I22" s="166"/>
      <c r="J22" s="166"/>
      <c r="K22" s="173"/>
      <c r="L22" s="166"/>
      <c r="M22" s="166"/>
      <c r="N22" s="173"/>
      <c r="O22" s="200"/>
      <c r="P22" s="200"/>
    </row>
    <row r="23" spans="1:16" ht="14.25" x14ac:dyDescent="0.45">
      <c r="A23" t="s">
        <v>854</v>
      </c>
      <c r="B23">
        <f>ROW()</f>
        <v>23</v>
      </c>
      <c r="C23" t="s">
        <v>368</v>
      </c>
      <c r="D23" s="170"/>
      <c r="E23" s="173"/>
      <c r="F23" s="166"/>
      <c r="G23" s="166"/>
      <c r="H23" s="173"/>
      <c r="I23" s="166"/>
      <c r="J23" s="166"/>
      <c r="K23" s="173"/>
      <c r="L23" s="166"/>
      <c r="M23" s="166"/>
      <c r="N23" s="173"/>
      <c r="O23" s="200"/>
      <c r="P23" s="200"/>
    </row>
    <row r="24" spans="1:16" ht="14.25" x14ac:dyDescent="0.45">
      <c r="A24" t="s">
        <v>854</v>
      </c>
      <c r="B24">
        <f>ROW()</f>
        <v>24</v>
      </c>
      <c r="C24" t="s">
        <v>369</v>
      </c>
      <c r="D24" s="170"/>
      <c r="E24" s="173"/>
      <c r="F24" s="166"/>
      <c r="G24" s="166"/>
      <c r="H24" s="173"/>
      <c r="I24" s="166"/>
      <c r="J24" s="166"/>
      <c r="K24" s="173"/>
      <c r="L24" s="166"/>
      <c r="M24" s="166"/>
      <c r="N24" s="173"/>
      <c r="O24" s="200"/>
      <c r="P24" s="200"/>
    </row>
    <row r="25" spans="1:16" ht="14.25" x14ac:dyDescent="0.45">
      <c r="A25" t="s">
        <v>854</v>
      </c>
      <c r="B25">
        <f>ROW()</f>
        <v>25</v>
      </c>
      <c r="C25" t="s">
        <v>370</v>
      </c>
      <c r="D25" s="170"/>
      <c r="E25" s="173"/>
      <c r="F25" s="166"/>
      <c r="G25" s="166"/>
      <c r="H25" s="173"/>
      <c r="I25" s="166"/>
      <c r="J25" s="166"/>
      <c r="K25" s="173"/>
      <c r="L25" s="166"/>
      <c r="M25" s="166"/>
      <c r="N25" s="173"/>
      <c r="O25" s="200"/>
      <c r="P25" s="200"/>
    </row>
    <row r="26" spans="1:16" ht="14.25" x14ac:dyDescent="0.45">
      <c r="A26" t="s">
        <v>854</v>
      </c>
      <c r="B26">
        <f>ROW()</f>
        <v>26</v>
      </c>
      <c r="C26" t="s">
        <v>371</v>
      </c>
      <c r="D26" s="170"/>
      <c r="E26" s="173"/>
      <c r="F26" s="166"/>
      <c r="G26" s="166"/>
      <c r="H26" s="173"/>
      <c r="I26" s="166"/>
      <c r="J26" s="166"/>
      <c r="K26" s="173"/>
      <c r="L26" s="166"/>
      <c r="M26" s="166"/>
      <c r="N26" s="173"/>
      <c r="O26" s="200"/>
      <c r="P26" s="200"/>
    </row>
    <row r="27" spans="1:16" ht="14.25" x14ac:dyDescent="0.45">
      <c r="A27" t="s">
        <v>854</v>
      </c>
      <c r="B27">
        <f>ROW()</f>
        <v>27</v>
      </c>
      <c r="C27" t="s">
        <v>372</v>
      </c>
      <c r="D27" s="170"/>
      <c r="E27" s="173"/>
      <c r="F27" s="166"/>
      <c r="G27" s="166"/>
      <c r="H27" s="173"/>
      <c r="I27" s="166"/>
      <c r="J27" s="166"/>
      <c r="K27" s="173"/>
      <c r="L27" s="166"/>
      <c r="M27" s="166"/>
      <c r="N27" s="173"/>
      <c r="O27" s="200"/>
      <c r="P27" s="200"/>
    </row>
    <row r="28" spans="1:16" ht="14.25" x14ac:dyDescent="0.45">
      <c r="A28" s="162" t="s">
        <v>854</v>
      </c>
      <c r="B28" s="162">
        <f>ROW()</f>
        <v>28</v>
      </c>
      <c r="C28" s="162" t="s">
        <v>373</v>
      </c>
      <c r="D28" s="170"/>
      <c r="E28" s="173"/>
      <c r="F28" s="166"/>
      <c r="G28" s="166"/>
      <c r="H28" s="173"/>
      <c r="I28" s="166"/>
      <c r="J28" s="166"/>
      <c r="K28" s="173"/>
      <c r="L28" s="166"/>
      <c r="M28" s="166"/>
      <c r="N28" s="173"/>
      <c r="O28" s="200"/>
      <c r="P28" s="200"/>
    </row>
    <row r="29" spans="1:16" ht="14.25" x14ac:dyDescent="0.45">
      <c r="A29" t="s">
        <v>854</v>
      </c>
      <c r="B29">
        <f>ROW()</f>
        <v>29</v>
      </c>
      <c r="C29" t="s">
        <v>374</v>
      </c>
      <c r="D29" s="170"/>
      <c r="E29" s="173"/>
      <c r="F29" s="166"/>
      <c r="G29" s="166"/>
      <c r="H29" s="173"/>
      <c r="I29" s="166"/>
      <c r="J29" s="166"/>
      <c r="K29" s="173"/>
      <c r="L29" s="166"/>
      <c r="M29" s="166"/>
      <c r="N29" s="173"/>
      <c r="O29" s="200"/>
      <c r="P29" s="200"/>
    </row>
    <row r="30" spans="1:16" ht="14.25" x14ac:dyDescent="0.45">
      <c r="A30" t="s">
        <v>854</v>
      </c>
      <c r="B30">
        <f>ROW()</f>
        <v>30</v>
      </c>
      <c r="C30" s="30" t="s">
        <v>325</v>
      </c>
      <c r="D30" s="83"/>
      <c r="E30" s="171">
        <f>SUM(E4:E29)</f>
        <v>0</v>
      </c>
      <c r="F30" s="171">
        <f>SUM(F4:F29)</f>
        <v>0</v>
      </c>
      <c r="G30" s="171">
        <f t="shared" ref="G30:L30" si="0">SUM(G4:G29)</f>
        <v>0</v>
      </c>
      <c r="H30" s="171">
        <f>SUM(H4:H29)</f>
        <v>0</v>
      </c>
      <c r="I30" s="171">
        <f t="shared" si="0"/>
        <v>0</v>
      </c>
      <c r="J30" s="171">
        <f t="shared" si="0"/>
        <v>0</v>
      </c>
      <c r="K30" s="171">
        <f t="shared" si="0"/>
        <v>0</v>
      </c>
      <c r="L30" s="171">
        <f t="shared" si="0"/>
        <v>0</v>
      </c>
      <c r="M30" s="171">
        <f>SUM(M4:M29)</f>
        <v>0</v>
      </c>
      <c r="N30" s="171">
        <f>SUM(N4:N29)</f>
        <v>0</v>
      </c>
      <c r="O30" s="171">
        <f>SUM(O4:O29)</f>
        <v>0</v>
      </c>
      <c r="P30" s="171">
        <f>SUM(P4:P29)</f>
        <v>0</v>
      </c>
    </row>
  </sheetData>
  <pageMargins left="0.7" right="0.7" top="0.75" bottom="0.75" header="0.3" footer="0.3"/>
  <pageSetup paperSize="9" scale="40" fitToHeight="0" orientation="landscape"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2C320-61E9-4D44-8C79-140BDD4F6097}">
  <sheetPr codeName="Sheet21">
    <pageSetUpPr fitToPage="1"/>
  </sheetPr>
  <dimension ref="A1:K122"/>
  <sheetViews>
    <sheetView zoomScale="70" zoomScaleNormal="70" workbookViewId="0"/>
  </sheetViews>
  <sheetFormatPr defaultRowHeight="14.45" customHeight="1" x14ac:dyDescent="0.45"/>
  <cols>
    <col min="1" max="1" width="38.1328125" customWidth="1"/>
    <col min="2" max="2" width="10" bestFit="1" customWidth="1"/>
    <col min="3" max="3" width="88" customWidth="1"/>
    <col min="4" max="4" width="51.1328125" bestFit="1" customWidth="1"/>
    <col min="5" max="5" width="17.73046875" bestFit="1" customWidth="1"/>
    <col min="6" max="8" width="28" bestFit="1" customWidth="1"/>
    <col min="9" max="9" width="28.3984375" bestFit="1" customWidth="1"/>
    <col min="10" max="11" width="28" bestFit="1" customWidth="1"/>
    <col min="12" max="12" width="3.3984375" customWidth="1"/>
  </cols>
  <sheetData>
    <row r="1" spans="1:11" ht="23.25" x14ac:dyDescent="0.45">
      <c r="A1" s="146" t="s">
        <v>1172</v>
      </c>
    </row>
    <row r="2" spans="1:11" ht="21" x14ac:dyDescent="0.65">
      <c r="A2" s="129" t="s">
        <v>813</v>
      </c>
    </row>
    <row r="3" spans="1:11" ht="56.65" customHeight="1" x14ac:dyDescent="0.45">
      <c r="A3" s="119" t="s">
        <v>78</v>
      </c>
      <c r="B3" s="119" t="s">
        <v>79</v>
      </c>
      <c r="C3" s="119" t="s">
        <v>208</v>
      </c>
      <c r="D3" s="119" t="s">
        <v>1244</v>
      </c>
      <c r="E3" s="119" t="s">
        <v>1245</v>
      </c>
      <c r="F3" s="119" t="s">
        <v>1092</v>
      </c>
      <c r="G3" s="119" t="s">
        <v>1093</v>
      </c>
      <c r="H3" s="119" t="s">
        <v>1094</v>
      </c>
      <c r="I3" s="119" t="s">
        <v>1095</v>
      </c>
      <c r="J3" s="119" t="s">
        <v>1096</v>
      </c>
      <c r="K3" s="119" t="s">
        <v>1097</v>
      </c>
    </row>
    <row r="4" spans="1:11" ht="14.25" x14ac:dyDescent="0.45">
      <c r="A4" t="s">
        <v>813</v>
      </c>
      <c r="B4" s="162">
        <f>ROW()</f>
        <v>4</v>
      </c>
      <c r="C4" s="162" t="s">
        <v>432</v>
      </c>
      <c r="D4" s="170"/>
      <c r="E4" s="162"/>
      <c r="F4" s="140"/>
      <c r="G4" s="140"/>
      <c r="H4" s="140"/>
      <c r="I4" s="140"/>
      <c r="J4" s="140"/>
      <c r="K4" s="140"/>
    </row>
    <row r="5" spans="1:11" ht="14.25" x14ac:dyDescent="0.45">
      <c r="A5" t="s">
        <v>813</v>
      </c>
      <c r="B5" s="162">
        <f>ROW()</f>
        <v>5</v>
      </c>
      <c r="C5" s="162" t="s">
        <v>432</v>
      </c>
      <c r="D5" s="170"/>
      <c r="E5" s="162"/>
      <c r="F5" s="140"/>
      <c r="G5" s="140"/>
      <c r="H5" s="140"/>
      <c r="I5" s="140"/>
      <c r="J5" s="140"/>
      <c r="K5" s="140"/>
    </row>
    <row r="6" spans="1:11" ht="14.25" x14ac:dyDescent="0.45">
      <c r="A6" t="s">
        <v>813</v>
      </c>
      <c r="B6" s="162">
        <f>ROW()</f>
        <v>6</v>
      </c>
      <c r="C6" s="162" t="s">
        <v>432</v>
      </c>
      <c r="D6" s="170"/>
      <c r="E6" s="162"/>
      <c r="F6" s="140"/>
      <c r="G6" s="140"/>
      <c r="H6" s="140"/>
      <c r="I6" s="140"/>
      <c r="J6" s="140"/>
      <c r="K6" s="140"/>
    </row>
    <row r="7" spans="1:11" ht="14.25" x14ac:dyDescent="0.45">
      <c r="A7" t="s">
        <v>813</v>
      </c>
      <c r="B7" s="162">
        <f>ROW()</f>
        <v>7</v>
      </c>
      <c r="C7" s="162" t="s">
        <v>432</v>
      </c>
      <c r="D7" s="170"/>
      <c r="E7" s="162"/>
      <c r="F7" s="140"/>
      <c r="G7" s="140"/>
      <c r="H7" s="140"/>
      <c r="I7" s="140"/>
      <c r="J7" s="140"/>
      <c r="K7" s="140"/>
    </row>
    <row r="8" spans="1:11" ht="14.25" x14ac:dyDescent="0.45">
      <c r="A8" t="s">
        <v>813</v>
      </c>
      <c r="B8" s="162">
        <f>ROW()</f>
        <v>8</v>
      </c>
      <c r="C8" s="162" t="s">
        <v>432</v>
      </c>
      <c r="D8" s="170"/>
      <c r="E8" s="162"/>
      <c r="F8" s="140"/>
      <c r="G8" s="140"/>
      <c r="H8" s="140"/>
      <c r="I8" s="140"/>
      <c r="J8" s="140"/>
      <c r="K8" s="140"/>
    </row>
    <row r="9" spans="1:11" ht="14.25" x14ac:dyDescent="0.45">
      <c r="A9" t="s">
        <v>813</v>
      </c>
      <c r="B9" s="162">
        <f>ROW()</f>
        <v>9</v>
      </c>
      <c r="C9" s="162" t="s">
        <v>432</v>
      </c>
      <c r="D9" s="170"/>
      <c r="E9" s="162"/>
      <c r="F9" s="140"/>
      <c r="G9" s="140"/>
      <c r="H9" s="140"/>
      <c r="I9" s="140"/>
      <c r="J9" s="140"/>
      <c r="K9" s="140"/>
    </row>
    <row r="10" spans="1:11" ht="14.25" x14ac:dyDescent="0.45">
      <c r="A10" t="s">
        <v>813</v>
      </c>
      <c r="B10" s="162">
        <f>ROW()</f>
        <v>10</v>
      </c>
      <c r="C10" s="162" t="s">
        <v>432</v>
      </c>
      <c r="D10" s="170"/>
      <c r="E10" s="162"/>
      <c r="F10" s="140"/>
      <c r="G10" s="140"/>
      <c r="H10" s="140"/>
      <c r="I10" s="140"/>
      <c r="J10" s="140"/>
      <c r="K10" s="140"/>
    </row>
    <row r="11" spans="1:11" ht="14.25" x14ac:dyDescent="0.45">
      <c r="A11" t="s">
        <v>813</v>
      </c>
      <c r="B11" s="162">
        <f>ROW()</f>
        <v>11</v>
      </c>
      <c r="C11" s="162" t="s">
        <v>432</v>
      </c>
      <c r="D11" s="170"/>
      <c r="E11" s="162"/>
      <c r="F11" s="140"/>
      <c r="G11" s="140"/>
      <c r="H11" s="140"/>
      <c r="I11" s="140"/>
      <c r="J11" s="140"/>
      <c r="K11" s="140"/>
    </row>
    <row r="12" spans="1:11" ht="14.25" x14ac:dyDescent="0.45">
      <c r="A12" t="s">
        <v>813</v>
      </c>
      <c r="B12" s="162">
        <f>ROW()</f>
        <v>12</v>
      </c>
      <c r="C12" s="162" t="s">
        <v>432</v>
      </c>
      <c r="D12" s="170"/>
      <c r="E12" s="162"/>
      <c r="F12" s="140"/>
      <c r="G12" s="140"/>
      <c r="H12" s="140"/>
      <c r="I12" s="140"/>
      <c r="J12" s="140"/>
      <c r="K12" s="140"/>
    </row>
    <row r="13" spans="1:11" ht="14.25" x14ac:dyDescent="0.45">
      <c r="A13" t="s">
        <v>813</v>
      </c>
      <c r="B13" s="162">
        <f>ROW()</f>
        <v>13</v>
      </c>
      <c r="C13" s="162" t="s">
        <v>432</v>
      </c>
      <c r="D13" s="170"/>
      <c r="E13" s="162"/>
      <c r="F13" s="140"/>
      <c r="G13" s="140"/>
      <c r="H13" s="140"/>
      <c r="I13" s="140"/>
      <c r="J13" s="140"/>
      <c r="K13" s="140"/>
    </row>
    <row r="14" spans="1:11" ht="14.25" x14ac:dyDescent="0.45">
      <c r="A14" t="s">
        <v>813</v>
      </c>
      <c r="B14" s="162">
        <f>ROW()</f>
        <v>14</v>
      </c>
      <c r="C14" s="162" t="s">
        <v>432</v>
      </c>
      <c r="D14" s="170"/>
      <c r="E14" s="162"/>
      <c r="F14" s="140"/>
      <c r="G14" s="140"/>
      <c r="H14" s="140"/>
      <c r="I14" s="140"/>
      <c r="J14" s="140"/>
      <c r="K14" s="140"/>
    </row>
    <row r="15" spans="1:11" ht="14.25" x14ac:dyDescent="0.45">
      <c r="A15" t="s">
        <v>813</v>
      </c>
      <c r="B15" s="162">
        <f>ROW()</f>
        <v>15</v>
      </c>
      <c r="C15" s="162" t="s">
        <v>432</v>
      </c>
      <c r="D15" s="170"/>
      <c r="E15" s="162"/>
      <c r="F15" s="140"/>
      <c r="G15" s="140"/>
      <c r="H15" s="140"/>
      <c r="I15" s="140"/>
      <c r="J15" s="140"/>
      <c r="K15" s="140"/>
    </row>
    <row r="16" spans="1:11" ht="14.25" x14ac:dyDescent="0.45">
      <c r="A16" t="s">
        <v>813</v>
      </c>
      <c r="B16" s="162">
        <f>ROW()</f>
        <v>16</v>
      </c>
      <c r="C16" s="162" t="s">
        <v>432</v>
      </c>
      <c r="D16" s="170"/>
      <c r="E16" s="162"/>
      <c r="F16" s="140"/>
      <c r="G16" s="140"/>
      <c r="H16" s="140"/>
      <c r="I16" s="140"/>
      <c r="J16" s="140"/>
      <c r="K16" s="140"/>
    </row>
    <row r="17" spans="1:11" ht="14.25" x14ac:dyDescent="0.45">
      <c r="A17" t="s">
        <v>813</v>
      </c>
      <c r="B17" s="162">
        <f>ROW()</f>
        <v>17</v>
      </c>
      <c r="C17" s="162" t="s">
        <v>432</v>
      </c>
      <c r="D17" s="170"/>
      <c r="E17" s="162"/>
      <c r="F17" s="140"/>
      <c r="G17" s="140"/>
      <c r="H17" s="140"/>
      <c r="I17" s="140"/>
      <c r="J17" s="140"/>
      <c r="K17" s="140"/>
    </row>
    <row r="18" spans="1:11" ht="14.25" x14ac:dyDescent="0.45">
      <c r="A18" t="s">
        <v>813</v>
      </c>
      <c r="B18" s="162">
        <f>ROW()</f>
        <v>18</v>
      </c>
      <c r="C18" s="162" t="s">
        <v>432</v>
      </c>
      <c r="D18" s="170"/>
      <c r="E18" s="162"/>
      <c r="F18" s="140"/>
      <c r="G18" s="140"/>
      <c r="H18" s="140"/>
      <c r="I18" s="140"/>
      <c r="J18" s="140"/>
      <c r="K18" s="140"/>
    </row>
    <row r="19" spans="1:11" ht="14.25" x14ac:dyDescent="0.45">
      <c r="A19" t="s">
        <v>813</v>
      </c>
      <c r="B19" s="162">
        <f>ROW()</f>
        <v>19</v>
      </c>
      <c r="C19" s="162" t="s">
        <v>432</v>
      </c>
      <c r="D19" s="170"/>
      <c r="E19" s="162"/>
      <c r="F19" s="140"/>
      <c r="G19" s="140"/>
      <c r="H19" s="140"/>
      <c r="I19" s="140"/>
      <c r="J19" s="140"/>
      <c r="K19" s="140"/>
    </row>
    <row r="20" spans="1:11" ht="14.25" x14ac:dyDescent="0.45">
      <c r="A20" t="s">
        <v>813</v>
      </c>
      <c r="B20" s="162">
        <f>ROW()</f>
        <v>20</v>
      </c>
      <c r="C20" s="162" t="s">
        <v>432</v>
      </c>
      <c r="D20" s="145" t="s">
        <v>375</v>
      </c>
      <c r="E20" s="201"/>
      <c r="F20" s="158">
        <f t="shared" ref="F20:K20" si="0">SUM(F4:F19)</f>
        <v>0</v>
      </c>
      <c r="G20" s="158">
        <f t="shared" si="0"/>
        <v>0</v>
      </c>
      <c r="H20" s="158">
        <f t="shared" si="0"/>
        <v>0</v>
      </c>
      <c r="I20" s="158">
        <f t="shared" si="0"/>
        <v>0</v>
      </c>
      <c r="J20" s="158">
        <f t="shared" si="0"/>
        <v>0</v>
      </c>
      <c r="K20" s="158">
        <f t="shared" si="0"/>
        <v>0</v>
      </c>
    </row>
    <row r="21" spans="1:11" ht="14.25" x14ac:dyDescent="0.45">
      <c r="A21" t="s">
        <v>813</v>
      </c>
      <c r="B21" s="162">
        <f>ROW()</f>
        <v>21</v>
      </c>
      <c r="C21" s="162" t="s">
        <v>432</v>
      </c>
      <c r="D21" s="201" t="s">
        <v>376</v>
      </c>
      <c r="E21" s="162"/>
      <c r="F21" s="140"/>
      <c r="G21" s="140"/>
      <c r="H21" s="140"/>
      <c r="I21" s="140"/>
      <c r="J21" s="140"/>
      <c r="K21" s="140"/>
    </row>
    <row r="22" spans="1:11" ht="14.25" x14ac:dyDescent="0.45">
      <c r="A22" t="s">
        <v>813</v>
      </c>
      <c r="B22" s="162">
        <f>ROW()</f>
        <v>22</v>
      </c>
      <c r="C22" s="162" t="s">
        <v>432</v>
      </c>
      <c r="D22" s="201" t="s">
        <v>377</v>
      </c>
      <c r="E22" s="162"/>
      <c r="F22" s="140"/>
      <c r="G22" s="140"/>
      <c r="H22" s="140"/>
      <c r="I22" s="140"/>
      <c r="J22" s="140"/>
      <c r="K22" s="140"/>
    </row>
    <row r="23" spans="1:11" ht="14.25" x14ac:dyDescent="0.45">
      <c r="A23" t="s">
        <v>813</v>
      </c>
      <c r="B23" s="162">
        <f>ROW()</f>
        <v>23</v>
      </c>
      <c r="C23" s="162" t="s">
        <v>432</v>
      </c>
      <c r="D23" s="145" t="s">
        <v>378</v>
      </c>
      <c r="E23" s="201"/>
      <c r="F23" s="158">
        <f t="shared" ref="F23:K23" si="1">F20+F21+F22</f>
        <v>0</v>
      </c>
      <c r="G23" s="158">
        <f t="shared" si="1"/>
        <v>0</v>
      </c>
      <c r="H23" s="158">
        <f t="shared" si="1"/>
        <v>0</v>
      </c>
      <c r="I23" s="158">
        <f t="shared" si="1"/>
        <v>0</v>
      </c>
      <c r="J23" s="158">
        <f t="shared" si="1"/>
        <v>0</v>
      </c>
      <c r="K23" s="158">
        <f t="shared" si="1"/>
        <v>0</v>
      </c>
    </row>
    <row r="24" spans="1:11" ht="14.25" x14ac:dyDescent="0.45">
      <c r="A24" t="s">
        <v>813</v>
      </c>
      <c r="B24" s="162">
        <f>ROW()</f>
        <v>24</v>
      </c>
      <c r="C24" s="162" t="s">
        <v>432</v>
      </c>
      <c r="D24" s="201" t="s">
        <v>954</v>
      </c>
      <c r="E24" s="162"/>
      <c r="F24" s="140"/>
      <c r="G24" s="140"/>
      <c r="H24" s="140"/>
      <c r="I24" s="140"/>
      <c r="J24" s="140"/>
      <c r="K24" s="140"/>
    </row>
    <row r="25" spans="1:11" ht="14.25" x14ac:dyDescent="0.45">
      <c r="A25" t="s">
        <v>813</v>
      </c>
      <c r="B25" s="162">
        <f>ROW()</f>
        <v>25</v>
      </c>
      <c r="C25" s="162" t="s">
        <v>432</v>
      </c>
      <c r="D25" s="145" t="s">
        <v>955</v>
      </c>
      <c r="E25" s="162"/>
      <c r="F25" s="158" t="str">
        <f>IFERROR(F24/F20,"")</f>
        <v/>
      </c>
      <c r="G25" s="158" t="str">
        <f>IFERROR(G24/G20,"")</f>
        <v/>
      </c>
      <c r="H25" s="158" t="str">
        <f t="shared" ref="H25:J25" si="2">IFERROR(H24/H20,"")</f>
        <v/>
      </c>
      <c r="I25" s="158" t="str">
        <f t="shared" si="2"/>
        <v/>
      </c>
      <c r="J25" s="158" t="str">
        <f t="shared" si="2"/>
        <v/>
      </c>
      <c r="K25" s="158" t="str">
        <f>IFERROR(K24/K20,"")</f>
        <v/>
      </c>
    </row>
    <row r="26" spans="1:11" ht="14.25" x14ac:dyDescent="0.45">
      <c r="A26" t="s">
        <v>813</v>
      </c>
      <c r="B26" s="162">
        <f>ROW()</f>
        <v>26</v>
      </c>
      <c r="C26" s="162" t="s">
        <v>432</v>
      </c>
      <c r="D26" s="145" t="s">
        <v>956</v>
      </c>
      <c r="E26" s="162"/>
      <c r="F26" s="202" t="str">
        <f>IFERROR(F58*1000/F20,"")</f>
        <v/>
      </c>
      <c r="G26" s="202" t="str">
        <f t="shared" ref="G26:K26" si="3">IFERROR(G58*1000/G20,"")</f>
        <v/>
      </c>
      <c r="H26" s="202" t="str">
        <f t="shared" si="3"/>
        <v/>
      </c>
      <c r="I26" s="202" t="str">
        <f t="shared" si="3"/>
        <v/>
      </c>
      <c r="J26" s="202" t="str">
        <f t="shared" si="3"/>
        <v/>
      </c>
      <c r="K26" s="202" t="str">
        <f t="shared" si="3"/>
        <v/>
      </c>
    </row>
    <row r="27" spans="1:11" ht="14.25" x14ac:dyDescent="0.45"/>
    <row r="28" spans="1:11" ht="14.25" x14ac:dyDescent="0.45"/>
    <row r="29" spans="1:11" ht="21" x14ac:dyDescent="0.65">
      <c r="A29" s="129" t="s">
        <v>814</v>
      </c>
    </row>
    <row r="30" spans="1:11" ht="56.65" customHeight="1" x14ac:dyDescent="0.45">
      <c r="A30" s="119" t="s">
        <v>78</v>
      </c>
      <c r="B30" s="119" t="s">
        <v>79</v>
      </c>
      <c r="C30" s="119" t="s">
        <v>208</v>
      </c>
      <c r="D30" s="119" t="s">
        <v>1244</v>
      </c>
      <c r="E30" s="119" t="s">
        <v>1245</v>
      </c>
      <c r="F30" s="119" t="s">
        <v>1098</v>
      </c>
      <c r="G30" s="119" t="s">
        <v>1099</v>
      </c>
      <c r="H30" s="119" t="s">
        <v>1100</v>
      </c>
      <c r="I30" s="119" t="s">
        <v>1101</v>
      </c>
      <c r="J30" s="119" t="s">
        <v>1102</v>
      </c>
      <c r="K30" s="119" t="s">
        <v>1103</v>
      </c>
    </row>
    <row r="31" spans="1:11" ht="14.25" x14ac:dyDescent="0.45">
      <c r="A31" t="s">
        <v>814</v>
      </c>
      <c r="B31">
        <f>ROW()</f>
        <v>31</v>
      </c>
      <c r="C31" t="s">
        <v>1112</v>
      </c>
      <c r="D31" s="74" t="s">
        <v>350</v>
      </c>
      <c r="F31" s="203"/>
      <c r="G31" s="203"/>
      <c r="H31" s="203"/>
      <c r="I31" s="203"/>
      <c r="J31" s="203"/>
      <c r="K31" s="203"/>
    </row>
    <row r="32" spans="1:11" ht="14.25" x14ac:dyDescent="0.45">
      <c r="A32" t="s">
        <v>814</v>
      </c>
      <c r="B32">
        <f>ROW()</f>
        <v>32</v>
      </c>
      <c r="C32" t="s">
        <v>1112</v>
      </c>
      <c r="D32" s="74" t="s">
        <v>351</v>
      </c>
      <c r="F32" s="203"/>
      <c r="G32" s="203"/>
      <c r="H32" s="203"/>
      <c r="I32" s="203"/>
      <c r="J32" s="203"/>
      <c r="K32" s="203"/>
    </row>
    <row r="33" spans="1:11" ht="14.25" x14ac:dyDescent="0.45">
      <c r="A33" t="s">
        <v>814</v>
      </c>
      <c r="B33">
        <f>ROW()</f>
        <v>33</v>
      </c>
      <c r="C33" t="s">
        <v>1112</v>
      </c>
      <c r="D33" s="74" t="s">
        <v>352</v>
      </c>
      <c r="F33" s="203"/>
      <c r="G33" s="203"/>
      <c r="H33" s="203"/>
      <c r="I33" s="203"/>
      <c r="J33" s="203"/>
      <c r="K33" s="203"/>
    </row>
    <row r="34" spans="1:11" ht="14.25" x14ac:dyDescent="0.45">
      <c r="A34" t="s">
        <v>814</v>
      </c>
      <c r="B34">
        <f>ROW()</f>
        <v>34</v>
      </c>
      <c r="C34" t="s">
        <v>1112</v>
      </c>
      <c r="D34" s="74" t="s">
        <v>353</v>
      </c>
      <c r="F34" s="203"/>
      <c r="G34" s="203"/>
      <c r="H34" s="203"/>
      <c r="I34" s="203"/>
      <c r="J34" s="203"/>
      <c r="K34" s="203"/>
    </row>
    <row r="35" spans="1:11" ht="14.25" x14ac:dyDescent="0.45">
      <c r="A35" t="s">
        <v>814</v>
      </c>
      <c r="B35">
        <f>ROW()</f>
        <v>35</v>
      </c>
      <c r="C35" t="s">
        <v>1112</v>
      </c>
      <c r="D35" s="74" t="s">
        <v>354</v>
      </c>
      <c r="F35" s="203"/>
      <c r="G35" s="203"/>
      <c r="H35" s="203"/>
      <c r="I35" s="203"/>
      <c r="J35" s="203"/>
      <c r="K35" s="203"/>
    </row>
    <row r="36" spans="1:11" ht="14.25" x14ac:dyDescent="0.45">
      <c r="A36" t="s">
        <v>814</v>
      </c>
      <c r="B36">
        <f>ROW()</f>
        <v>36</v>
      </c>
      <c r="C36" t="s">
        <v>1112</v>
      </c>
      <c r="D36" s="74" t="s">
        <v>355</v>
      </c>
      <c r="F36" s="203"/>
      <c r="G36" s="203"/>
      <c r="H36" s="203"/>
      <c r="I36" s="203"/>
      <c r="J36" s="203"/>
      <c r="K36" s="203"/>
    </row>
    <row r="37" spans="1:11" ht="14.25" x14ac:dyDescent="0.45">
      <c r="A37" t="s">
        <v>814</v>
      </c>
      <c r="B37">
        <f>ROW()</f>
        <v>37</v>
      </c>
      <c r="C37" t="s">
        <v>1112</v>
      </c>
      <c r="D37" s="74" t="s">
        <v>379</v>
      </c>
      <c r="F37" s="203"/>
      <c r="G37" s="203"/>
      <c r="H37" s="203"/>
      <c r="I37" s="203"/>
      <c r="J37" s="203"/>
      <c r="K37" s="203"/>
    </row>
    <row r="38" spans="1:11" ht="14.25" x14ac:dyDescent="0.45">
      <c r="A38" t="s">
        <v>814</v>
      </c>
      <c r="B38">
        <f>ROW()</f>
        <v>38</v>
      </c>
      <c r="C38" t="s">
        <v>1112</v>
      </c>
      <c r="D38" s="74" t="s">
        <v>356</v>
      </c>
      <c r="F38" s="203"/>
      <c r="G38" s="140"/>
      <c r="H38" s="203"/>
      <c r="I38" s="203"/>
      <c r="J38" s="203"/>
      <c r="K38" s="203"/>
    </row>
    <row r="39" spans="1:11" ht="14.25" x14ac:dyDescent="0.45">
      <c r="A39" t="s">
        <v>814</v>
      </c>
      <c r="B39">
        <f>ROW()</f>
        <v>39</v>
      </c>
      <c r="C39" t="s">
        <v>1112</v>
      </c>
      <c r="D39" s="74" t="s">
        <v>357</v>
      </c>
      <c r="F39" s="203"/>
      <c r="G39" s="203"/>
      <c r="H39" s="203"/>
      <c r="I39" s="203"/>
      <c r="J39" s="203"/>
      <c r="K39" s="203"/>
    </row>
    <row r="40" spans="1:11" ht="14.25" x14ac:dyDescent="0.45">
      <c r="A40" t="s">
        <v>814</v>
      </c>
      <c r="B40">
        <f>ROW()</f>
        <v>40</v>
      </c>
      <c r="C40" t="s">
        <v>1112</v>
      </c>
      <c r="D40" s="74" t="s">
        <v>358</v>
      </c>
      <c r="F40" s="203"/>
      <c r="G40" s="203"/>
      <c r="H40" s="203"/>
      <c r="I40" s="203"/>
      <c r="J40" s="203"/>
      <c r="K40" s="203"/>
    </row>
    <row r="41" spans="1:11" ht="14.25" x14ac:dyDescent="0.45">
      <c r="A41" t="s">
        <v>814</v>
      </c>
      <c r="B41">
        <f>ROW()</f>
        <v>41</v>
      </c>
      <c r="C41" t="s">
        <v>1112</v>
      </c>
      <c r="D41" s="74" t="s">
        <v>359</v>
      </c>
      <c r="F41" s="203"/>
      <c r="G41" s="203"/>
      <c r="H41" s="203"/>
      <c r="I41" s="203"/>
      <c r="J41" s="203"/>
      <c r="K41" s="203"/>
    </row>
    <row r="42" spans="1:11" ht="14.25" x14ac:dyDescent="0.45">
      <c r="A42" t="s">
        <v>814</v>
      </c>
      <c r="B42">
        <f>ROW()</f>
        <v>42</v>
      </c>
      <c r="C42" t="s">
        <v>1112</v>
      </c>
      <c r="D42" s="74" t="s">
        <v>360</v>
      </c>
      <c r="F42" s="203"/>
      <c r="G42" s="203"/>
      <c r="H42" s="203"/>
      <c r="I42" s="203"/>
      <c r="J42" s="203"/>
      <c r="K42" s="203"/>
    </row>
    <row r="43" spans="1:11" ht="14.25" x14ac:dyDescent="0.45">
      <c r="A43" t="s">
        <v>814</v>
      </c>
      <c r="B43">
        <f>ROW()</f>
        <v>43</v>
      </c>
      <c r="C43" t="s">
        <v>1112</v>
      </c>
      <c r="D43" s="74" t="s">
        <v>380</v>
      </c>
      <c r="F43" s="203"/>
      <c r="G43" s="203"/>
      <c r="H43" s="203"/>
      <c r="I43" s="203"/>
      <c r="J43" s="203"/>
      <c r="K43" s="203"/>
    </row>
    <row r="44" spans="1:11" ht="14.25" x14ac:dyDescent="0.45">
      <c r="A44" t="s">
        <v>814</v>
      </c>
      <c r="B44">
        <f>ROW()</f>
        <v>44</v>
      </c>
      <c r="C44" t="s">
        <v>1112</v>
      </c>
      <c r="D44" s="74" t="s">
        <v>362</v>
      </c>
      <c r="F44" s="203"/>
      <c r="G44" s="203"/>
      <c r="H44" s="203"/>
      <c r="I44" s="203"/>
      <c r="J44" s="203"/>
      <c r="K44" s="203"/>
    </row>
    <row r="45" spans="1:11" ht="14.25" x14ac:dyDescent="0.45">
      <c r="A45" t="s">
        <v>814</v>
      </c>
      <c r="B45">
        <f>ROW()</f>
        <v>45</v>
      </c>
      <c r="C45" t="s">
        <v>1112</v>
      </c>
      <c r="D45" s="74" t="s">
        <v>363</v>
      </c>
      <c r="F45" s="203"/>
      <c r="G45" s="203"/>
      <c r="H45" s="203"/>
      <c r="I45" s="203"/>
      <c r="J45" s="203"/>
      <c r="K45" s="203"/>
    </row>
    <row r="46" spans="1:11" ht="14.25" x14ac:dyDescent="0.45">
      <c r="A46" t="s">
        <v>814</v>
      </c>
      <c r="B46">
        <f>ROW()</f>
        <v>46</v>
      </c>
      <c r="C46" t="s">
        <v>1112</v>
      </c>
      <c r="D46" s="74" t="s">
        <v>364</v>
      </c>
      <c r="F46" s="203"/>
      <c r="G46" s="203"/>
      <c r="H46" s="203"/>
      <c r="I46" s="203"/>
      <c r="J46" s="203"/>
      <c r="K46" s="203"/>
    </row>
    <row r="47" spans="1:11" ht="14.25" x14ac:dyDescent="0.45">
      <c r="A47" t="s">
        <v>814</v>
      </c>
      <c r="B47">
        <f>ROW()</f>
        <v>47</v>
      </c>
      <c r="C47" t="s">
        <v>1112</v>
      </c>
      <c r="D47" s="74" t="s">
        <v>365</v>
      </c>
      <c r="F47" s="203"/>
      <c r="G47" s="203"/>
      <c r="H47" s="203"/>
      <c r="I47" s="203"/>
      <c r="J47" s="203"/>
      <c r="K47" s="203"/>
    </row>
    <row r="48" spans="1:11" ht="14.25" x14ac:dyDescent="0.45">
      <c r="A48" t="s">
        <v>814</v>
      </c>
      <c r="B48">
        <f>ROW()</f>
        <v>48</v>
      </c>
      <c r="C48" t="s">
        <v>1112</v>
      </c>
      <c r="D48" s="74" t="s">
        <v>366</v>
      </c>
      <c r="F48" s="203"/>
      <c r="G48" s="203"/>
      <c r="H48" s="203"/>
      <c r="I48" s="203"/>
      <c r="J48" s="203"/>
      <c r="K48" s="203"/>
    </row>
    <row r="49" spans="1:11" ht="14.25" x14ac:dyDescent="0.45">
      <c r="A49" t="s">
        <v>814</v>
      </c>
      <c r="B49">
        <f>ROW()</f>
        <v>49</v>
      </c>
      <c r="C49" t="s">
        <v>1112</v>
      </c>
      <c r="D49" s="74" t="s">
        <v>367</v>
      </c>
      <c r="F49" s="203"/>
      <c r="G49" s="203"/>
      <c r="H49" s="203"/>
      <c r="I49" s="203"/>
      <c r="J49" s="203"/>
      <c r="K49" s="203"/>
    </row>
    <row r="50" spans="1:11" ht="14.25" x14ac:dyDescent="0.45">
      <c r="A50" t="s">
        <v>814</v>
      </c>
      <c r="B50">
        <f>ROW()</f>
        <v>50</v>
      </c>
      <c r="C50" t="s">
        <v>1112</v>
      </c>
      <c r="D50" s="74" t="s">
        <v>368</v>
      </c>
      <c r="F50" s="203"/>
      <c r="G50" s="203"/>
      <c r="H50" s="203"/>
      <c r="I50" s="203"/>
      <c r="J50" s="203"/>
      <c r="K50" s="203"/>
    </row>
    <row r="51" spans="1:11" ht="14.25" x14ac:dyDescent="0.45">
      <c r="A51" t="s">
        <v>814</v>
      </c>
      <c r="B51">
        <f>ROW()</f>
        <v>51</v>
      </c>
      <c r="C51" t="s">
        <v>1112</v>
      </c>
      <c r="D51" s="74" t="s">
        <v>369</v>
      </c>
      <c r="F51" s="203"/>
      <c r="G51" s="203"/>
      <c r="H51" s="203"/>
      <c r="I51" s="203"/>
      <c r="J51" s="203"/>
      <c r="K51" s="203"/>
    </row>
    <row r="52" spans="1:11" ht="14.25" x14ac:dyDescent="0.45">
      <c r="A52" t="s">
        <v>814</v>
      </c>
      <c r="B52">
        <f>ROW()</f>
        <v>52</v>
      </c>
      <c r="C52" t="s">
        <v>1112</v>
      </c>
      <c r="D52" s="74" t="s">
        <v>370</v>
      </c>
      <c r="F52" s="203"/>
      <c r="G52" s="203"/>
      <c r="H52" s="203"/>
      <c r="I52" s="203"/>
      <c r="J52" s="203"/>
      <c r="K52" s="203"/>
    </row>
    <row r="53" spans="1:11" ht="14.25" x14ac:dyDescent="0.45">
      <c r="A53" t="s">
        <v>814</v>
      </c>
      <c r="B53">
        <f>ROW()</f>
        <v>53</v>
      </c>
      <c r="C53" t="s">
        <v>1112</v>
      </c>
      <c r="D53" s="74" t="s">
        <v>371</v>
      </c>
      <c r="F53" s="203"/>
      <c r="G53" s="203"/>
      <c r="H53" s="203"/>
      <c r="I53" s="203"/>
      <c r="J53" s="203"/>
      <c r="K53" s="203"/>
    </row>
    <row r="54" spans="1:11" ht="14.25" x14ac:dyDescent="0.45">
      <c r="A54" t="s">
        <v>814</v>
      </c>
      <c r="B54">
        <f>ROW()</f>
        <v>54</v>
      </c>
      <c r="C54" t="s">
        <v>1112</v>
      </c>
      <c r="D54" s="74" t="s">
        <v>372</v>
      </c>
      <c r="F54" s="203"/>
      <c r="G54" s="203"/>
      <c r="H54" s="203"/>
      <c r="I54" s="203"/>
      <c r="J54" s="203"/>
      <c r="K54" s="203"/>
    </row>
    <row r="55" spans="1:11" ht="14.25" x14ac:dyDescent="0.45">
      <c r="A55" t="s">
        <v>814</v>
      </c>
      <c r="B55">
        <f>ROW()</f>
        <v>55</v>
      </c>
      <c r="C55" t="s">
        <v>1112</v>
      </c>
      <c r="D55" s="74" t="s">
        <v>373</v>
      </c>
      <c r="F55" s="203"/>
      <c r="G55" s="203"/>
      <c r="H55" s="203"/>
      <c r="I55" s="203"/>
      <c r="J55" s="203"/>
      <c r="K55" s="203"/>
    </row>
    <row r="56" spans="1:11" ht="14.25" x14ac:dyDescent="0.45">
      <c r="A56" t="s">
        <v>814</v>
      </c>
      <c r="B56">
        <f>ROW()</f>
        <v>56</v>
      </c>
      <c r="C56" t="s">
        <v>1112</v>
      </c>
      <c r="D56" s="74" t="s">
        <v>374</v>
      </c>
      <c r="F56" s="203"/>
      <c r="G56" s="203"/>
      <c r="H56" s="203"/>
      <c r="I56" s="203"/>
      <c r="J56" s="203"/>
      <c r="K56" s="203"/>
    </row>
    <row r="57" spans="1:11" ht="14.25" x14ac:dyDescent="0.45">
      <c r="A57" t="s">
        <v>814</v>
      </c>
      <c r="B57" s="162">
        <f>ROW()</f>
        <v>57</v>
      </c>
      <c r="C57" t="s">
        <v>1112</v>
      </c>
      <c r="D57" s="145" t="s">
        <v>381</v>
      </c>
      <c r="E57" s="201"/>
      <c r="F57" s="158">
        <f t="shared" ref="F57:K57" si="4">SUM(F31:F56)</f>
        <v>0</v>
      </c>
      <c r="G57" s="158">
        <f t="shared" si="4"/>
        <v>0</v>
      </c>
      <c r="H57" s="158">
        <f t="shared" si="4"/>
        <v>0</v>
      </c>
      <c r="I57" s="158">
        <f t="shared" si="4"/>
        <v>0</v>
      </c>
      <c r="J57" s="158">
        <f t="shared" si="4"/>
        <v>0</v>
      </c>
      <c r="K57" s="158">
        <f t="shared" si="4"/>
        <v>0</v>
      </c>
    </row>
    <row r="58" spans="1:11" ht="14.25" x14ac:dyDescent="0.45">
      <c r="A58" t="s">
        <v>814</v>
      </c>
      <c r="B58">
        <f>ROW()</f>
        <v>58</v>
      </c>
      <c r="C58" t="s">
        <v>1112</v>
      </c>
      <c r="D58" s="201" t="s">
        <v>382</v>
      </c>
      <c r="F58" s="203"/>
      <c r="G58" s="176"/>
      <c r="H58" s="176"/>
      <c r="I58" s="176"/>
      <c r="J58" s="176"/>
      <c r="K58" s="176"/>
    </row>
    <row r="59" spans="1:11" ht="14.25" x14ac:dyDescent="0.45">
      <c r="A59" t="s">
        <v>814</v>
      </c>
      <c r="B59">
        <f>ROW()</f>
        <v>59</v>
      </c>
      <c r="C59" t="s">
        <v>1112</v>
      </c>
      <c r="D59" s="201" t="s">
        <v>383</v>
      </c>
      <c r="F59" s="176"/>
      <c r="G59" s="203"/>
      <c r="H59" s="203"/>
      <c r="I59" s="203"/>
      <c r="J59" s="203"/>
      <c r="K59" s="203"/>
    </row>
    <row r="60" spans="1:11" ht="14.25" x14ac:dyDescent="0.45">
      <c r="A60" t="s">
        <v>814</v>
      </c>
      <c r="B60">
        <f>ROW()</f>
        <v>60</v>
      </c>
      <c r="C60" t="s">
        <v>1112</v>
      </c>
      <c r="D60" s="145" t="s">
        <v>384</v>
      </c>
      <c r="F60" s="184" t="str">
        <f>IFERROR(F58/F57,"")</f>
        <v/>
      </c>
      <c r="G60" s="184" t="str">
        <f t="shared" ref="G60:K60" si="5">IFERROR(G58/G57,"")</f>
        <v/>
      </c>
      <c r="H60" s="184" t="str">
        <f t="shared" si="5"/>
        <v/>
      </c>
      <c r="I60" s="184" t="str">
        <f t="shared" si="5"/>
        <v/>
      </c>
      <c r="J60" s="184" t="str">
        <f t="shared" si="5"/>
        <v/>
      </c>
      <c r="K60" s="184" t="str">
        <f t="shared" si="5"/>
        <v/>
      </c>
    </row>
    <row r="61" spans="1:11" ht="14.25" x14ac:dyDescent="0.45"/>
    <row r="62" spans="1:11" ht="14.25" x14ac:dyDescent="0.45"/>
    <row r="63" spans="1:11" ht="21" x14ac:dyDescent="0.65">
      <c r="A63" s="129" t="s">
        <v>814</v>
      </c>
    </row>
    <row r="64" spans="1:11" ht="56.65" customHeight="1" x14ac:dyDescent="0.45">
      <c r="A64" s="119" t="s">
        <v>78</v>
      </c>
      <c r="B64" s="119" t="s">
        <v>79</v>
      </c>
      <c r="C64" s="119" t="s">
        <v>396</v>
      </c>
      <c r="D64" s="119" t="s">
        <v>1244</v>
      </c>
      <c r="E64" s="119" t="s">
        <v>1245</v>
      </c>
      <c r="F64" s="119" t="s">
        <v>1098</v>
      </c>
      <c r="G64" s="119" t="s">
        <v>1099</v>
      </c>
      <c r="H64" s="119" t="s">
        <v>1100</v>
      </c>
      <c r="I64" s="119" t="s">
        <v>1101</v>
      </c>
      <c r="J64" s="119" t="s">
        <v>1102</v>
      </c>
      <c r="K64" s="119" t="s">
        <v>1103</v>
      </c>
    </row>
    <row r="65" spans="1:11" ht="14.25" x14ac:dyDescent="0.45">
      <c r="A65" t="s">
        <v>814</v>
      </c>
      <c r="B65">
        <f>ROW()</f>
        <v>65</v>
      </c>
      <c r="C65" t="s">
        <v>1104</v>
      </c>
      <c r="D65" s="74" t="s">
        <v>350</v>
      </c>
      <c r="F65" s="203"/>
      <c r="G65" s="203"/>
      <c r="H65" s="203"/>
      <c r="I65" s="203"/>
      <c r="J65" s="203"/>
      <c r="K65" s="203"/>
    </row>
    <row r="66" spans="1:11" ht="14.25" x14ac:dyDescent="0.45">
      <c r="A66" t="s">
        <v>814</v>
      </c>
      <c r="B66">
        <f>ROW()</f>
        <v>66</v>
      </c>
      <c r="C66" t="s">
        <v>1104</v>
      </c>
      <c r="D66" s="74" t="s">
        <v>351</v>
      </c>
      <c r="F66" s="203"/>
      <c r="G66" s="203"/>
      <c r="H66" s="203"/>
      <c r="I66" s="203"/>
      <c r="J66" s="203"/>
      <c r="K66" s="203"/>
    </row>
    <row r="67" spans="1:11" ht="14.25" x14ac:dyDescent="0.45">
      <c r="A67" t="s">
        <v>814</v>
      </c>
      <c r="B67">
        <f>ROW()</f>
        <v>67</v>
      </c>
      <c r="C67" t="s">
        <v>1104</v>
      </c>
      <c r="D67" s="74" t="s">
        <v>352</v>
      </c>
      <c r="F67" s="203"/>
      <c r="G67" s="203"/>
      <c r="H67" s="203"/>
      <c r="I67" s="203"/>
      <c r="J67" s="203"/>
      <c r="K67" s="203"/>
    </row>
    <row r="68" spans="1:11" ht="14.25" x14ac:dyDescent="0.45">
      <c r="A68" t="s">
        <v>814</v>
      </c>
      <c r="B68">
        <f>ROW()</f>
        <v>68</v>
      </c>
      <c r="C68" t="s">
        <v>1104</v>
      </c>
      <c r="D68" s="74" t="s">
        <v>353</v>
      </c>
      <c r="F68" s="203"/>
      <c r="G68" s="203"/>
      <c r="H68" s="203"/>
      <c r="I68" s="203"/>
      <c r="J68" s="203"/>
      <c r="K68" s="203"/>
    </row>
    <row r="69" spans="1:11" ht="14.25" x14ac:dyDescent="0.45">
      <c r="A69" t="s">
        <v>814</v>
      </c>
      <c r="B69">
        <f>ROW()</f>
        <v>69</v>
      </c>
      <c r="C69" t="s">
        <v>1104</v>
      </c>
      <c r="D69" s="74" t="s">
        <v>354</v>
      </c>
      <c r="F69" s="203"/>
      <c r="G69" s="203"/>
      <c r="H69" s="203"/>
      <c r="I69" s="203"/>
      <c r="J69" s="203"/>
      <c r="K69" s="203"/>
    </row>
    <row r="70" spans="1:11" ht="14.25" x14ac:dyDescent="0.45">
      <c r="A70" t="s">
        <v>814</v>
      </c>
      <c r="B70">
        <f>ROW()</f>
        <v>70</v>
      </c>
      <c r="C70" t="s">
        <v>1104</v>
      </c>
      <c r="D70" s="74" t="s">
        <v>355</v>
      </c>
      <c r="F70" s="203"/>
      <c r="G70" s="203"/>
      <c r="H70" s="203"/>
      <c r="I70" s="203"/>
      <c r="J70" s="203"/>
      <c r="K70" s="203"/>
    </row>
    <row r="71" spans="1:11" ht="14.25" x14ac:dyDescent="0.45">
      <c r="A71" t="s">
        <v>814</v>
      </c>
      <c r="B71">
        <f>ROW()</f>
        <v>71</v>
      </c>
      <c r="C71" t="s">
        <v>1104</v>
      </c>
      <c r="D71" s="74" t="s">
        <v>379</v>
      </c>
      <c r="F71" s="203"/>
      <c r="G71" s="203"/>
      <c r="H71" s="203"/>
      <c r="I71" s="203"/>
      <c r="J71" s="203"/>
      <c r="K71" s="203"/>
    </row>
    <row r="72" spans="1:11" ht="14.25" x14ac:dyDescent="0.45">
      <c r="A72" t="s">
        <v>814</v>
      </c>
      <c r="B72">
        <f>ROW()</f>
        <v>72</v>
      </c>
      <c r="C72" t="s">
        <v>1104</v>
      </c>
      <c r="D72" s="74" t="s">
        <v>356</v>
      </c>
      <c r="F72" s="203"/>
      <c r="G72" s="203"/>
      <c r="H72" s="203"/>
      <c r="I72" s="203"/>
      <c r="J72" s="203"/>
      <c r="K72" s="203"/>
    </row>
    <row r="73" spans="1:11" ht="14.25" x14ac:dyDescent="0.45">
      <c r="A73" t="s">
        <v>814</v>
      </c>
      <c r="B73">
        <f>ROW()</f>
        <v>73</v>
      </c>
      <c r="C73" t="s">
        <v>1104</v>
      </c>
      <c r="D73" s="74" t="s">
        <v>357</v>
      </c>
      <c r="F73" s="203"/>
      <c r="G73" s="203"/>
      <c r="H73" s="203"/>
      <c r="I73" s="203"/>
      <c r="J73" s="203"/>
      <c r="K73" s="203"/>
    </row>
    <row r="74" spans="1:11" ht="14.25" x14ac:dyDescent="0.45">
      <c r="A74" t="s">
        <v>814</v>
      </c>
      <c r="B74">
        <f>ROW()</f>
        <v>74</v>
      </c>
      <c r="C74" t="s">
        <v>1104</v>
      </c>
      <c r="D74" s="74" t="s">
        <v>358</v>
      </c>
      <c r="F74" s="203"/>
      <c r="G74" s="203"/>
      <c r="H74" s="203"/>
      <c r="I74" s="203"/>
      <c r="J74" s="203"/>
      <c r="K74" s="203"/>
    </row>
    <row r="75" spans="1:11" ht="14.25" x14ac:dyDescent="0.45">
      <c r="A75" t="s">
        <v>814</v>
      </c>
      <c r="B75">
        <f>ROW()</f>
        <v>75</v>
      </c>
      <c r="C75" t="s">
        <v>1104</v>
      </c>
      <c r="D75" s="74" t="s">
        <v>359</v>
      </c>
      <c r="F75" s="203"/>
      <c r="G75" s="203"/>
      <c r="H75" s="203"/>
      <c r="I75" s="203"/>
      <c r="J75" s="203"/>
      <c r="K75" s="203"/>
    </row>
    <row r="76" spans="1:11" ht="14.25" x14ac:dyDescent="0.45">
      <c r="A76" t="s">
        <v>814</v>
      </c>
      <c r="B76">
        <f>ROW()</f>
        <v>76</v>
      </c>
      <c r="C76" t="s">
        <v>1104</v>
      </c>
      <c r="D76" s="74" t="s">
        <v>360</v>
      </c>
      <c r="F76" s="203"/>
      <c r="G76" s="203"/>
      <c r="H76" s="203"/>
      <c r="I76" s="203"/>
      <c r="J76" s="203"/>
      <c r="K76" s="203"/>
    </row>
    <row r="77" spans="1:11" ht="14.25" x14ac:dyDescent="0.45">
      <c r="A77" t="s">
        <v>814</v>
      </c>
      <c r="B77">
        <f>ROW()</f>
        <v>77</v>
      </c>
      <c r="C77" t="s">
        <v>1104</v>
      </c>
      <c r="D77" s="74" t="s">
        <v>380</v>
      </c>
      <c r="F77" s="203"/>
      <c r="G77" s="203"/>
      <c r="H77" s="203"/>
      <c r="I77" s="203"/>
      <c r="J77" s="203"/>
      <c r="K77" s="203"/>
    </row>
    <row r="78" spans="1:11" ht="14.25" x14ac:dyDescent="0.45">
      <c r="A78" t="s">
        <v>814</v>
      </c>
      <c r="B78">
        <f>ROW()</f>
        <v>78</v>
      </c>
      <c r="C78" t="s">
        <v>1104</v>
      </c>
      <c r="D78" s="74" t="s">
        <v>362</v>
      </c>
      <c r="F78" s="203"/>
      <c r="G78" s="203"/>
      <c r="H78" s="203"/>
      <c r="I78" s="203"/>
      <c r="J78" s="203"/>
      <c r="K78" s="203"/>
    </row>
    <row r="79" spans="1:11" ht="14.25" x14ac:dyDescent="0.45">
      <c r="A79" t="s">
        <v>814</v>
      </c>
      <c r="B79">
        <f>ROW()</f>
        <v>79</v>
      </c>
      <c r="C79" t="s">
        <v>1104</v>
      </c>
      <c r="D79" s="74" t="s">
        <v>363</v>
      </c>
      <c r="F79" s="203"/>
      <c r="G79" s="203"/>
      <c r="H79" s="203"/>
      <c r="I79" s="203"/>
      <c r="J79" s="203"/>
      <c r="K79" s="203"/>
    </row>
    <row r="80" spans="1:11" ht="14.25" x14ac:dyDescent="0.45">
      <c r="A80" t="s">
        <v>814</v>
      </c>
      <c r="B80">
        <f>ROW()</f>
        <v>80</v>
      </c>
      <c r="C80" t="s">
        <v>1104</v>
      </c>
      <c r="D80" s="74" t="s">
        <v>364</v>
      </c>
      <c r="F80" s="203"/>
      <c r="G80" s="203"/>
      <c r="H80" s="203"/>
      <c r="I80" s="203"/>
      <c r="J80" s="203"/>
      <c r="K80" s="203"/>
    </row>
    <row r="81" spans="1:11" ht="14.25" x14ac:dyDescent="0.45">
      <c r="A81" t="s">
        <v>814</v>
      </c>
      <c r="B81">
        <f>ROW()</f>
        <v>81</v>
      </c>
      <c r="C81" t="s">
        <v>1104</v>
      </c>
      <c r="D81" s="74" t="s">
        <v>365</v>
      </c>
      <c r="F81" s="203"/>
      <c r="G81" s="203"/>
      <c r="H81" s="203"/>
      <c r="I81" s="203"/>
      <c r="J81" s="203"/>
      <c r="K81" s="203"/>
    </row>
    <row r="82" spans="1:11" ht="14.25" x14ac:dyDescent="0.45">
      <c r="A82" t="s">
        <v>814</v>
      </c>
      <c r="B82">
        <f>ROW()</f>
        <v>82</v>
      </c>
      <c r="C82" t="s">
        <v>1104</v>
      </c>
      <c r="D82" s="74" t="s">
        <v>366</v>
      </c>
      <c r="F82" s="203"/>
      <c r="G82" s="203"/>
      <c r="H82" s="203"/>
      <c r="I82" s="203"/>
      <c r="J82" s="203"/>
      <c r="K82" s="203"/>
    </row>
    <row r="83" spans="1:11" ht="14.25" x14ac:dyDescent="0.45">
      <c r="A83" t="s">
        <v>814</v>
      </c>
      <c r="B83">
        <f>ROW()</f>
        <v>83</v>
      </c>
      <c r="C83" t="s">
        <v>1104</v>
      </c>
      <c r="D83" s="74" t="s">
        <v>367</v>
      </c>
      <c r="F83" s="203"/>
      <c r="G83" s="203"/>
      <c r="H83" s="203"/>
      <c r="I83" s="203"/>
      <c r="J83" s="203"/>
      <c r="K83" s="203"/>
    </row>
    <row r="84" spans="1:11" ht="14.25" x14ac:dyDescent="0.45">
      <c r="A84" t="s">
        <v>814</v>
      </c>
      <c r="B84">
        <f>ROW()</f>
        <v>84</v>
      </c>
      <c r="C84" t="s">
        <v>1104</v>
      </c>
      <c r="D84" s="74" t="s">
        <v>368</v>
      </c>
      <c r="F84" s="203"/>
      <c r="G84" s="203"/>
      <c r="H84" s="203"/>
      <c r="I84" s="203"/>
      <c r="J84" s="203"/>
      <c r="K84" s="203"/>
    </row>
    <row r="85" spans="1:11" ht="14.25" x14ac:dyDescent="0.45">
      <c r="A85" t="s">
        <v>814</v>
      </c>
      <c r="B85">
        <f>ROW()</f>
        <v>85</v>
      </c>
      <c r="C85" t="s">
        <v>1104</v>
      </c>
      <c r="D85" s="74" t="s">
        <v>369</v>
      </c>
      <c r="F85" s="203"/>
      <c r="G85" s="203"/>
      <c r="H85" s="203"/>
      <c r="I85" s="203"/>
      <c r="J85" s="203"/>
      <c r="K85" s="203"/>
    </row>
    <row r="86" spans="1:11" ht="14.25" x14ac:dyDescent="0.45">
      <c r="A86" t="s">
        <v>814</v>
      </c>
      <c r="B86">
        <f>ROW()</f>
        <v>86</v>
      </c>
      <c r="C86" t="s">
        <v>1104</v>
      </c>
      <c r="D86" s="74" t="s">
        <v>370</v>
      </c>
      <c r="F86" s="203"/>
      <c r="G86" s="203"/>
      <c r="H86" s="203"/>
      <c r="I86" s="203"/>
      <c r="J86" s="203"/>
      <c r="K86" s="203"/>
    </row>
    <row r="87" spans="1:11" ht="14.25" x14ac:dyDescent="0.45">
      <c r="A87" t="s">
        <v>814</v>
      </c>
      <c r="B87">
        <f>ROW()</f>
        <v>87</v>
      </c>
      <c r="C87" t="s">
        <v>1104</v>
      </c>
      <c r="D87" s="74" t="s">
        <v>371</v>
      </c>
      <c r="F87" s="203"/>
      <c r="G87" s="203"/>
      <c r="H87" s="203"/>
      <c r="I87" s="203"/>
      <c r="J87" s="203"/>
      <c r="K87" s="203"/>
    </row>
    <row r="88" spans="1:11" ht="14.25" x14ac:dyDescent="0.45">
      <c r="A88" t="s">
        <v>814</v>
      </c>
      <c r="B88">
        <f>ROW()</f>
        <v>88</v>
      </c>
      <c r="C88" t="s">
        <v>1104</v>
      </c>
      <c r="D88" s="74" t="s">
        <v>372</v>
      </c>
      <c r="F88" s="203"/>
      <c r="G88" s="203"/>
      <c r="H88" s="203"/>
      <c r="I88" s="203"/>
      <c r="J88" s="203"/>
      <c r="K88" s="203"/>
    </row>
    <row r="89" spans="1:11" ht="14.25" x14ac:dyDescent="0.45">
      <c r="A89" t="s">
        <v>814</v>
      </c>
      <c r="B89">
        <f>ROW()</f>
        <v>89</v>
      </c>
      <c r="C89" t="s">
        <v>1104</v>
      </c>
      <c r="D89" s="74" t="s">
        <v>373</v>
      </c>
      <c r="F89" s="203"/>
      <c r="G89" s="203"/>
      <c r="H89" s="203"/>
      <c r="I89" s="203"/>
      <c r="J89" s="203"/>
      <c r="K89" s="203"/>
    </row>
    <row r="90" spans="1:11" ht="14.25" x14ac:dyDescent="0.45">
      <c r="A90" t="s">
        <v>814</v>
      </c>
      <c r="B90">
        <f>ROW()</f>
        <v>90</v>
      </c>
      <c r="C90" t="s">
        <v>1104</v>
      </c>
      <c r="D90" s="74" t="s">
        <v>374</v>
      </c>
      <c r="F90" s="203"/>
      <c r="G90" s="203"/>
      <c r="H90" s="203"/>
      <c r="I90" s="203"/>
      <c r="J90" s="203"/>
      <c r="K90" s="203"/>
    </row>
    <row r="91" spans="1:11" ht="14.25" x14ac:dyDescent="0.45">
      <c r="A91" t="s">
        <v>814</v>
      </c>
      <c r="B91">
        <f>ROW()</f>
        <v>91</v>
      </c>
      <c r="C91" t="s">
        <v>1104</v>
      </c>
      <c r="D91" s="74" t="s">
        <v>325</v>
      </c>
      <c r="F91" s="158">
        <f t="shared" ref="F91:K91" si="6">SUM(F65:F90)</f>
        <v>0</v>
      </c>
      <c r="G91" s="158">
        <f t="shared" si="6"/>
        <v>0</v>
      </c>
      <c r="H91" s="158">
        <f t="shared" si="6"/>
        <v>0</v>
      </c>
      <c r="I91" s="158">
        <f t="shared" si="6"/>
        <v>0</v>
      </c>
      <c r="J91" s="158">
        <f t="shared" si="6"/>
        <v>0</v>
      </c>
      <c r="K91" s="158">
        <f t="shared" si="6"/>
        <v>0</v>
      </c>
    </row>
    <row r="92" spans="1:11" ht="14.25" x14ac:dyDescent="0.45"/>
    <row r="93" spans="1:11" ht="14.25" x14ac:dyDescent="0.45"/>
    <row r="94" spans="1:11" ht="21" x14ac:dyDescent="0.65">
      <c r="A94" s="129" t="s">
        <v>814</v>
      </c>
    </row>
    <row r="95" spans="1:11" ht="56.65" customHeight="1" x14ac:dyDescent="0.45">
      <c r="A95" s="119" t="s">
        <v>78</v>
      </c>
      <c r="B95" s="119" t="s">
        <v>79</v>
      </c>
      <c r="C95" s="119" t="s">
        <v>208</v>
      </c>
      <c r="D95" s="119" t="s">
        <v>1244</v>
      </c>
      <c r="E95" s="119" t="s">
        <v>1245</v>
      </c>
      <c r="F95" s="119" t="s">
        <v>1106</v>
      </c>
      <c r="G95" s="119" t="s">
        <v>1107</v>
      </c>
      <c r="H95" s="119" t="s">
        <v>1108</v>
      </c>
      <c r="I95" s="119" t="s">
        <v>1109</v>
      </c>
      <c r="J95" s="119" t="s">
        <v>1110</v>
      </c>
      <c r="K95" s="119" t="s">
        <v>1111</v>
      </c>
    </row>
    <row r="96" spans="1:11" ht="14.25" x14ac:dyDescent="0.45">
      <c r="A96" t="s">
        <v>814</v>
      </c>
      <c r="B96">
        <f>ROW()</f>
        <v>96</v>
      </c>
      <c r="C96" t="s">
        <v>1105</v>
      </c>
      <c r="D96" s="74" t="s">
        <v>350</v>
      </c>
      <c r="F96" s="186" t="str">
        <f t="shared" ref="F96:K122" si="7">IFERROR(F65/F31,"")</f>
        <v/>
      </c>
      <c r="G96" s="186" t="str">
        <f t="shared" si="7"/>
        <v/>
      </c>
      <c r="H96" s="186" t="str">
        <f t="shared" si="7"/>
        <v/>
      </c>
      <c r="I96" s="186" t="str">
        <f t="shared" si="7"/>
        <v/>
      </c>
      <c r="J96" s="186" t="str">
        <f t="shared" si="7"/>
        <v/>
      </c>
      <c r="K96" s="186" t="str">
        <f t="shared" si="7"/>
        <v/>
      </c>
    </row>
    <row r="97" spans="1:11" ht="14.25" x14ac:dyDescent="0.45">
      <c r="A97" t="s">
        <v>814</v>
      </c>
      <c r="B97">
        <f>ROW()</f>
        <v>97</v>
      </c>
      <c r="C97" t="s">
        <v>1105</v>
      </c>
      <c r="D97" s="74" t="s">
        <v>351</v>
      </c>
      <c r="F97" s="186" t="str">
        <f t="shared" si="7"/>
        <v/>
      </c>
      <c r="G97" s="186" t="str">
        <f t="shared" si="7"/>
        <v/>
      </c>
      <c r="H97" s="186" t="str">
        <f t="shared" si="7"/>
        <v/>
      </c>
      <c r="I97" s="186" t="str">
        <f t="shared" si="7"/>
        <v/>
      </c>
      <c r="J97" s="186" t="str">
        <f t="shared" si="7"/>
        <v/>
      </c>
      <c r="K97" s="186" t="str">
        <f t="shared" si="7"/>
        <v/>
      </c>
    </row>
    <row r="98" spans="1:11" ht="14.25" x14ac:dyDescent="0.45">
      <c r="A98" t="s">
        <v>814</v>
      </c>
      <c r="B98">
        <f>ROW()</f>
        <v>98</v>
      </c>
      <c r="C98" t="s">
        <v>1105</v>
      </c>
      <c r="D98" s="74" t="s">
        <v>352</v>
      </c>
      <c r="F98" s="186" t="str">
        <f t="shared" si="7"/>
        <v/>
      </c>
      <c r="G98" s="186" t="str">
        <f t="shared" si="7"/>
        <v/>
      </c>
      <c r="H98" s="186" t="str">
        <f t="shared" si="7"/>
        <v/>
      </c>
      <c r="I98" s="186" t="str">
        <f t="shared" si="7"/>
        <v/>
      </c>
      <c r="J98" s="186" t="str">
        <f t="shared" si="7"/>
        <v/>
      </c>
      <c r="K98" s="186" t="str">
        <f t="shared" si="7"/>
        <v/>
      </c>
    </row>
    <row r="99" spans="1:11" ht="14.25" x14ac:dyDescent="0.45">
      <c r="A99" t="s">
        <v>814</v>
      </c>
      <c r="B99">
        <f>ROW()</f>
        <v>99</v>
      </c>
      <c r="C99" t="s">
        <v>1105</v>
      </c>
      <c r="D99" s="74" t="s">
        <v>353</v>
      </c>
      <c r="F99" s="186" t="str">
        <f t="shared" si="7"/>
        <v/>
      </c>
      <c r="G99" s="186" t="str">
        <f t="shared" si="7"/>
        <v/>
      </c>
      <c r="H99" s="186" t="str">
        <f t="shared" si="7"/>
        <v/>
      </c>
      <c r="I99" s="186" t="str">
        <f t="shared" si="7"/>
        <v/>
      </c>
      <c r="J99" s="186" t="str">
        <f t="shared" si="7"/>
        <v/>
      </c>
      <c r="K99" s="186" t="str">
        <f t="shared" si="7"/>
        <v/>
      </c>
    </row>
    <row r="100" spans="1:11" ht="14.25" x14ac:dyDescent="0.45">
      <c r="A100" t="s">
        <v>814</v>
      </c>
      <c r="B100">
        <f>ROW()</f>
        <v>100</v>
      </c>
      <c r="C100" t="s">
        <v>1105</v>
      </c>
      <c r="D100" s="74" t="s">
        <v>354</v>
      </c>
      <c r="F100" s="186" t="str">
        <f t="shared" si="7"/>
        <v/>
      </c>
      <c r="G100" s="186" t="str">
        <f t="shared" si="7"/>
        <v/>
      </c>
      <c r="H100" s="186" t="str">
        <f t="shared" si="7"/>
        <v/>
      </c>
      <c r="I100" s="186" t="str">
        <f t="shared" si="7"/>
        <v/>
      </c>
      <c r="J100" s="186" t="str">
        <f t="shared" si="7"/>
        <v/>
      </c>
      <c r="K100" s="186" t="str">
        <f t="shared" si="7"/>
        <v/>
      </c>
    </row>
    <row r="101" spans="1:11" ht="14.25" x14ac:dyDescent="0.45">
      <c r="A101" t="s">
        <v>814</v>
      </c>
      <c r="B101">
        <f>ROW()</f>
        <v>101</v>
      </c>
      <c r="C101" t="s">
        <v>1105</v>
      </c>
      <c r="D101" s="74" t="s">
        <v>355</v>
      </c>
      <c r="F101" s="186" t="str">
        <f t="shared" si="7"/>
        <v/>
      </c>
      <c r="G101" s="186" t="str">
        <f t="shared" si="7"/>
        <v/>
      </c>
      <c r="H101" s="186" t="str">
        <f t="shared" si="7"/>
        <v/>
      </c>
      <c r="I101" s="186" t="str">
        <f t="shared" si="7"/>
        <v/>
      </c>
      <c r="J101" s="186" t="str">
        <f t="shared" si="7"/>
        <v/>
      </c>
      <c r="K101" s="186" t="str">
        <f t="shared" si="7"/>
        <v/>
      </c>
    </row>
    <row r="102" spans="1:11" ht="14.25" x14ac:dyDescent="0.45">
      <c r="A102" t="s">
        <v>814</v>
      </c>
      <c r="B102">
        <f>ROW()</f>
        <v>102</v>
      </c>
      <c r="C102" t="s">
        <v>1105</v>
      </c>
      <c r="D102" s="74" t="s">
        <v>379</v>
      </c>
      <c r="F102" s="186" t="str">
        <f t="shared" si="7"/>
        <v/>
      </c>
      <c r="G102" s="186" t="str">
        <f t="shared" si="7"/>
        <v/>
      </c>
      <c r="H102" s="186" t="str">
        <f t="shared" si="7"/>
        <v/>
      </c>
      <c r="I102" s="186" t="str">
        <f t="shared" si="7"/>
        <v/>
      </c>
      <c r="J102" s="186" t="str">
        <f t="shared" si="7"/>
        <v/>
      </c>
      <c r="K102" s="186" t="str">
        <f t="shared" si="7"/>
        <v/>
      </c>
    </row>
    <row r="103" spans="1:11" ht="14.25" x14ac:dyDescent="0.45">
      <c r="A103" t="s">
        <v>814</v>
      </c>
      <c r="B103">
        <f>ROW()</f>
        <v>103</v>
      </c>
      <c r="C103" t="s">
        <v>1105</v>
      </c>
      <c r="D103" s="74" t="s">
        <v>356</v>
      </c>
      <c r="F103" s="186" t="str">
        <f t="shared" si="7"/>
        <v/>
      </c>
      <c r="G103" s="186" t="str">
        <f t="shared" si="7"/>
        <v/>
      </c>
      <c r="H103" s="186" t="str">
        <f t="shared" si="7"/>
        <v/>
      </c>
      <c r="I103" s="186" t="str">
        <f t="shared" si="7"/>
        <v/>
      </c>
      <c r="J103" s="186" t="str">
        <f t="shared" si="7"/>
        <v/>
      </c>
      <c r="K103" s="186" t="str">
        <f t="shared" si="7"/>
        <v/>
      </c>
    </row>
    <row r="104" spans="1:11" ht="14.25" x14ac:dyDescent="0.45">
      <c r="A104" t="s">
        <v>814</v>
      </c>
      <c r="B104">
        <f>ROW()</f>
        <v>104</v>
      </c>
      <c r="C104" t="s">
        <v>1105</v>
      </c>
      <c r="D104" s="74" t="s">
        <v>357</v>
      </c>
      <c r="F104" s="186" t="str">
        <f t="shared" si="7"/>
        <v/>
      </c>
      <c r="G104" s="186" t="str">
        <f t="shared" si="7"/>
        <v/>
      </c>
      <c r="H104" s="186" t="str">
        <f t="shared" si="7"/>
        <v/>
      </c>
      <c r="I104" s="186" t="str">
        <f t="shared" si="7"/>
        <v/>
      </c>
      <c r="J104" s="186" t="str">
        <f t="shared" si="7"/>
        <v/>
      </c>
      <c r="K104" s="186" t="str">
        <f t="shared" si="7"/>
        <v/>
      </c>
    </row>
    <row r="105" spans="1:11" ht="14.25" x14ac:dyDescent="0.45">
      <c r="A105" t="s">
        <v>814</v>
      </c>
      <c r="B105">
        <f>ROW()</f>
        <v>105</v>
      </c>
      <c r="C105" t="s">
        <v>1105</v>
      </c>
      <c r="D105" s="74" t="s">
        <v>358</v>
      </c>
      <c r="F105" s="186" t="str">
        <f t="shared" si="7"/>
        <v/>
      </c>
      <c r="G105" s="186" t="str">
        <f t="shared" si="7"/>
        <v/>
      </c>
      <c r="H105" s="186" t="str">
        <f t="shared" si="7"/>
        <v/>
      </c>
      <c r="I105" s="186" t="str">
        <f t="shared" si="7"/>
        <v/>
      </c>
      <c r="J105" s="186" t="str">
        <f t="shared" si="7"/>
        <v/>
      </c>
      <c r="K105" s="186" t="str">
        <f t="shared" si="7"/>
        <v/>
      </c>
    </row>
    <row r="106" spans="1:11" ht="14.25" x14ac:dyDescent="0.45">
      <c r="A106" t="s">
        <v>814</v>
      </c>
      <c r="B106">
        <f>ROW()</f>
        <v>106</v>
      </c>
      <c r="C106" t="s">
        <v>1105</v>
      </c>
      <c r="D106" s="74" t="s">
        <v>359</v>
      </c>
      <c r="F106" s="186" t="str">
        <f t="shared" si="7"/>
        <v/>
      </c>
      <c r="G106" s="186" t="str">
        <f t="shared" si="7"/>
        <v/>
      </c>
      <c r="H106" s="186" t="str">
        <f t="shared" si="7"/>
        <v/>
      </c>
      <c r="I106" s="186" t="str">
        <f t="shared" si="7"/>
        <v/>
      </c>
      <c r="J106" s="186" t="str">
        <f t="shared" si="7"/>
        <v/>
      </c>
      <c r="K106" s="186" t="str">
        <f t="shared" si="7"/>
        <v/>
      </c>
    </row>
    <row r="107" spans="1:11" ht="14.25" x14ac:dyDescent="0.45">
      <c r="A107" t="s">
        <v>814</v>
      </c>
      <c r="B107">
        <f>ROW()</f>
        <v>107</v>
      </c>
      <c r="C107" t="s">
        <v>1105</v>
      </c>
      <c r="D107" s="74" t="s">
        <v>360</v>
      </c>
      <c r="F107" s="186" t="str">
        <f t="shared" si="7"/>
        <v/>
      </c>
      <c r="G107" s="186" t="str">
        <f t="shared" si="7"/>
        <v/>
      </c>
      <c r="H107" s="186" t="str">
        <f t="shared" si="7"/>
        <v/>
      </c>
      <c r="I107" s="186" t="str">
        <f t="shared" si="7"/>
        <v/>
      </c>
      <c r="J107" s="186" t="str">
        <f t="shared" si="7"/>
        <v/>
      </c>
      <c r="K107" s="186" t="str">
        <f t="shared" si="7"/>
        <v/>
      </c>
    </row>
    <row r="108" spans="1:11" ht="14.25" x14ac:dyDescent="0.45">
      <c r="A108" t="s">
        <v>814</v>
      </c>
      <c r="B108">
        <f>ROW()</f>
        <v>108</v>
      </c>
      <c r="C108" t="s">
        <v>1105</v>
      </c>
      <c r="D108" s="74" t="s">
        <v>380</v>
      </c>
      <c r="F108" s="186" t="str">
        <f t="shared" si="7"/>
        <v/>
      </c>
      <c r="G108" s="186" t="str">
        <f t="shared" si="7"/>
        <v/>
      </c>
      <c r="H108" s="186" t="str">
        <f t="shared" si="7"/>
        <v/>
      </c>
      <c r="I108" s="186" t="str">
        <f t="shared" si="7"/>
        <v/>
      </c>
      <c r="J108" s="186" t="str">
        <f t="shared" si="7"/>
        <v/>
      </c>
      <c r="K108" s="186" t="str">
        <f t="shared" si="7"/>
        <v/>
      </c>
    </row>
    <row r="109" spans="1:11" ht="14.25" x14ac:dyDescent="0.45">
      <c r="A109" t="s">
        <v>814</v>
      </c>
      <c r="B109">
        <f>ROW()</f>
        <v>109</v>
      </c>
      <c r="C109" t="s">
        <v>1105</v>
      </c>
      <c r="D109" s="74" t="s">
        <v>362</v>
      </c>
      <c r="F109" s="186" t="str">
        <f t="shared" si="7"/>
        <v/>
      </c>
      <c r="G109" s="186" t="str">
        <f t="shared" si="7"/>
        <v/>
      </c>
      <c r="H109" s="186" t="str">
        <f t="shared" si="7"/>
        <v/>
      </c>
      <c r="I109" s="186" t="str">
        <f t="shared" si="7"/>
        <v/>
      </c>
      <c r="J109" s="186" t="str">
        <f t="shared" si="7"/>
        <v/>
      </c>
      <c r="K109" s="186" t="str">
        <f t="shared" si="7"/>
        <v/>
      </c>
    </row>
    <row r="110" spans="1:11" ht="14.25" x14ac:dyDescent="0.45">
      <c r="A110" t="s">
        <v>814</v>
      </c>
      <c r="B110">
        <f>ROW()</f>
        <v>110</v>
      </c>
      <c r="C110" t="s">
        <v>1105</v>
      </c>
      <c r="D110" s="74" t="s">
        <v>363</v>
      </c>
      <c r="F110" s="186" t="str">
        <f t="shared" si="7"/>
        <v/>
      </c>
      <c r="G110" s="186" t="str">
        <f t="shared" si="7"/>
        <v/>
      </c>
      <c r="H110" s="186" t="str">
        <f t="shared" si="7"/>
        <v/>
      </c>
      <c r="I110" s="186" t="str">
        <f t="shared" si="7"/>
        <v/>
      </c>
      <c r="J110" s="186" t="str">
        <f t="shared" si="7"/>
        <v/>
      </c>
      <c r="K110" s="186" t="str">
        <f t="shared" si="7"/>
        <v/>
      </c>
    </row>
    <row r="111" spans="1:11" ht="14.25" x14ac:dyDescent="0.45">
      <c r="A111" t="s">
        <v>814</v>
      </c>
      <c r="B111">
        <f>ROW()</f>
        <v>111</v>
      </c>
      <c r="C111" t="s">
        <v>1105</v>
      </c>
      <c r="D111" s="74" t="s">
        <v>364</v>
      </c>
      <c r="F111" s="186" t="str">
        <f t="shared" si="7"/>
        <v/>
      </c>
      <c r="G111" s="186" t="str">
        <f t="shared" si="7"/>
        <v/>
      </c>
      <c r="H111" s="186" t="str">
        <f t="shared" si="7"/>
        <v/>
      </c>
      <c r="I111" s="186" t="str">
        <f t="shared" si="7"/>
        <v/>
      </c>
      <c r="J111" s="186" t="str">
        <f t="shared" si="7"/>
        <v/>
      </c>
      <c r="K111" s="186" t="str">
        <f t="shared" si="7"/>
        <v/>
      </c>
    </row>
    <row r="112" spans="1:11" ht="14.25" x14ac:dyDescent="0.45">
      <c r="A112" t="s">
        <v>814</v>
      </c>
      <c r="B112">
        <f>ROW()</f>
        <v>112</v>
      </c>
      <c r="C112" t="s">
        <v>1105</v>
      </c>
      <c r="D112" s="74" t="s">
        <v>365</v>
      </c>
      <c r="F112" s="186" t="str">
        <f t="shared" si="7"/>
        <v/>
      </c>
      <c r="G112" s="186" t="str">
        <f t="shared" si="7"/>
        <v/>
      </c>
      <c r="H112" s="186" t="str">
        <f t="shared" si="7"/>
        <v/>
      </c>
      <c r="I112" s="186" t="str">
        <f t="shared" si="7"/>
        <v/>
      </c>
      <c r="J112" s="186" t="str">
        <f t="shared" si="7"/>
        <v/>
      </c>
      <c r="K112" s="186" t="str">
        <f t="shared" si="7"/>
        <v/>
      </c>
    </row>
    <row r="113" spans="1:11" ht="14.25" x14ac:dyDescent="0.45">
      <c r="A113" t="s">
        <v>814</v>
      </c>
      <c r="B113">
        <f>ROW()</f>
        <v>113</v>
      </c>
      <c r="C113" t="s">
        <v>1105</v>
      </c>
      <c r="D113" s="74" t="s">
        <v>366</v>
      </c>
      <c r="F113" s="186" t="str">
        <f t="shared" si="7"/>
        <v/>
      </c>
      <c r="G113" s="186" t="str">
        <f t="shared" si="7"/>
        <v/>
      </c>
      <c r="H113" s="186" t="str">
        <f t="shared" si="7"/>
        <v/>
      </c>
      <c r="I113" s="186" t="str">
        <f t="shared" si="7"/>
        <v/>
      </c>
      <c r="J113" s="186" t="str">
        <f t="shared" si="7"/>
        <v/>
      </c>
      <c r="K113" s="186" t="str">
        <f t="shared" si="7"/>
        <v/>
      </c>
    </row>
    <row r="114" spans="1:11" ht="14.25" x14ac:dyDescent="0.45">
      <c r="A114" t="s">
        <v>814</v>
      </c>
      <c r="B114">
        <f>ROW()</f>
        <v>114</v>
      </c>
      <c r="C114" t="s">
        <v>1105</v>
      </c>
      <c r="D114" s="74" t="s">
        <v>367</v>
      </c>
      <c r="F114" s="186" t="str">
        <f t="shared" si="7"/>
        <v/>
      </c>
      <c r="G114" s="186" t="str">
        <f t="shared" si="7"/>
        <v/>
      </c>
      <c r="H114" s="186" t="str">
        <f t="shared" si="7"/>
        <v/>
      </c>
      <c r="I114" s="186" t="str">
        <f t="shared" si="7"/>
        <v/>
      </c>
      <c r="J114" s="186" t="str">
        <f t="shared" si="7"/>
        <v/>
      </c>
      <c r="K114" s="186" t="str">
        <f t="shared" si="7"/>
        <v/>
      </c>
    </row>
    <row r="115" spans="1:11" ht="14.25" x14ac:dyDescent="0.45">
      <c r="A115" t="s">
        <v>814</v>
      </c>
      <c r="B115">
        <f>ROW()</f>
        <v>115</v>
      </c>
      <c r="C115" t="s">
        <v>1105</v>
      </c>
      <c r="D115" s="74" t="s">
        <v>368</v>
      </c>
      <c r="F115" s="186" t="str">
        <f t="shared" si="7"/>
        <v/>
      </c>
      <c r="G115" s="186" t="str">
        <f t="shared" si="7"/>
        <v/>
      </c>
      <c r="H115" s="186" t="str">
        <f t="shared" si="7"/>
        <v/>
      </c>
      <c r="I115" s="186" t="str">
        <f t="shared" si="7"/>
        <v/>
      </c>
      <c r="J115" s="186" t="str">
        <f t="shared" si="7"/>
        <v/>
      </c>
      <c r="K115" s="186" t="str">
        <f t="shared" si="7"/>
        <v/>
      </c>
    </row>
    <row r="116" spans="1:11" ht="14.25" x14ac:dyDescent="0.45">
      <c r="A116" t="s">
        <v>814</v>
      </c>
      <c r="B116">
        <f>ROW()</f>
        <v>116</v>
      </c>
      <c r="C116" t="s">
        <v>1105</v>
      </c>
      <c r="D116" s="74" t="s">
        <v>369</v>
      </c>
      <c r="F116" s="186" t="str">
        <f t="shared" si="7"/>
        <v/>
      </c>
      <c r="G116" s="186" t="str">
        <f t="shared" si="7"/>
        <v/>
      </c>
      <c r="H116" s="186" t="str">
        <f t="shared" si="7"/>
        <v/>
      </c>
      <c r="I116" s="186" t="str">
        <f t="shared" si="7"/>
        <v/>
      </c>
      <c r="J116" s="186" t="str">
        <f t="shared" si="7"/>
        <v/>
      </c>
      <c r="K116" s="186" t="str">
        <f t="shared" si="7"/>
        <v/>
      </c>
    </row>
    <row r="117" spans="1:11" ht="14.25" x14ac:dyDescent="0.45">
      <c r="A117" t="s">
        <v>814</v>
      </c>
      <c r="B117">
        <f>ROW()</f>
        <v>117</v>
      </c>
      <c r="C117" t="s">
        <v>1105</v>
      </c>
      <c r="D117" s="74" t="s">
        <v>370</v>
      </c>
      <c r="F117" s="186" t="str">
        <f t="shared" si="7"/>
        <v/>
      </c>
      <c r="G117" s="186" t="str">
        <f t="shared" si="7"/>
        <v/>
      </c>
      <c r="H117" s="186" t="str">
        <f t="shared" si="7"/>
        <v/>
      </c>
      <c r="I117" s="186" t="str">
        <f t="shared" si="7"/>
        <v/>
      </c>
      <c r="J117" s="186" t="str">
        <f t="shared" si="7"/>
        <v/>
      </c>
      <c r="K117" s="186" t="str">
        <f t="shared" si="7"/>
        <v/>
      </c>
    </row>
    <row r="118" spans="1:11" ht="14.25" x14ac:dyDescent="0.45">
      <c r="A118" t="s">
        <v>814</v>
      </c>
      <c r="B118">
        <f>ROW()</f>
        <v>118</v>
      </c>
      <c r="C118" t="s">
        <v>1105</v>
      </c>
      <c r="D118" s="74" t="s">
        <v>371</v>
      </c>
      <c r="F118" s="186" t="str">
        <f t="shared" si="7"/>
        <v/>
      </c>
      <c r="G118" s="186" t="str">
        <f t="shared" si="7"/>
        <v/>
      </c>
      <c r="H118" s="186" t="str">
        <f t="shared" si="7"/>
        <v/>
      </c>
      <c r="I118" s="186" t="str">
        <f t="shared" si="7"/>
        <v/>
      </c>
      <c r="J118" s="186" t="str">
        <f t="shared" si="7"/>
        <v/>
      </c>
      <c r="K118" s="186" t="str">
        <f t="shared" si="7"/>
        <v/>
      </c>
    </row>
    <row r="119" spans="1:11" ht="14.25" x14ac:dyDescent="0.45">
      <c r="A119" t="s">
        <v>814</v>
      </c>
      <c r="B119">
        <f>ROW()</f>
        <v>119</v>
      </c>
      <c r="C119" t="s">
        <v>1105</v>
      </c>
      <c r="D119" s="74" t="s">
        <v>372</v>
      </c>
      <c r="F119" s="186" t="str">
        <f t="shared" si="7"/>
        <v/>
      </c>
      <c r="G119" s="186" t="str">
        <f t="shared" si="7"/>
        <v/>
      </c>
      <c r="H119" s="186" t="str">
        <f t="shared" si="7"/>
        <v/>
      </c>
      <c r="I119" s="186" t="str">
        <f t="shared" si="7"/>
        <v/>
      </c>
      <c r="J119" s="186" t="str">
        <f t="shared" si="7"/>
        <v/>
      </c>
      <c r="K119" s="186" t="str">
        <f t="shared" si="7"/>
        <v/>
      </c>
    </row>
    <row r="120" spans="1:11" ht="14.25" x14ac:dyDescent="0.45">
      <c r="A120" t="s">
        <v>814</v>
      </c>
      <c r="B120">
        <f>ROW()</f>
        <v>120</v>
      </c>
      <c r="C120" t="s">
        <v>1105</v>
      </c>
      <c r="D120" s="74" t="s">
        <v>373</v>
      </c>
      <c r="F120" s="186" t="str">
        <f t="shared" si="7"/>
        <v/>
      </c>
      <c r="G120" s="186" t="str">
        <f t="shared" si="7"/>
        <v/>
      </c>
      <c r="H120" s="186" t="str">
        <f t="shared" si="7"/>
        <v/>
      </c>
      <c r="I120" s="186" t="str">
        <f t="shared" si="7"/>
        <v/>
      </c>
      <c r="J120" s="186" t="str">
        <f t="shared" si="7"/>
        <v/>
      </c>
      <c r="K120" s="186" t="str">
        <f t="shared" si="7"/>
        <v/>
      </c>
    </row>
    <row r="121" spans="1:11" ht="14.25" x14ac:dyDescent="0.45">
      <c r="A121" t="s">
        <v>814</v>
      </c>
      <c r="B121">
        <f>ROW()</f>
        <v>121</v>
      </c>
      <c r="C121" t="s">
        <v>1105</v>
      </c>
      <c r="D121" s="74" t="s">
        <v>374</v>
      </c>
      <c r="F121" s="186" t="str">
        <f t="shared" si="7"/>
        <v/>
      </c>
      <c r="G121" s="186" t="str">
        <f t="shared" si="7"/>
        <v/>
      </c>
      <c r="H121" s="186" t="str">
        <f t="shared" si="7"/>
        <v/>
      </c>
      <c r="I121" s="186" t="str">
        <f t="shared" si="7"/>
        <v/>
      </c>
      <c r="J121" s="186" t="str">
        <f t="shared" si="7"/>
        <v/>
      </c>
      <c r="K121" s="186" t="str">
        <f t="shared" si="7"/>
        <v/>
      </c>
    </row>
    <row r="122" spans="1:11" ht="14.25" x14ac:dyDescent="0.45">
      <c r="A122" t="s">
        <v>814</v>
      </c>
      <c r="B122">
        <f>ROW()</f>
        <v>122</v>
      </c>
      <c r="C122" t="s">
        <v>1105</v>
      </c>
      <c r="D122" s="145" t="s">
        <v>325</v>
      </c>
      <c r="F122" s="186" t="str">
        <f t="shared" si="7"/>
        <v/>
      </c>
      <c r="G122" s="186" t="str">
        <f t="shared" si="7"/>
        <v/>
      </c>
      <c r="H122" s="186" t="str">
        <f t="shared" si="7"/>
        <v/>
      </c>
      <c r="I122" s="186" t="str">
        <f t="shared" si="7"/>
        <v/>
      </c>
      <c r="J122" s="186" t="str">
        <f t="shared" si="7"/>
        <v/>
      </c>
      <c r="K122" s="186" t="str">
        <f t="shared" si="7"/>
        <v/>
      </c>
    </row>
  </sheetData>
  <pageMargins left="0.70866141732283472" right="0.70866141732283472" top="0.74803149606299213" bottom="0.74803149606299213" header="0.31496062992125984" footer="0.31496062992125984"/>
  <pageSetup paperSize="9" scale="34" fitToHeight="0" orientation="landscape" r:id="rId1"/>
  <rowBreaks count="1" manualBreakCount="1">
    <brk id="62" max="11" man="1"/>
  </rowBreaks>
  <tableParts count="4">
    <tablePart r:id="rId2"/>
    <tablePart r:id="rId3"/>
    <tablePart r:id="rId4"/>
    <tablePart r:id="rId5"/>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43853-4344-4E8F-800F-EF4F406901CD}">
  <sheetPr codeName="Sheet26">
    <pageSetUpPr fitToPage="1"/>
  </sheetPr>
  <dimension ref="A1:P34"/>
  <sheetViews>
    <sheetView zoomScale="85" zoomScaleNormal="85" workbookViewId="0">
      <pane ySplit="3" topLeftCell="A4" activePane="bottomLeft" state="frozen"/>
      <selection pane="bottomLeft"/>
    </sheetView>
  </sheetViews>
  <sheetFormatPr defaultRowHeight="14.45" customHeight="1" x14ac:dyDescent="0.45"/>
  <cols>
    <col min="1" max="1" width="29.265625" customWidth="1"/>
    <col min="2" max="2" width="12.3984375" customWidth="1"/>
    <col min="3" max="3" width="21.86328125" customWidth="1"/>
    <col min="4" max="4" width="22" bestFit="1" customWidth="1"/>
    <col min="5" max="5" width="16.1328125" customWidth="1"/>
    <col min="6" max="6" width="31.59765625" customWidth="1"/>
    <col min="7" max="7" width="15.1328125" customWidth="1"/>
    <col min="8" max="8" width="42.59765625" bestFit="1" customWidth="1"/>
    <col min="9" max="9" width="85.86328125" customWidth="1"/>
    <col min="10" max="11" width="34.73046875" bestFit="1" customWidth="1"/>
    <col min="12" max="12" width="28.59765625" bestFit="1" customWidth="1"/>
    <col min="13" max="13" width="36.73046875" bestFit="1" customWidth="1"/>
    <col min="14" max="14" width="39.1328125" customWidth="1"/>
    <col min="15" max="15" width="37.1328125" customWidth="1"/>
    <col min="16" max="16" width="33.86328125" customWidth="1"/>
    <col min="17" max="17" width="9" customWidth="1"/>
  </cols>
  <sheetData>
    <row r="1" spans="1:16" ht="23.25" x14ac:dyDescent="0.45">
      <c r="A1" s="146" t="s">
        <v>1173</v>
      </c>
    </row>
    <row r="2" spans="1:16" ht="21" x14ac:dyDescent="0.65">
      <c r="A2" s="129" t="s">
        <v>1127</v>
      </c>
    </row>
    <row r="3" spans="1:16" ht="37.9" customHeight="1" x14ac:dyDescent="0.45">
      <c r="A3" s="119" t="s">
        <v>78</v>
      </c>
      <c r="B3" s="119" t="s">
        <v>477</v>
      </c>
      <c r="C3" s="119" t="s">
        <v>478</v>
      </c>
      <c r="D3" s="119" t="s">
        <v>480</v>
      </c>
      <c r="E3" s="119" t="s">
        <v>481</v>
      </c>
      <c r="F3" s="119" t="s">
        <v>770</v>
      </c>
      <c r="G3" s="119" t="s">
        <v>482</v>
      </c>
      <c r="H3" s="119" t="s">
        <v>483</v>
      </c>
      <c r="I3" s="119" t="s">
        <v>484</v>
      </c>
      <c r="J3" s="119" t="s">
        <v>485</v>
      </c>
      <c r="K3" s="119" t="s">
        <v>486</v>
      </c>
      <c r="L3" s="119" t="s">
        <v>487</v>
      </c>
      <c r="M3" s="119" t="s">
        <v>488</v>
      </c>
      <c r="N3" s="119" t="s">
        <v>489</v>
      </c>
      <c r="O3" s="119" t="s">
        <v>490</v>
      </c>
      <c r="P3" s="119" t="s">
        <v>491</v>
      </c>
    </row>
    <row r="4" spans="1:16" ht="99.75" x14ac:dyDescent="0.45">
      <c r="A4" s="204" t="s">
        <v>1127</v>
      </c>
      <c r="B4" s="205">
        <v>1</v>
      </c>
      <c r="C4" s="204" t="s">
        <v>492</v>
      </c>
      <c r="D4" s="204" t="s">
        <v>493</v>
      </c>
      <c r="E4" s="170"/>
      <c r="F4" s="170"/>
      <c r="G4" s="170"/>
      <c r="H4" s="170"/>
      <c r="I4" s="204" t="s">
        <v>494</v>
      </c>
      <c r="J4" s="204" t="s">
        <v>495</v>
      </c>
      <c r="K4" s="204" t="s">
        <v>496</v>
      </c>
      <c r="L4" s="204" t="s">
        <v>497</v>
      </c>
      <c r="M4" s="204" t="s">
        <v>498</v>
      </c>
      <c r="N4" s="204" t="s">
        <v>499</v>
      </c>
      <c r="O4" s="204" t="s">
        <v>500</v>
      </c>
      <c r="P4" s="204" t="s">
        <v>992</v>
      </c>
    </row>
    <row r="5" spans="1:16" ht="128.25" x14ac:dyDescent="0.45">
      <c r="A5" s="204" t="s">
        <v>1127</v>
      </c>
      <c r="B5" s="205">
        <v>2</v>
      </c>
      <c r="C5" s="204" t="s">
        <v>501</v>
      </c>
      <c r="D5" s="204" t="s">
        <v>502</v>
      </c>
      <c r="E5" s="170"/>
      <c r="F5" s="170"/>
      <c r="G5" s="170"/>
      <c r="H5" s="170"/>
      <c r="I5" s="204" t="s">
        <v>503</v>
      </c>
      <c r="J5" s="204" t="s">
        <v>504</v>
      </c>
      <c r="K5" s="204" t="s">
        <v>505</v>
      </c>
      <c r="L5" s="204" t="s">
        <v>993</v>
      </c>
      <c r="M5" s="204" t="s">
        <v>506</v>
      </c>
      <c r="N5" s="204" t="s">
        <v>507</v>
      </c>
      <c r="O5" s="204" t="s">
        <v>508</v>
      </c>
      <c r="P5" s="204" t="s">
        <v>992</v>
      </c>
    </row>
    <row r="6" spans="1:16" ht="128.25" x14ac:dyDescent="0.45">
      <c r="A6" s="204" t="s">
        <v>1127</v>
      </c>
      <c r="B6" s="205">
        <v>3</v>
      </c>
      <c r="C6" s="204" t="s">
        <v>501</v>
      </c>
      <c r="D6" s="204" t="s">
        <v>509</v>
      </c>
      <c r="E6" s="170"/>
      <c r="F6" s="170"/>
      <c r="G6" s="170"/>
      <c r="H6" s="170"/>
      <c r="I6" s="204" t="s">
        <v>510</v>
      </c>
      <c r="J6" s="204" t="s">
        <v>511</v>
      </c>
      <c r="K6" s="204" t="s">
        <v>512</v>
      </c>
      <c r="L6" s="204" t="s">
        <v>994</v>
      </c>
      <c r="M6" s="204" t="s">
        <v>513</v>
      </c>
      <c r="N6" s="204" t="s">
        <v>514</v>
      </c>
      <c r="O6" s="204" t="s">
        <v>515</v>
      </c>
      <c r="P6" s="204" t="s">
        <v>992</v>
      </c>
    </row>
    <row r="7" spans="1:16" ht="99.75" x14ac:dyDescent="0.45">
      <c r="A7" s="204" t="s">
        <v>1127</v>
      </c>
      <c r="B7" s="205">
        <v>4</v>
      </c>
      <c r="C7" s="204" t="s">
        <v>516</v>
      </c>
      <c r="D7" s="204" t="s">
        <v>517</v>
      </c>
      <c r="E7" s="170"/>
      <c r="F7" s="170"/>
      <c r="G7" s="170"/>
      <c r="H7" s="170"/>
      <c r="I7" s="204" t="s">
        <v>518</v>
      </c>
      <c r="J7" s="204" t="s">
        <v>519</v>
      </c>
      <c r="K7" s="204" t="s">
        <v>520</v>
      </c>
      <c r="L7" s="204" t="s">
        <v>521</v>
      </c>
      <c r="M7" s="204" t="s">
        <v>522</v>
      </c>
      <c r="N7" s="204" t="s">
        <v>523</v>
      </c>
      <c r="O7" s="204" t="s">
        <v>524</v>
      </c>
      <c r="P7" s="204" t="s">
        <v>992</v>
      </c>
    </row>
    <row r="8" spans="1:16" ht="99.75" x14ac:dyDescent="0.45">
      <c r="A8" s="204" t="s">
        <v>1127</v>
      </c>
      <c r="B8" s="205">
        <v>5</v>
      </c>
      <c r="C8" s="204" t="s">
        <v>516</v>
      </c>
      <c r="D8" s="204" t="s">
        <v>525</v>
      </c>
      <c r="E8" s="170"/>
      <c r="F8" s="170"/>
      <c r="G8" s="170"/>
      <c r="H8" s="170"/>
      <c r="I8" s="204" t="s">
        <v>526</v>
      </c>
      <c r="J8" s="204" t="s">
        <v>527</v>
      </c>
      <c r="K8" s="204" t="s">
        <v>528</v>
      </c>
      <c r="L8" s="204" t="s">
        <v>529</v>
      </c>
      <c r="M8" s="204" t="s">
        <v>995</v>
      </c>
      <c r="N8" s="204" t="s">
        <v>530</v>
      </c>
      <c r="O8" s="204" t="s">
        <v>531</v>
      </c>
      <c r="P8" s="204" t="s">
        <v>992</v>
      </c>
    </row>
    <row r="9" spans="1:16" ht="114" x14ac:dyDescent="0.45">
      <c r="A9" s="204" t="s">
        <v>1127</v>
      </c>
      <c r="B9" s="205">
        <v>6</v>
      </c>
      <c r="C9" s="204" t="s">
        <v>516</v>
      </c>
      <c r="D9" s="204" t="s">
        <v>532</v>
      </c>
      <c r="E9" s="170"/>
      <c r="F9" s="170"/>
      <c r="G9" s="170"/>
      <c r="H9" s="170"/>
      <c r="I9" s="204" t="s">
        <v>533</v>
      </c>
      <c r="J9" s="204" t="s">
        <v>534</v>
      </c>
      <c r="K9" s="204" t="s">
        <v>535</v>
      </c>
      <c r="L9" s="204" t="s">
        <v>536</v>
      </c>
      <c r="M9" s="204" t="s">
        <v>537</v>
      </c>
      <c r="N9" s="204" t="s">
        <v>538</v>
      </c>
      <c r="O9" s="204" t="s">
        <v>539</v>
      </c>
      <c r="P9" s="204" t="s">
        <v>992</v>
      </c>
    </row>
    <row r="10" spans="1:16" ht="128.25" x14ac:dyDescent="0.45">
      <c r="A10" s="204" t="s">
        <v>1127</v>
      </c>
      <c r="B10" s="205">
        <v>7</v>
      </c>
      <c r="C10" s="204" t="s">
        <v>516</v>
      </c>
      <c r="D10" s="204" t="s">
        <v>996</v>
      </c>
      <c r="E10" s="170"/>
      <c r="F10" s="170"/>
      <c r="G10" s="170"/>
      <c r="H10" s="170"/>
      <c r="I10" s="204" t="s">
        <v>540</v>
      </c>
      <c r="J10" s="204" t="s">
        <v>541</v>
      </c>
      <c r="K10" s="204" t="s">
        <v>542</v>
      </c>
      <c r="L10" s="204" t="s">
        <v>543</v>
      </c>
      <c r="M10" s="204" t="s">
        <v>544</v>
      </c>
      <c r="N10" s="204" t="s">
        <v>545</v>
      </c>
      <c r="O10" s="204" t="s">
        <v>546</v>
      </c>
      <c r="P10" s="204" t="s">
        <v>992</v>
      </c>
    </row>
    <row r="11" spans="1:16" ht="128.25" x14ac:dyDescent="0.45">
      <c r="A11" s="204" t="s">
        <v>1127</v>
      </c>
      <c r="B11" s="205">
        <v>8</v>
      </c>
      <c r="C11" s="204" t="s">
        <v>547</v>
      </c>
      <c r="D11" s="204" t="s">
        <v>548</v>
      </c>
      <c r="E11" s="170"/>
      <c r="F11" s="170"/>
      <c r="G11" s="170"/>
      <c r="H11" s="170"/>
      <c r="I11" s="204" t="s">
        <v>549</v>
      </c>
      <c r="J11" s="204" t="s">
        <v>550</v>
      </c>
      <c r="K11" s="204" t="s">
        <v>551</v>
      </c>
      <c r="L11" s="204" t="s">
        <v>552</v>
      </c>
      <c r="M11" s="204" t="s">
        <v>553</v>
      </c>
      <c r="N11" s="204" t="s">
        <v>554</v>
      </c>
      <c r="O11" s="204" t="s">
        <v>555</v>
      </c>
      <c r="P11" s="204" t="s">
        <v>992</v>
      </c>
    </row>
    <row r="12" spans="1:16" ht="156.75" x14ac:dyDescent="0.45">
      <c r="A12" s="204" t="s">
        <v>1127</v>
      </c>
      <c r="B12" s="205">
        <v>9</v>
      </c>
      <c r="C12" s="204" t="s">
        <v>556</v>
      </c>
      <c r="D12" s="204" t="s">
        <v>557</v>
      </c>
      <c r="E12" s="170"/>
      <c r="F12" s="170"/>
      <c r="G12" s="170"/>
      <c r="H12" s="170"/>
      <c r="I12" s="204" t="s">
        <v>1262</v>
      </c>
      <c r="J12" s="204" t="s">
        <v>558</v>
      </c>
      <c r="K12" s="204" t="s">
        <v>559</v>
      </c>
      <c r="L12" s="204" t="s">
        <v>560</v>
      </c>
      <c r="M12" s="204" t="s">
        <v>561</v>
      </c>
      <c r="N12" s="204" t="s">
        <v>562</v>
      </c>
      <c r="O12" s="204" t="s">
        <v>563</v>
      </c>
      <c r="P12" s="204" t="s">
        <v>992</v>
      </c>
    </row>
    <row r="13" spans="1:16" ht="142.5" x14ac:dyDescent="0.45">
      <c r="A13" s="204" t="s">
        <v>1127</v>
      </c>
      <c r="B13" s="205">
        <v>10</v>
      </c>
      <c r="C13" s="204" t="s">
        <v>556</v>
      </c>
      <c r="D13" s="204" t="s">
        <v>564</v>
      </c>
      <c r="E13" s="170"/>
      <c r="F13" s="170"/>
      <c r="G13" s="170"/>
      <c r="H13" s="170"/>
      <c r="I13" s="204" t="s">
        <v>565</v>
      </c>
      <c r="J13" s="204" t="s">
        <v>566</v>
      </c>
      <c r="K13" s="204" t="s">
        <v>567</v>
      </c>
      <c r="L13" s="204" t="s">
        <v>568</v>
      </c>
      <c r="M13" s="204" t="s">
        <v>569</v>
      </c>
      <c r="N13" s="204" t="s">
        <v>570</v>
      </c>
      <c r="O13" s="204" t="s">
        <v>571</v>
      </c>
      <c r="P13" s="204" t="s">
        <v>992</v>
      </c>
    </row>
    <row r="14" spans="1:16" ht="99.75" x14ac:dyDescent="0.45">
      <c r="A14" s="204" t="s">
        <v>1127</v>
      </c>
      <c r="B14" s="205">
        <v>11</v>
      </c>
      <c r="C14" s="204" t="s">
        <v>556</v>
      </c>
      <c r="D14" s="204" t="s">
        <v>572</v>
      </c>
      <c r="E14" s="170"/>
      <c r="F14" s="170"/>
      <c r="G14" s="170"/>
      <c r="H14" s="170"/>
      <c r="I14" s="204" t="s">
        <v>573</v>
      </c>
      <c r="J14" s="204" t="s">
        <v>574</v>
      </c>
      <c r="K14" s="204" t="s">
        <v>575</v>
      </c>
      <c r="L14" s="204" t="s">
        <v>576</v>
      </c>
      <c r="M14" s="204" t="s">
        <v>577</v>
      </c>
      <c r="N14" s="204" t="s">
        <v>578</v>
      </c>
      <c r="O14" s="204" t="s">
        <v>579</v>
      </c>
      <c r="P14" s="204" t="s">
        <v>992</v>
      </c>
    </row>
    <row r="15" spans="1:16" ht="171" x14ac:dyDescent="0.45">
      <c r="A15" s="204" t="s">
        <v>1127</v>
      </c>
      <c r="B15" s="205">
        <v>12</v>
      </c>
      <c r="C15" s="204" t="s">
        <v>580</v>
      </c>
      <c r="D15" s="204" t="s">
        <v>581</v>
      </c>
      <c r="E15" s="170"/>
      <c r="F15" s="170"/>
      <c r="G15" s="170"/>
      <c r="H15" s="170"/>
      <c r="I15" s="204" t="s">
        <v>582</v>
      </c>
      <c r="J15" s="204" t="s">
        <v>583</v>
      </c>
      <c r="K15" s="204" t="s">
        <v>584</v>
      </c>
      <c r="L15" s="204" t="s">
        <v>997</v>
      </c>
      <c r="M15" s="204" t="s">
        <v>585</v>
      </c>
      <c r="N15" s="204" t="s">
        <v>586</v>
      </c>
      <c r="O15" s="204" t="s">
        <v>587</v>
      </c>
      <c r="P15" s="204" t="s">
        <v>992</v>
      </c>
    </row>
    <row r="16" spans="1:16" ht="171" x14ac:dyDescent="0.45">
      <c r="A16" s="204" t="s">
        <v>1127</v>
      </c>
      <c r="B16" s="205">
        <v>13</v>
      </c>
      <c r="C16" s="204" t="s">
        <v>588</v>
      </c>
      <c r="D16" s="204" t="s">
        <v>589</v>
      </c>
      <c r="E16" s="170"/>
      <c r="F16" s="170"/>
      <c r="G16" s="170"/>
      <c r="H16" s="170"/>
      <c r="I16" s="204" t="s">
        <v>590</v>
      </c>
      <c r="J16" s="204" t="s">
        <v>591</v>
      </c>
      <c r="K16" s="204" t="s">
        <v>592</v>
      </c>
      <c r="L16" s="204" t="s">
        <v>593</v>
      </c>
      <c r="M16" s="204" t="s">
        <v>594</v>
      </c>
      <c r="N16" s="204" t="s">
        <v>595</v>
      </c>
      <c r="O16" s="204" t="s">
        <v>596</v>
      </c>
      <c r="P16" s="204" t="s">
        <v>992</v>
      </c>
    </row>
    <row r="17" spans="1:16" ht="185.25" x14ac:dyDescent="0.45">
      <c r="A17" s="204" t="s">
        <v>1127</v>
      </c>
      <c r="B17" s="205">
        <v>14</v>
      </c>
      <c r="C17" s="204" t="s">
        <v>588</v>
      </c>
      <c r="D17" s="204" t="s">
        <v>597</v>
      </c>
      <c r="E17" s="170"/>
      <c r="F17" s="170"/>
      <c r="G17" s="170"/>
      <c r="H17" s="170"/>
      <c r="I17" s="204" t="s">
        <v>1263</v>
      </c>
      <c r="J17" s="204" t="s">
        <v>591</v>
      </c>
      <c r="K17" s="204" t="s">
        <v>598</v>
      </c>
      <c r="L17" s="204" t="s">
        <v>599</v>
      </c>
      <c r="M17" s="204" t="s">
        <v>600</v>
      </c>
      <c r="N17" s="204" t="s">
        <v>601</v>
      </c>
      <c r="O17" s="204" t="s">
        <v>602</v>
      </c>
      <c r="P17" s="204" t="s">
        <v>992</v>
      </c>
    </row>
    <row r="18" spans="1:16" ht="142.5" x14ac:dyDescent="0.45">
      <c r="A18" s="204" t="s">
        <v>1127</v>
      </c>
      <c r="B18" s="205">
        <v>15</v>
      </c>
      <c r="C18" s="204" t="s">
        <v>588</v>
      </c>
      <c r="D18" s="204" t="s">
        <v>603</v>
      </c>
      <c r="E18" s="170"/>
      <c r="F18" s="170"/>
      <c r="G18" s="170"/>
      <c r="H18" s="170"/>
      <c r="I18" s="204" t="s">
        <v>1264</v>
      </c>
      <c r="J18" s="204" t="s">
        <v>604</v>
      </c>
      <c r="K18" s="204" t="s">
        <v>605</v>
      </c>
      <c r="L18" s="204" t="s">
        <v>606</v>
      </c>
      <c r="M18" s="204" t="s">
        <v>607</v>
      </c>
      <c r="N18" s="204" t="s">
        <v>608</v>
      </c>
      <c r="O18" s="204" t="s">
        <v>609</v>
      </c>
      <c r="P18" s="204" t="s">
        <v>992</v>
      </c>
    </row>
    <row r="19" spans="1:16" ht="156.75" x14ac:dyDescent="0.45">
      <c r="A19" s="204" t="s">
        <v>1127</v>
      </c>
      <c r="B19" s="205">
        <v>16</v>
      </c>
      <c r="C19" s="204" t="s">
        <v>610</v>
      </c>
      <c r="D19" s="204" t="s">
        <v>611</v>
      </c>
      <c r="E19" s="170"/>
      <c r="F19" s="170"/>
      <c r="G19" s="170"/>
      <c r="H19" s="170"/>
      <c r="I19" s="204" t="s">
        <v>612</v>
      </c>
      <c r="J19" s="204" t="s">
        <v>613</v>
      </c>
      <c r="K19" s="204" t="s">
        <v>614</v>
      </c>
      <c r="L19" s="204" t="s">
        <v>615</v>
      </c>
      <c r="M19" s="204" t="s">
        <v>616</v>
      </c>
      <c r="N19" s="204" t="s">
        <v>617</v>
      </c>
      <c r="O19" s="204" t="s">
        <v>618</v>
      </c>
      <c r="P19" s="204" t="s">
        <v>992</v>
      </c>
    </row>
    <row r="20" spans="1:16" ht="99.75" x14ac:dyDescent="0.45">
      <c r="A20" s="204" t="s">
        <v>1127</v>
      </c>
      <c r="B20" s="205">
        <v>17</v>
      </c>
      <c r="C20" s="204" t="s">
        <v>619</v>
      </c>
      <c r="D20" s="204" t="s">
        <v>620</v>
      </c>
      <c r="E20" s="170"/>
      <c r="F20" s="170"/>
      <c r="G20" s="170"/>
      <c r="H20" s="170"/>
      <c r="I20" s="204" t="s">
        <v>1265</v>
      </c>
      <c r="J20" s="204" t="s">
        <v>621</v>
      </c>
      <c r="K20" s="204" t="s">
        <v>622</v>
      </c>
      <c r="L20" s="204" t="s">
        <v>623</v>
      </c>
      <c r="M20" s="204" t="s">
        <v>624</v>
      </c>
      <c r="N20" s="204" t="s">
        <v>625</v>
      </c>
      <c r="O20" s="204" t="s">
        <v>626</v>
      </c>
      <c r="P20" s="204" t="s">
        <v>992</v>
      </c>
    </row>
    <row r="21" spans="1:16" ht="128.25" x14ac:dyDescent="0.45">
      <c r="A21" s="204" t="s">
        <v>1127</v>
      </c>
      <c r="B21" s="205">
        <v>18</v>
      </c>
      <c r="C21" s="204" t="s">
        <v>627</v>
      </c>
      <c r="D21" s="204" t="s">
        <v>628</v>
      </c>
      <c r="E21" s="170"/>
      <c r="F21" s="170"/>
      <c r="G21" s="170"/>
      <c r="H21" s="170"/>
      <c r="I21" s="204" t="s">
        <v>998</v>
      </c>
      <c r="J21" s="204" t="s">
        <v>629</v>
      </c>
      <c r="K21" s="204" t="s">
        <v>630</v>
      </c>
      <c r="L21" s="204" t="s">
        <v>631</v>
      </c>
      <c r="M21" s="204" t="s">
        <v>632</v>
      </c>
      <c r="N21" s="204" t="s">
        <v>633</v>
      </c>
      <c r="O21" s="204" t="s">
        <v>634</v>
      </c>
      <c r="P21" s="204" t="s">
        <v>992</v>
      </c>
    </row>
    <row r="22" spans="1:16" ht="114" x14ac:dyDescent="0.45">
      <c r="A22" s="204" t="s">
        <v>1127</v>
      </c>
      <c r="B22" s="205">
        <v>19</v>
      </c>
      <c r="C22" s="204" t="s">
        <v>627</v>
      </c>
      <c r="D22" s="204" t="s">
        <v>635</v>
      </c>
      <c r="E22" s="170"/>
      <c r="F22" s="170"/>
      <c r="G22" s="170"/>
      <c r="H22" s="170"/>
      <c r="I22" s="204" t="s">
        <v>999</v>
      </c>
      <c r="J22" s="204" t="s">
        <v>636</v>
      </c>
      <c r="K22" s="204" t="s">
        <v>637</v>
      </c>
      <c r="L22" s="204" t="s">
        <v>638</v>
      </c>
      <c r="M22" s="204" t="s">
        <v>639</v>
      </c>
      <c r="N22" s="204" t="s">
        <v>640</v>
      </c>
      <c r="O22" s="204" t="s">
        <v>641</v>
      </c>
      <c r="P22" s="204" t="s">
        <v>992</v>
      </c>
    </row>
    <row r="23" spans="1:16" ht="114" x14ac:dyDescent="0.45">
      <c r="A23" s="204" t="s">
        <v>1127</v>
      </c>
      <c r="B23" s="205">
        <v>20</v>
      </c>
      <c r="C23" s="204" t="s">
        <v>627</v>
      </c>
      <c r="D23" s="204" t="s">
        <v>642</v>
      </c>
      <c r="E23" s="170"/>
      <c r="F23" s="170"/>
      <c r="G23" s="170"/>
      <c r="H23" s="170"/>
      <c r="I23" s="204" t="s">
        <v>643</v>
      </c>
      <c r="J23" s="204" t="s">
        <v>644</v>
      </c>
      <c r="K23" s="204" t="s">
        <v>645</v>
      </c>
      <c r="L23" s="204" t="s">
        <v>646</v>
      </c>
      <c r="M23" s="204" t="s">
        <v>647</v>
      </c>
      <c r="N23" s="204" t="s">
        <v>648</v>
      </c>
      <c r="O23" s="204" t="s">
        <v>649</v>
      </c>
      <c r="P23" s="204" t="s">
        <v>992</v>
      </c>
    </row>
    <row r="24" spans="1:16" ht="171" x14ac:dyDescent="0.45">
      <c r="A24" s="204" t="s">
        <v>1127</v>
      </c>
      <c r="B24" s="205">
        <v>21</v>
      </c>
      <c r="C24" s="204" t="s">
        <v>650</v>
      </c>
      <c r="D24" s="204" t="s">
        <v>651</v>
      </c>
      <c r="E24" s="170"/>
      <c r="F24" s="170"/>
      <c r="G24" s="170"/>
      <c r="H24" s="170"/>
      <c r="I24" s="204" t="s">
        <v>652</v>
      </c>
      <c r="J24" s="204" t="s">
        <v>653</v>
      </c>
      <c r="K24" s="204" t="s">
        <v>654</v>
      </c>
      <c r="L24" s="204" t="s">
        <v>655</v>
      </c>
      <c r="M24" s="204" t="s">
        <v>656</v>
      </c>
      <c r="N24" s="204" t="s">
        <v>657</v>
      </c>
      <c r="O24" s="204" t="s">
        <v>658</v>
      </c>
      <c r="P24" s="204" t="s">
        <v>992</v>
      </c>
    </row>
    <row r="25" spans="1:16" ht="128.25" x14ac:dyDescent="0.45">
      <c r="A25" s="204" t="s">
        <v>1127</v>
      </c>
      <c r="B25" s="205">
        <v>22</v>
      </c>
      <c r="C25" s="204" t="s">
        <v>659</v>
      </c>
      <c r="D25" s="204" t="s">
        <v>660</v>
      </c>
      <c r="E25" s="170"/>
      <c r="F25" s="170"/>
      <c r="G25" s="170"/>
      <c r="H25" s="170"/>
      <c r="I25" s="204" t="s">
        <v>661</v>
      </c>
      <c r="J25" s="204" t="s">
        <v>662</v>
      </c>
      <c r="K25" s="204" t="s">
        <v>663</v>
      </c>
      <c r="L25" s="204" t="s">
        <v>664</v>
      </c>
      <c r="M25" s="204" t="s">
        <v>665</v>
      </c>
      <c r="N25" s="204" t="s">
        <v>666</v>
      </c>
      <c r="O25" s="204" t="s">
        <v>667</v>
      </c>
      <c r="P25" s="204" t="s">
        <v>992</v>
      </c>
    </row>
    <row r="26" spans="1:16" ht="156.75" x14ac:dyDescent="0.45">
      <c r="A26" s="204" t="s">
        <v>1127</v>
      </c>
      <c r="B26" s="205">
        <v>23</v>
      </c>
      <c r="C26" s="204" t="s">
        <v>668</v>
      </c>
      <c r="D26" s="204" t="s">
        <v>669</v>
      </c>
      <c r="E26" s="170"/>
      <c r="F26" s="170"/>
      <c r="G26" s="170"/>
      <c r="H26" s="170"/>
      <c r="I26" s="204" t="s">
        <v>670</v>
      </c>
      <c r="J26" s="204" t="s">
        <v>671</v>
      </c>
      <c r="K26" s="204" t="s">
        <v>672</v>
      </c>
      <c r="L26" s="204" t="s">
        <v>673</v>
      </c>
      <c r="M26" s="204" t="s">
        <v>674</v>
      </c>
      <c r="N26" s="204" t="s">
        <v>675</v>
      </c>
      <c r="O26" s="204" t="s">
        <v>676</v>
      </c>
      <c r="P26" s="204" t="s">
        <v>992</v>
      </c>
    </row>
    <row r="27" spans="1:16" ht="199.5" x14ac:dyDescent="0.45">
      <c r="A27" s="204" t="s">
        <v>1127</v>
      </c>
      <c r="B27" s="205">
        <v>24</v>
      </c>
      <c r="C27" s="204" t="s">
        <v>677</v>
      </c>
      <c r="D27" s="204" t="s">
        <v>678</v>
      </c>
      <c r="E27" s="170"/>
      <c r="F27" s="170"/>
      <c r="G27" s="170"/>
      <c r="H27" s="170"/>
      <c r="I27" s="204" t="s">
        <v>679</v>
      </c>
      <c r="J27" s="204" t="s">
        <v>680</v>
      </c>
      <c r="K27" s="204" t="s">
        <v>681</v>
      </c>
      <c r="L27" s="204" t="s">
        <v>682</v>
      </c>
      <c r="M27" s="204" t="s">
        <v>683</v>
      </c>
      <c r="N27" s="204" t="s">
        <v>684</v>
      </c>
      <c r="O27" s="204" t="s">
        <v>685</v>
      </c>
      <c r="P27" s="204" t="s">
        <v>992</v>
      </c>
    </row>
    <row r="28" spans="1:16" ht="213.75" x14ac:dyDescent="0.45">
      <c r="A28" s="204" t="s">
        <v>1127</v>
      </c>
      <c r="B28" s="205">
        <v>25</v>
      </c>
      <c r="C28" s="204" t="s">
        <v>677</v>
      </c>
      <c r="D28" s="204" t="s">
        <v>686</v>
      </c>
      <c r="E28" s="170"/>
      <c r="F28" s="170"/>
      <c r="G28" s="170"/>
      <c r="H28" s="170"/>
      <c r="I28" s="204" t="s">
        <v>687</v>
      </c>
      <c r="J28" s="204" t="s">
        <v>688</v>
      </c>
      <c r="K28" s="204" t="s">
        <v>689</v>
      </c>
      <c r="L28" s="204" t="s">
        <v>690</v>
      </c>
      <c r="M28" s="204" t="s">
        <v>691</v>
      </c>
      <c r="N28" s="204" t="s">
        <v>692</v>
      </c>
      <c r="O28" s="204" t="s">
        <v>693</v>
      </c>
      <c r="P28" s="204" t="s">
        <v>992</v>
      </c>
    </row>
    <row r="29" spans="1:16" ht="199.5" x14ac:dyDescent="0.45">
      <c r="A29" s="204" t="s">
        <v>1127</v>
      </c>
      <c r="B29" s="205">
        <v>26</v>
      </c>
      <c r="C29" s="204" t="s">
        <v>694</v>
      </c>
      <c r="D29" s="204" t="s">
        <v>695</v>
      </c>
      <c r="E29" s="170"/>
      <c r="F29" s="170"/>
      <c r="G29" s="170"/>
      <c r="H29" s="170"/>
      <c r="I29" s="204" t="s">
        <v>696</v>
      </c>
      <c r="J29" s="204" t="s">
        <v>697</v>
      </c>
      <c r="K29" s="204" t="s">
        <v>698</v>
      </c>
      <c r="L29" s="204" t="s">
        <v>699</v>
      </c>
      <c r="M29" s="204" t="s">
        <v>700</v>
      </c>
      <c r="N29" s="204" t="s">
        <v>701</v>
      </c>
      <c r="O29" s="204" t="s">
        <v>702</v>
      </c>
      <c r="P29" s="204" t="s">
        <v>992</v>
      </c>
    </row>
    <row r="30" spans="1:16" ht="185.25" x14ac:dyDescent="0.45">
      <c r="A30" s="204" t="s">
        <v>1127</v>
      </c>
      <c r="B30" s="205">
        <v>27</v>
      </c>
      <c r="C30" s="204" t="s">
        <v>703</v>
      </c>
      <c r="D30" s="204" t="s">
        <v>704</v>
      </c>
      <c r="E30" s="170"/>
      <c r="F30" s="170"/>
      <c r="G30" s="170"/>
      <c r="H30" s="170"/>
      <c r="I30" s="204" t="s">
        <v>705</v>
      </c>
      <c r="J30" s="204" t="s">
        <v>706</v>
      </c>
      <c r="K30" s="204" t="s">
        <v>707</v>
      </c>
      <c r="L30" s="204" t="s">
        <v>708</v>
      </c>
      <c r="M30" s="204" t="s">
        <v>709</v>
      </c>
      <c r="N30" s="204" t="s">
        <v>710</v>
      </c>
      <c r="O30" s="204" t="s">
        <v>711</v>
      </c>
      <c r="P30" s="204" t="s">
        <v>992</v>
      </c>
    </row>
    <row r="31" spans="1:16" ht="156.75" x14ac:dyDescent="0.45">
      <c r="A31" s="204" t="s">
        <v>1127</v>
      </c>
      <c r="B31" s="205">
        <v>28</v>
      </c>
      <c r="C31" s="204" t="s">
        <v>712</v>
      </c>
      <c r="D31" s="204" t="s">
        <v>713</v>
      </c>
      <c r="E31" s="170"/>
      <c r="F31" s="170"/>
      <c r="G31" s="170"/>
      <c r="H31" s="170"/>
      <c r="I31" s="204" t="s">
        <v>714</v>
      </c>
      <c r="J31" s="204" t="s">
        <v>715</v>
      </c>
      <c r="K31" s="204" t="s">
        <v>716</v>
      </c>
      <c r="L31" s="204" t="s">
        <v>717</v>
      </c>
      <c r="M31" s="204" t="s">
        <v>718</v>
      </c>
      <c r="N31" s="204" t="s">
        <v>719</v>
      </c>
      <c r="O31" s="204" t="s">
        <v>720</v>
      </c>
      <c r="P31" s="204" t="s">
        <v>992</v>
      </c>
    </row>
    <row r="32" spans="1:16" ht="128.25" x14ac:dyDescent="0.45">
      <c r="A32" s="204" t="s">
        <v>1127</v>
      </c>
      <c r="B32" s="205">
        <v>39</v>
      </c>
      <c r="C32" s="204" t="s">
        <v>721</v>
      </c>
      <c r="D32" s="204" t="s">
        <v>722</v>
      </c>
      <c r="E32" s="170"/>
      <c r="F32" s="170"/>
      <c r="G32" s="170"/>
      <c r="H32" s="170"/>
      <c r="I32" s="204" t="s">
        <v>723</v>
      </c>
      <c r="J32" s="204" t="s">
        <v>724</v>
      </c>
      <c r="K32" s="204" t="s">
        <v>725</v>
      </c>
      <c r="L32" s="204" t="s">
        <v>726</v>
      </c>
      <c r="M32" s="204" t="s">
        <v>727</v>
      </c>
      <c r="N32" s="204" t="s">
        <v>728</v>
      </c>
      <c r="O32" s="204" t="s">
        <v>729</v>
      </c>
      <c r="P32" s="204" t="s">
        <v>992</v>
      </c>
    </row>
    <row r="33" spans="1:16" ht="128.25" x14ac:dyDescent="0.45">
      <c r="A33" s="204" t="s">
        <v>1127</v>
      </c>
      <c r="B33" s="205">
        <v>30</v>
      </c>
      <c r="C33" s="204" t="s">
        <v>730</v>
      </c>
      <c r="D33" s="204" t="s">
        <v>731</v>
      </c>
      <c r="E33" s="170"/>
      <c r="F33" s="170"/>
      <c r="G33" s="170"/>
      <c r="H33" s="170"/>
      <c r="I33" s="204" t="s">
        <v>732</v>
      </c>
      <c r="J33" s="204" t="s">
        <v>733</v>
      </c>
      <c r="K33" s="204" t="s">
        <v>734</v>
      </c>
      <c r="L33" s="204" t="s">
        <v>735</v>
      </c>
      <c r="M33" s="204" t="s">
        <v>736</v>
      </c>
      <c r="N33" s="204" t="s">
        <v>737</v>
      </c>
      <c r="O33" s="204" t="s">
        <v>738</v>
      </c>
      <c r="P33" s="204" t="s">
        <v>992</v>
      </c>
    </row>
    <row r="34" spans="1:16" ht="185.25" x14ac:dyDescent="0.45">
      <c r="A34" s="204" t="s">
        <v>1127</v>
      </c>
      <c r="B34" s="205">
        <v>31</v>
      </c>
      <c r="C34" s="204" t="s">
        <v>730</v>
      </c>
      <c r="D34" s="204" t="s">
        <v>739</v>
      </c>
      <c r="E34" s="170"/>
      <c r="F34" s="170"/>
      <c r="G34" s="170"/>
      <c r="H34" s="170"/>
      <c r="I34" s="204" t="s">
        <v>740</v>
      </c>
      <c r="J34" s="204" t="s">
        <v>741</v>
      </c>
      <c r="K34" s="204" t="s">
        <v>742</v>
      </c>
      <c r="L34" s="204" t="s">
        <v>743</v>
      </c>
      <c r="M34" s="204" t="s">
        <v>744</v>
      </c>
      <c r="N34" s="204" t="s">
        <v>745</v>
      </c>
      <c r="O34" s="204" t="s">
        <v>746</v>
      </c>
      <c r="P34" s="204" t="s">
        <v>992</v>
      </c>
    </row>
  </sheetData>
  <phoneticPr fontId="27" type="noConversion"/>
  <pageMargins left="0.70866141732283472" right="0.70866141732283472" top="0.74803149606299213" bottom="0.74803149606299213" header="0.31496062992125984" footer="0.31496062992125984"/>
  <pageSetup paperSize="9" scale="37" fitToHeight="0" orientation="landscape" r:id="rId1"/>
  <rowBreaks count="1" manualBreakCount="1">
    <brk id="15" max="10" man="1"/>
  </rowBreaks>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208C-ACBA-4DE5-9C15-8A4F5B4CF502}">
  <sheetPr codeName="Sheet27">
    <pageSetUpPr fitToPage="1"/>
  </sheetPr>
  <dimension ref="A1:H15"/>
  <sheetViews>
    <sheetView zoomScale="70" zoomScaleNormal="70" workbookViewId="0">
      <pane ySplit="3" topLeftCell="A4" activePane="bottomLeft" state="frozen"/>
      <selection pane="bottomLeft"/>
    </sheetView>
  </sheetViews>
  <sheetFormatPr defaultRowHeight="14.45" customHeight="1" x14ac:dyDescent="0.45"/>
  <cols>
    <col min="1" max="1" width="18.73046875" customWidth="1"/>
    <col min="2" max="2" width="15.59765625" customWidth="1"/>
    <col min="3" max="3" width="28.59765625" customWidth="1"/>
    <col min="4" max="4" width="19.73046875" customWidth="1"/>
    <col min="5" max="5" width="32.3984375" customWidth="1"/>
    <col min="6" max="6" width="44.73046875" customWidth="1"/>
    <col min="7" max="7" width="32.3984375" customWidth="1"/>
    <col min="8" max="8" width="44.3984375" customWidth="1"/>
    <col min="9" max="17" width="9" customWidth="1"/>
  </cols>
  <sheetData>
    <row r="1" spans="1:8" ht="23.25" x14ac:dyDescent="0.45">
      <c r="A1" s="146" t="s">
        <v>1174</v>
      </c>
    </row>
    <row r="2" spans="1:8" ht="21" x14ac:dyDescent="0.65">
      <c r="A2" s="129" t="s">
        <v>1128</v>
      </c>
    </row>
    <row r="3" spans="1:8" ht="37.9" customHeight="1" x14ac:dyDescent="0.45">
      <c r="A3" s="119" t="s">
        <v>78</v>
      </c>
      <c r="B3" s="119" t="s">
        <v>477</v>
      </c>
      <c r="C3" s="119" t="s">
        <v>478</v>
      </c>
      <c r="D3" s="119" t="s">
        <v>479</v>
      </c>
      <c r="E3" s="119" t="s">
        <v>747</v>
      </c>
      <c r="F3" s="119" t="s">
        <v>770</v>
      </c>
      <c r="G3" s="119" t="s">
        <v>748</v>
      </c>
      <c r="H3" s="119" t="s">
        <v>749</v>
      </c>
    </row>
    <row r="4" spans="1:8" ht="156.75" x14ac:dyDescent="0.45">
      <c r="A4" s="204" t="s">
        <v>1128</v>
      </c>
      <c r="B4" s="205">
        <v>32</v>
      </c>
      <c r="C4" s="204" t="s">
        <v>750</v>
      </c>
      <c r="D4" s="204" t="s">
        <v>751</v>
      </c>
      <c r="E4" s="204" t="s">
        <v>1000</v>
      </c>
      <c r="F4" s="170"/>
      <c r="G4" s="170"/>
      <c r="H4" s="170"/>
    </row>
    <row r="5" spans="1:8" ht="142.5" x14ac:dyDescent="0.45">
      <c r="A5" s="204" t="s">
        <v>1128</v>
      </c>
      <c r="B5" s="205">
        <v>33</v>
      </c>
      <c r="C5" s="204" t="s">
        <v>752</v>
      </c>
      <c r="D5" s="204" t="s">
        <v>753</v>
      </c>
      <c r="E5" s="204" t="s">
        <v>1001</v>
      </c>
      <c r="F5" s="170"/>
      <c r="G5" s="170"/>
      <c r="H5" s="170"/>
    </row>
    <row r="6" spans="1:8" ht="142.5" x14ac:dyDescent="0.45">
      <c r="A6" s="204" t="s">
        <v>1128</v>
      </c>
      <c r="B6" s="205">
        <v>34</v>
      </c>
      <c r="C6" s="204" t="s">
        <v>754</v>
      </c>
      <c r="D6" s="204" t="s">
        <v>755</v>
      </c>
      <c r="E6" s="204" t="s">
        <v>1002</v>
      </c>
      <c r="F6" s="170"/>
      <c r="G6" s="170"/>
      <c r="H6" s="170"/>
    </row>
    <row r="7" spans="1:8" ht="142.5" x14ac:dyDescent="0.45">
      <c r="A7" s="204" t="s">
        <v>1128</v>
      </c>
      <c r="B7" s="205">
        <v>35</v>
      </c>
      <c r="C7" s="204" t="s">
        <v>756</v>
      </c>
      <c r="D7" s="204" t="s">
        <v>757</v>
      </c>
      <c r="E7" s="204" t="s">
        <v>1003</v>
      </c>
      <c r="F7" s="170"/>
      <c r="G7" s="170"/>
      <c r="H7" s="170"/>
    </row>
    <row r="8" spans="1:8" ht="142.5" x14ac:dyDescent="0.45">
      <c r="A8" s="204" t="s">
        <v>1128</v>
      </c>
      <c r="B8" s="205">
        <v>36</v>
      </c>
      <c r="C8" s="204" t="s">
        <v>758</v>
      </c>
      <c r="D8" s="204" t="s">
        <v>759</v>
      </c>
      <c r="E8" s="204" t="s">
        <v>1004</v>
      </c>
      <c r="F8" s="170"/>
      <c r="G8" s="170"/>
      <c r="H8" s="170"/>
    </row>
    <row r="9" spans="1:8" ht="142.5" x14ac:dyDescent="0.45">
      <c r="A9" s="204" t="s">
        <v>1128</v>
      </c>
      <c r="B9" s="205">
        <v>37</v>
      </c>
      <c r="C9" s="204" t="s">
        <v>760</v>
      </c>
      <c r="D9" s="204" t="s">
        <v>761</v>
      </c>
      <c r="E9" s="204" t="s">
        <v>1005</v>
      </c>
      <c r="F9" s="170"/>
      <c r="G9" s="170"/>
      <c r="H9" s="170"/>
    </row>
    <row r="10" spans="1:8" ht="142.5" x14ac:dyDescent="0.45">
      <c r="A10" s="204" t="s">
        <v>1128</v>
      </c>
      <c r="B10" s="205">
        <v>38</v>
      </c>
      <c r="C10" s="204" t="s">
        <v>762</v>
      </c>
      <c r="D10" s="204" t="s">
        <v>763</v>
      </c>
      <c r="E10" s="204" t="s">
        <v>1268</v>
      </c>
      <c r="F10" s="170"/>
      <c r="G10" s="170"/>
      <c r="H10" s="170"/>
    </row>
    <row r="11" spans="1:8" ht="228" x14ac:dyDescent="0.45">
      <c r="A11" s="204" t="s">
        <v>1128</v>
      </c>
      <c r="B11" s="205">
        <v>39</v>
      </c>
      <c r="C11" s="204" t="s">
        <v>764</v>
      </c>
      <c r="D11" s="204" t="s">
        <v>763</v>
      </c>
      <c r="E11" s="204" t="s">
        <v>1006</v>
      </c>
      <c r="F11" s="170"/>
      <c r="G11" s="170"/>
      <c r="H11" s="170"/>
    </row>
    <row r="12" spans="1:8" ht="142.5" x14ac:dyDescent="0.45">
      <c r="A12" s="204" t="s">
        <v>1128</v>
      </c>
      <c r="B12" s="205">
        <v>40</v>
      </c>
      <c r="C12" s="204" t="s">
        <v>765</v>
      </c>
      <c r="D12" s="204" t="s">
        <v>766</v>
      </c>
      <c r="E12" s="204" t="s">
        <v>1007</v>
      </c>
      <c r="F12" s="170"/>
      <c r="G12" s="170"/>
      <c r="H12" s="170"/>
    </row>
    <row r="13" spans="1:8" ht="142.5" x14ac:dyDescent="0.45">
      <c r="A13" s="204" t="s">
        <v>1128</v>
      </c>
      <c r="B13" s="205">
        <v>41</v>
      </c>
      <c r="C13" s="204" t="s">
        <v>767</v>
      </c>
      <c r="D13" s="204"/>
      <c r="E13" s="204" t="s">
        <v>1269</v>
      </c>
      <c r="F13" s="170"/>
      <c r="G13" s="170"/>
      <c r="H13" s="170"/>
    </row>
    <row r="14" spans="1:8" ht="142.5" x14ac:dyDescent="0.45">
      <c r="A14" s="204" t="s">
        <v>1128</v>
      </c>
      <c r="B14" s="205">
        <v>42</v>
      </c>
      <c r="C14" s="204" t="s">
        <v>768</v>
      </c>
      <c r="D14" s="204"/>
      <c r="E14" s="204" t="s">
        <v>1008</v>
      </c>
      <c r="F14" s="170"/>
      <c r="G14" s="170"/>
      <c r="H14" s="170"/>
    </row>
    <row r="15" spans="1:8" ht="142.5" x14ac:dyDescent="0.45">
      <c r="A15" s="204" t="s">
        <v>1128</v>
      </c>
      <c r="B15" s="205">
        <v>43</v>
      </c>
      <c r="C15" s="204" t="s">
        <v>769</v>
      </c>
      <c r="D15" s="204"/>
      <c r="E15" s="204"/>
      <c r="F15" s="170"/>
      <c r="G15" s="170"/>
      <c r="H15" s="170"/>
    </row>
  </sheetData>
  <pageMargins left="0.70866141732283472" right="0.70866141732283472" top="0.74803149606299213" bottom="0.74803149606299213" header="0.31496062992125984" footer="0.31496062992125984"/>
  <pageSetup paperSize="9" scale="5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41</vt:i4>
      </vt:variant>
    </vt:vector>
  </HeadingPairs>
  <TitlesOfParts>
    <vt:vector size="70" baseType="lpstr">
      <vt:lpstr>Cover Sheet</vt:lpstr>
      <vt:lpstr>Table_List</vt:lpstr>
      <vt:lpstr>TOC</vt:lpstr>
      <vt:lpstr>Instructions</vt:lpstr>
      <vt:lpstr>styles</vt:lpstr>
      <vt:lpstr>S1a.ID FFLAS IRR</vt:lpstr>
      <vt:lpstr>S1b.PQ FFLAS IRR </vt:lpstr>
      <vt:lpstr>S1c.ID-only FFLAS IRR</vt:lpstr>
      <vt:lpstr>S2.Regulatory Profit</vt:lpstr>
      <vt:lpstr>S3.Regulatory Tax Allowance</vt:lpstr>
      <vt:lpstr>S4a.Asset Allocations</vt:lpstr>
      <vt:lpstr>S4b.ID RAB Value Rolled Forward</vt:lpstr>
      <vt:lpstr>S4c.PQ RAB Value Rolled F.</vt:lpstr>
      <vt:lpstr>S4d.ID-only RAB Value Rolled F</vt:lpstr>
      <vt:lpstr>S5.Actual Expenditure Opex</vt:lpstr>
      <vt:lpstr>S5a.Cost Allocations</vt:lpstr>
      <vt:lpstr>S6.Actual Expenditure Capex</vt:lpstr>
      <vt:lpstr>S7.Actual vs Forecast</vt:lpstr>
      <vt:lpstr>S8a.TCSD Allowance</vt:lpstr>
      <vt:lpstr>S8b.Crown financing &amp; NDI</vt:lpstr>
      <vt:lpstr>S9.Related Party Transactions</vt:lpstr>
      <vt:lpstr>S10a.PQ Asset Register</vt:lpstr>
      <vt:lpstr>S10b.ID-only Asset Register</vt:lpstr>
      <vt:lpstr>S11.Capex Forecast</vt:lpstr>
      <vt:lpstr>S11a. Opex Forecast</vt:lpstr>
      <vt:lpstr>S12.Capacity Forecast</vt:lpstr>
      <vt:lpstr>S12a.Demand Forecast </vt:lpstr>
      <vt:lpstr>S13.Asset Management_1</vt:lpstr>
      <vt:lpstr>S13.Asset Management_2</vt:lpstr>
      <vt:lpstr>asset_stranding_allowance</vt:lpstr>
      <vt:lpstr>company_name</vt:lpstr>
      <vt:lpstr>corporate_tax_rate</vt:lpstr>
      <vt:lpstr>disc_date</vt:lpstr>
      <vt:lpstr>disc_year_end</vt:lpstr>
      <vt:lpstr>Leverage</vt:lpstr>
      <vt:lpstr>Instructions!Print_Area</vt:lpstr>
      <vt:lpstr>'S10a.PQ Asset Register'!Print_Area</vt:lpstr>
      <vt:lpstr>'S10b.ID-only Asset Register'!Print_Area</vt:lpstr>
      <vt:lpstr>'S11.Capex Forecast'!Print_Area</vt:lpstr>
      <vt:lpstr>'S11a. Opex Forecast'!Print_Area</vt:lpstr>
      <vt:lpstr>'S12.Capacity Forecast'!Print_Area</vt:lpstr>
      <vt:lpstr>'S12a.Demand Forecast '!Print_Area</vt:lpstr>
      <vt:lpstr>'S13.Asset Management_1'!Print_Area</vt:lpstr>
      <vt:lpstr>'S1a.ID FFLAS IRR'!Print_Area</vt:lpstr>
      <vt:lpstr>'S1b.PQ FFLAS IRR '!Print_Area</vt:lpstr>
      <vt:lpstr>'S1c.ID-only FFLAS IRR'!Print_Area</vt:lpstr>
      <vt:lpstr>'S2.Regulatory Profit'!Print_Area</vt:lpstr>
      <vt:lpstr>'S3.Regulatory Tax Allowance'!Print_Area</vt:lpstr>
      <vt:lpstr>'S4a.Asset Allocations'!Print_Area</vt:lpstr>
      <vt:lpstr>'S4b.ID RAB Value Rolled Forward'!Print_Area</vt:lpstr>
      <vt:lpstr>'S4c.PQ RAB Value Rolled F.'!Print_Area</vt:lpstr>
      <vt:lpstr>'S4d.ID-only RAB Value Rolled F'!Print_Area</vt:lpstr>
      <vt:lpstr>'S5.Actual Expenditure Opex'!Print_Area</vt:lpstr>
      <vt:lpstr>'S5a.Cost Allocations'!Print_Area</vt:lpstr>
      <vt:lpstr>'S6.Actual Expenditure Capex'!Print_Area</vt:lpstr>
      <vt:lpstr>'S8a.TCSD Allowance'!Print_Area</vt:lpstr>
      <vt:lpstr>'S8b.Crown financing &amp; NDI'!Print_Area</vt:lpstr>
      <vt:lpstr>'S9.Related Party Transactions'!Print_Area</vt:lpstr>
      <vt:lpstr>'S11.Capex Forecast'!Print_Titles</vt:lpstr>
      <vt:lpstr>'S11a. Opex Forecast'!Print_Titles</vt:lpstr>
      <vt:lpstr>'S12a.Demand Forecast '!Print_Titles</vt:lpstr>
      <vt:lpstr>'S13.Asset Management_1'!Print_Titles</vt:lpstr>
      <vt:lpstr>'S13.Asset Management_2'!Print_Titles</vt:lpstr>
      <vt:lpstr>'S4a.Asset Allocations'!Print_Titles</vt:lpstr>
      <vt:lpstr>'S4b.ID RAB Value Rolled Forward'!Print_Titles</vt:lpstr>
      <vt:lpstr>'S4c.PQ RAB Value Rolled F.'!Print_Titles</vt:lpstr>
      <vt:lpstr>'S4d.ID-only RAB Value Rolled F'!Print_Titles</vt:lpstr>
      <vt:lpstr>'S6.Actual Expenditure Capex'!Print_Titles</vt:lpstr>
      <vt:lpstr>'S7.Actual vs Forecast'!Print_Titles</vt:lpstr>
      <vt:lpstr>'S9.Related Party Transactions'!Print_Titles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2023-11-29T07:25:13Z</dcterms:created>
  <dcterms:modified xsi:type="dcterms:W3CDTF">2023-11-29T08:44:20Z</dcterms:modified>
  <cp:category/>
  <cp:contentStatus/>
</cp:coreProperties>
</file>