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14235" tabRatio="883"/>
  </bookViews>
  <sheets>
    <sheet name="MEUG Report Tables" sheetId="18" r:id="rId1"/>
    <sheet name="MEUG analysis" sheetId="17" r:id="rId2"/>
  </sheets>
  <calcPr calcId="152511"/>
</workbook>
</file>

<file path=xl/calcChain.xml><?xml version="1.0" encoding="utf-8"?>
<calcChain xmlns="http://schemas.openxmlformats.org/spreadsheetml/2006/main">
  <c r="B143" i="17" l="1"/>
  <c r="N87" i="17"/>
  <c r="B2" i="18" l="1"/>
  <c r="D8" i="18" l="1"/>
  <c r="C8" i="18"/>
  <c r="E8" i="18"/>
  <c r="E6" i="18"/>
  <c r="C25" i="18"/>
  <c r="F25" i="18"/>
  <c r="G25" i="18"/>
  <c r="H25" i="18"/>
  <c r="E25" i="18"/>
  <c r="D25" i="18"/>
  <c r="H98" i="17" l="1"/>
  <c r="I98" i="17"/>
  <c r="J98" i="17"/>
  <c r="K98" i="17"/>
  <c r="L98" i="17"/>
  <c r="M98" i="17"/>
  <c r="G98" i="17"/>
  <c r="E24" i="18" l="1"/>
  <c r="F24" i="18"/>
  <c r="G24" i="18"/>
  <c r="H24" i="18"/>
  <c r="D24" i="18"/>
  <c r="G7" i="18"/>
  <c r="F7" i="18"/>
  <c r="G4" i="17"/>
  <c r="I4" i="17" s="1"/>
  <c r="M79" i="17"/>
  <c r="L79" i="17"/>
  <c r="K79" i="17"/>
  <c r="M78" i="17"/>
  <c r="L78" i="17"/>
  <c r="K78" i="17"/>
  <c r="M40" i="17"/>
  <c r="K40" i="17"/>
  <c r="M39" i="17"/>
  <c r="L39" i="17"/>
  <c r="M38" i="17"/>
  <c r="L38" i="17"/>
  <c r="M37" i="17"/>
  <c r="L37" i="17"/>
  <c r="M36" i="17"/>
  <c r="L36" i="17"/>
  <c r="M35" i="17"/>
  <c r="L35" i="17"/>
  <c r="K35" i="17"/>
  <c r="M34" i="17"/>
  <c r="L34" i="17"/>
  <c r="K34" i="17"/>
  <c r="M33" i="17"/>
  <c r="L33" i="17"/>
  <c r="K33" i="17"/>
  <c r="M32" i="17"/>
  <c r="L32" i="17"/>
  <c r="K32" i="17"/>
  <c r="M31" i="17"/>
  <c r="L31" i="17"/>
  <c r="K31" i="17"/>
  <c r="M30" i="17"/>
  <c r="L30" i="17"/>
  <c r="K30" i="17"/>
  <c r="M29" i="17"/>
  <c r="L29" i="17"/>
  <c r="K29" i="17"/>
  <c r="M28" i="17"/>
  <c r="L28" i="17"/>
  <c r="K28" i="17"/>
  <c r="M27" i="17"/>
  <c r="L27" i="17"/>
  <c r="K27" i="17"/>
  <c r="M26" i="17"/>
  <c r="L26" i="17"/>
  <c r="K26" i="17"/>
  <c r="M25" i="17"/>
  <c r="L25" i="17"/>
  <c r="K25" i="17"/>
  <c r="M24" i="17"/>
  <c r="L24" i="17"/>
  <c r="K24" i="17"/>
  <c r="M23" i="17"/>
  <c r="L23" i="17"/>
  <c r="K23" i="17"/>
  <c r="M22" i="17"/>
  <c r="L22" i="17"/>
  <c r="K22" i="17"/>
  <c r="M21" i="17"/>
  <c r="L21" i="17"/>
  <c r="K21" i="17"/>
  <c r="M20" i="17"/>
  <c r="L20" i="17"/>
  <c r="K20" i="17"/>
  <c r="M19" i="17"/>
  <c r="L19" i="17"/>
  <c r="K19" i="17"/>
  <c r="L18" i="17"/>
  <c r="K18" i="17"/>
  <c r="L17" i="17"/>
  <c r="K17" i="17"/>
  <c r="L16" i="17"/>
  <c r="K16" i="17"/>
  <c r="L15" i="17"/>
  <c r="K15" i="17"/>
  <c r="M14" i="17"/>
  <c r="L14" i="17"/>
  <c r="K14" i="17"/>
  <c r="M13" i="17"/>
  <c r="L13" i="17"/>
  <c r="K13" i="17"/>
  <c r="M12" i="17"/>
  <c r="L12" i="17"/>
  <c r="K12" i="17"/>
  <c r="M11" i="17"/>
  <c r="L11" i="17"/>
  <c r="K11" i="17"/>
  <c r="M10" i="17"/>
  <c r="L10" i="17"/>
  <c r="K10" i="17"/>
  <c r="M9" i="17"/>
  <c r="L9" i="17"/>
  <c r="K9" i="17"/>
  <c r="M8" i="17"/>
  <c r="L8" i="17"/>
  <c r="K8" i="17"/>
  <c r="M7" i="17"/>
  <c r="L7" i="17"/>
  <c r="K7" i="17"/>
  <c r="M6" i="17"/>
  <c r="L6" i="17"/>
  <c r="K6" i="17"/>
  <c r="J79" i="17"/>
  <c r="J78" i="17"/>
  <c r="J40" i="17"/>
  <c r="J39" i="17"/>
  <c r="J38" i="17"/>
  <c r="J37" i="17"/>
  <c r="J36" i="17"/>
  <c r="J35" i="17"/>
  <c r="J34" i="17"/>
  <c r="J33" i="17"/>
  <c r="J32" i="17"/>
  <c r="J31" i="17"/>
  <c r="J45" i="17" s="1"/>
  <c r="J22" i="17"/>
  <c r="J21" i="17"/>
  <c r="J20" i="17"/>
  <c r="J19" i="17"/>
  <c r="J14" i="17"/>
  <c r="J13" i="17"/>
  <c r="J12" i="17"/>
  <c r="J11" i="17"/>
  <c r="J10" i="17"/>
  <c r="J9" i="17"/>
  <c r="J8" i="17"/>
  <c r="J7" i="17"/>
  <c r="J6" i="17"/>
  <c r="I79" i="17"/>
  <c r="I78" i="17"/>
  <c r="I40" i="17"/>
  <c r="I39" i="17"/>
  <c r="I38" i="17"/>
  <c r="I37" i="17"/>
  <c r="I36" i="17"/>
  <c r="I35" i="17"/>
  <c r="I34" i="17"/>
  <c r="I33" i="17"/>
  <c r="I32" i="17"/>
  <c r="I31" i="17"/>
  <c r="I42" i="17" s="1"/>
  <c r="I22" i="17"/>
  <c r="I21" i="17"/>
  <c r="I20" i="17"/>
  <c r="I19" i="17"/>
  <c r="I14" i="17"/>
  <c r="I13" i="17"/>
  <c r="I12" i="17"/>
  <c r="I11" i="17"/>
  <c r="I10" i="17"/>
  <c r="I9" i="17"/>
  <c r="I8" i="17"/>
  <c r="I7" i="17"/>
  <c r="I6" i="17"/>
  <c r="H79" i="17"/>
  <c r="H78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G40" i="17"/>
  <c r="G79" i="17"/>
  <c r="G78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C10" i="18"/>
  <c r="C11" i="18"/>
  <c r="J4" i="17" l="1"/>
  <c r="N40" i="17" s="1"/>
  <c r="B115" i="17"/>
  <c r="M44" i="17"/>
  <c r="M48" i="17" s="1"/>
  <c r="M45" i="17"/>
  <c r="M49" i="17" s="1"/>
  <c r="M43" i="17"/>
  <c r="M47" i="17" s="1"/>
  <c r="I43" i="17"/>
  <c r="I47" i="17" s="1"/>
  <c r="M42" i="17"/>
  <c r="M46" i="17" s="1"/>
  <c r="B113" i="17"/>
  <c r="J50" i="17"/>
  <c r="H53" i="17"/>
  <c r="H42" i="17"/>
  <c r="H46" i="17" s="1"/>
  <c r="J59" i="17"/>
  <c r="H71" i="17"/>
  <c r="I58" i="17"/>
  <c r="J42" i="17"/>
  <c r="J46" i="17" s="1"/>
  <c r="G59" i="17"/>
  <c r="I71" i="17"/>
  <c r="G44" i="17"/>
  <c r="G48" i="17" s="1"/>
  <c r="G42" i="17"/>
  <c r="G46" i="17" s="1"/>
  <c r="M51" i="17"/>
  <c r="H58" i="17"/>
  <c r="G51" i="17"/>
  <c r="G45" i="17"/>
  <c r="G49" i="17" s="1"/>
  <c r="H44" i="17"/>
  <c r="H48" i="17" s="1"/>
  <c r="I72" i="17"/>
  <c r="I73" i="17"/>
  <c r="J43" i="17"/>
  <c r="J47" i="17" s="1"/>
  <c r="J73" i="17"/>
  <c r="G71" i="17"/>
  <c r="G53" i="17"/>
  <c r="H52" i="17"/>
  <c r="H45" i="17"/>
  <c r="H49" i="17" s="1"/>
  <c r="I53" i="17"/>
  <c r="I45" i="17"/>
  <c r="I49" i="17" s="1"/>
  <c r="I60" i="17"/>
  <c r="I50" i="17"/>
  <c r="J72" i="17"/>
  <c r="J60" i="17"/>
  <c r="J71" i="17"/>
  <c r="K42" i="17"/>
  <c r="K46" i="17" s="1"/>
  <c r="K43" i="17"/>
  <c r="K47" i="17" s="1"/>
  <c r="K44" i="17"/>
  <c r="K48" i="17" s="1"/>
  <c r="K45" i="17"/>
  <c r="K49" i="17" s="1"/>
  <c r="G52" i="17"/>
  <c r="J53" i="17"/>
  <c r="L42" i="17"/>
  <c r="L46" i="17" s="1"/>
  <c r="L43" i="17"/>
  <c r="L47" i="17" s="1"/>
  <c r="L44" i="17"/>
  <c r="L48" i="17" s="1"/>
  <c r="L45" i="17"/>
  <c r="L49" i="17" s="1"/>
  <c r="M52" i="17"/>
  <c r="M53" i="17"/>
  <c r="M72" i="17"/>
  <c r="M61" i="17"/>
  <c r="M58" i="17"/>
  <c r="M73" i="17"/>
  <c r="M70" i="17"/>
  <c r="M60" i="17"/>
  <c r="M71" i="17"/>
  <c r="M59" i="17"/>
  <c r="M50" i="17"/>
  <c r="K50" i="17"/>
  <c r="K51" i="17"/>
  <c r="K52" i="17"/>
  <c r="K53" i="17"/>
  <c r="K58" i="17"/>
  <c r="K59" i="17"/>
  <c r="K60" i="17"/>
  <c r="K61" i="17"/>
  <c r="K70" i="17"/>
  <c r="K71" i="17"/>
  <c r="K72" i="17"/>
  <c r="K73" i="17"/>
  <c r="L50" i="17"/>
  <c r="L51" i="17"/>
  <c r="L52" i="17"/>
  <c r="L53" i="17"/>
  <c r="L58" i="17"/>
  <c r="L59" i="17"/>
  <c r="L60" i="17"/>
  <c r="L61" i="17"/>
  <c r="L70" i="17"/>
  <c r="L71" i="17"/>
  <c r="L72" i="17"/>
  <c r="L73" i="17"/>
  <c r="J44" i="17"/>
  <c r="J48" i="17" s="1"/>
  <c r="J51" i="17"/>
  <c r="J49" i="17"/>
  <c r="J52" i="17"/>
  <c r="J61" i="17"/>
  <c r="J70" i="17"/>
  <c r="J58" i="17"/>
  <c r="I44" i="17"/>
  <c r="I48" i="17" s="1"/>
  <c r="I51" i="17"/>
  <c r="I52" i="17"/>
  <c r="I61" i="17"/>
  <c r="I70" i="17"/>
  <c r="I59" i="17"/>
  <c r="I46" i="17"/>
  <c r="H50" i="17"/>
  <c r="H59" i="17"/>
  <c r="H72" i="17"/>
  <c r="H43" i="17"/>
  <c r="H47" i="17" s="1"/>
  <c r="H51" i="17"/>
  <c r="H60" i="17"/>
  <c r="H73" i="17"/>
  <c r="H61" i="17"/>
  <c r="H70" i="17"/>
  <c r="G50" i="17"/>
  <c r="G60" i="17"/>
  <c r="G73" i="17"/>
  <c r="G43" i="17"/>
  <c r="G47" i="17" s="1"/>
  <c r="G72" i="17"/>
  <c r="G61" i="17"/>
  <c r="G70" i="17"/>
  <c r="G58" i="17"/>
  <c r="M69" i="17" l="1"/>
  <c r="M77" i="17" s="1"/>
  <c r="I55" i="17"/>
  <c r="I63" i="17" s="1"/>
  <c r="J55" i="17"/>
  <c r="J63" i="17" s="1"/>
  <c r="L66" i="17"/>
  <c r="L74" i="17" s="1"/>
  <c r="L54" i="17"/>
  <c r="L62" i="17" s="1"/>
  <c r="K69" i="17"/>
  <c r="K77" i="17" s="1"/>
  <c r="K57" i="17"/>
  <c r="K65" i="17" s="1"/>
  <c r="L69" i="17"/>
  <c r="L77" i="17" s="1"/>
  <c r="L57" i="17"/>
  <c r="L65" i="17" s="1"/>
  <c r="K68" i="17"/>
  <c r="K76" i="17" s="1"/>
  <c r="K56" i="17"/>
  <c r="K64" i="17" s="1"/>
  <c r="L68" i="17"/>
  <c r="L76" i="17" s="1"/>
  <c r="L56" i="17"/>
  <c r="L64" i="17" s="1"/>
  <c r="K67" i="17"/>
  <c r="K75" i="17" s="1"/>
  <c r="K55" i="17"/>
  <c r="K63" i="17" s="1"/>
  <c r="M56" i="17"/>
  <c r="M64" i="17" s="1"/>
  <c r="M68" i="17"/>
  <c r="M76" i="17" s="1"/>
  <c r="M57" i="17"/>
  <c r="M65" i="17" s="1"/>
  <c r="L67" i="17"/>
  <c r="L75" i="17" s="1"/>
  <c r="L55" i="17"/>
  <c r="L63" i="17" s="1"/>
  <c r="K66" i="17"/>
  <c r="K74" i="17" s="1"/>
  <c r="K54" i="17"/>
  <c r="K62" i="17" s="1"/>
  <c r="M67" i="17"/>
  <c r="M75" i="17" s="1"/>
  <c r="M55" i="17"/>
  <c r="M63" i="17" s="1"/>
  <c r="M66" i="17"/>
  <c r="M74" i="17" s="1"/>
  <c r="M54" i="17"/>
  <c r="M62" i="17" s="1"/>
  <c r="J54" i="17"/>
  <c r="J62" i="17" s="1"/>
  <c r="J66" i="17"/>
  <c r="J74" i="17" s="1"/>
  <c r="J68" i="17"/>
  <c r="J76" i="17" s="1"/>
  <c r="J56" i="17"/>
  <c r="J64" i="17" s="1"/>
  <c r="J57" i="17"/>
  <c r="J65" i="17" s="1"/>
  <c r="J69" i="17"/>
  <c r="J77" i="17" s="1"/>
  <c r="J67" i="17"/>
  <c r="J75" i="17" s="1"/>
  <c r="I68" i="17"/>
  <c r="I76" i="17" s="1"/>
  <c r="I56" i="17"/>
  <c r="I64" i="17" s="1"/>
  <c r="I54" i="17"/>
  <c r="I62" i="17" s="1"/>
  <c r="I66" i="17"/>
  <c r="I74" i="17" s="1"/>
  <c r="I57" i="17"/>
  <c r="I65" i="17" s="1"/>
  <c r="I69" i="17"/>
  <c r="I77" i="17" s="1"/>
  <c r="I67" i="17"/>
  <c r="I75" i="17" s="1"/>
  <c r="H55" i="17"/>
  <c r="H63" i="17" s="1"/>
  <c r="H67" i="17"/>
  <c r="H75" i="17" s="1"/>
  <c r="H54" i="17"/>
  <c r="H62" i="17" s="1"/>
  <c r="H66" i="17"/>
  <c r="H74" i="17" s="1"/>
  <c r="H68" i="17"/>
  <c r="H76" i="17" s="1"/>
  <c r="H56" i="17"/>
  <c r="H64" i="17" s="1"/>
  <c r="H57" i="17"/>
  <c r="H65" i="17" s="1"/>
  <c r="H69" i="17"/>
  <c r="H77" i="17" s="1"/>
  <c r="G54" i="17"/>
  <c r="G62" i="17" s="1"/>
  <c r="G66" i="17"/>
  <c r="G74" i="17" s="1"/>
  <c r="G68" i="17"/>
  <c r="G76" i="17" s="1"/>
  <c r="G56" i="17"/>
  <c r="G64" i="17" s="1"/>
  <c r="G57" i="17"/>
  <c r="G65" i="17" s="1"/>
  <c r="G69" i="17"/>
  <c r="G77" i="17" s="1"/>
  <c r="G55" i="17"/>
  <c r="G63" i="17" s="1"/>
  <c r="G67" i="17"/>
  <c r="G75" i="17" s="1"/>
  <c r="M83" i="17" l="1"/>
  <c r="M99" i="17" s="1"/>
  <c r="G84" i="17"/>
  <c r="G100" i="17" s="1"/>
  <c r="G83" i="17"/>
  <c r="G99" i="17" s="1"/>
  <c r="H83" i="17"/>
  <c r="H99" i="17" s="1"/>
  <c r="I84" i="17"/>
  <c r="I100" i="17" s="1"/>
  <c r="K84" i="17"/>
  <c r="K100" i="17" s="1"/>
  <c r="L83" i="17"/>
  <c r="L99" i="17" s="1"/>
  <c r="I83" i="17"/>
  <c r="I99" i="17" s="1"/>
  <c r="J84" i="17"/>
  <c r="J100" i="17" s="1"/>
  <c r="M84" i="17"/>
  <c r="M100" i="17" s="1"/>
  <c r="K83" i="17"/>
  <c r="K99" i="17" s="1"/>
  <c r="L84" i="17"/>
  <c r="L100" i="17" s="1"/>
  <c r="H84" i="17"/>
  <c r="H100" i="17" s="1"/>
  <c r="J83" i="17"/>
  <c r="J99" i="17" s="1"/>
  <c r="E140" i="17" l="1"/>
  <c r="E138" i="17"/>
  <c r="E131" i="17"/>
  <c r="E132" i="17" l="1"/>
  <c r="F80" i="17" s="1"/>
  <c r="E141" i="17"/>
  <c r="F81" i="17" s="1"/>
  <c r="L81" i="17" l="1"/>
  <c r="L86" i="17" s="1"/>
  <c r="L102" i="17" s="1"/>
  <c r="G81" i="17"/>
  <c r="G86" i="17" s="1"/>
  <c r="G102" i="17" s="1"/>
  <c r="K81" i="17"/>
  <c r="K86" i="17" s="1"/>
  <c r="K102" i="17" s="1"/>
  <c r="J81" i="17"/>
  <c r="J86" i="17" s="1"/>
  <c r="J102" i="17" s="1"/>
  <c r="I81" i="17"/>
  <c r="I86" i="17" s="1"/>
  <c r="I102" i="17" s="1"/>
  <c r="C13" i="18"/>
  <c r="M81" i="17"/>
  <c r="M86" i="17" s="1"/>
  <c r="M102" i="17" s="1"/>
  <c r="H81" i="17"/>
  <c r="H86" i="17" s="1"/>
  <c r="H102" i="17" s="1"/>
  <c r="L80" i="17"/>
  <c r="H80" i="17"/>
  <c r="G80" i="17"/>
  <c r="C12" i="18"/>
  <c r="K80" i="17"/>
  <c r="I80" i="17"/>
  <c r="J80" i="17"/>
  <c r="M80" i="17"/>
  <c r="F82" i="17"/>
  <c r="C14" i="18" s="1"/>
  <c r="M82" i="17" l="1"/>
  <c r="M85" i="17"/>
  <c r="J82" i="17"/>
  <c r="J85" i="17"/>
  <c r="L82" i="17"/>
  <c r="L85" i="17"/>
  <c r="I82" i="17"/>
  <c r="I85" i="17"/>
  <c r="G82" i="17"/>
  <c r="G85" i="17"/>
  <c r="K82" i="17"/>
  <c r="K85" i="17"/>
  <c r="H82" i="17"/>
  <c r="H85" i="17"/>
  <c r="F71" i="17"/>
  <c r="F72" i="17"/>
  <c r="F73" i="17"/>
  <c r="F70" i="17"/>
  <c r="F59" i="17"/>
  <c r="F60" i="17"/>
  <c r="F61" i="17"/>
  <c r="F58" i="17"/>
  <c r="F51" i="17"/>
  <c r="F52" i="17"/>
  <c r="F53" i="17"/>
  <c r="F50" i="17"/>
  <c r="F43" i="17"/>
  <c r="F47" i="17" s="1"/>
  <c r="F44" i="17"/>
  <c r="F48" i="17" s="1"/>
  <c r="F45" i="17"/>
  <c r="F49" i="17" s="1"/>
  <c r="F42" i="17"/>
  <c r="F46" i="17" s="1"/>
  <c r="B110" i="17"/>
  <c r="H87" i="17" l="1"/>
  <c r="H101" i="17"/>
  <c r="I87" i="17"/>
  <c r="I101" i="17"/>
  <c r="M87" i="17"/>
  <c r="M101" i="17"/>
  <c r="K87" i="17"/>
  <c r="K101" i="17"/>
  <c r="G87" i="17"/>
  <c r="G101" i="17"/>
  <c r="L87" i="17"/>
  <c r="L101" i="17"/>
  <c r="J87" i="17"/>
  <c r="J101" i="17"/>
  <c r="F67" i="17"/>
  <c r="B120" i="17"/>
  <c r="N78" i="17"/>
  <c r="F69" i="17"/>
  <c r="F54" i="17"/>
  <c r="F62" i="17" s="1"/>
  <c r="F56" i="17"/>
  <c r="F55" i="17"/>
  <c r="F66" i="17"/>
  <c r="F74" i="17" s="1"/>
  <c r="D10" i="18" s="1"/>
  <c r="F68" i="17"/>
  <c r="F57" i="17"/>
  <c r="J103" i="17" l="1"/>
  <c r="G103" i="17"/>
  <c r="M103" i="17"/>
  <c r="I103" i="17"/>
  <c r="H103" i="17"/>
  <c r="L103" i="17"/>
  <c r="K103" i="17"/>
  <c r="F83" i="17"/>
  <c r="C27" i="18" s="1"/>
  <c r="F77" i="17"/>
  <c r="D13" i="18" s="1"/>
  <c r="F75" i="17"/>
  <c r="D11" i="18" s="1"/>
  <c r="F76" i="17"/>
  <c r="D12" i="18" s="1"/>
  <c r="F65" i="17"/>
  <c r="F63" i="17"/>
  <c r="F64" i="17"/>
  <c r="B122" i="17"/>
  <c r="N79" i="17"/>
  <c r="F99" i="17" l="1"/>
  <c r="E10" i="18"/>
  <c r="G88" i="17"/>
  <c r="F10" i="18" s="1"/>
  <c r="K88" i="17"/>
  <c r="F27" i="18" s="1"/>
  <c r="L88" i="17"/>
  <c r="G27" i="18" s="1"/>
  <c r="J88" i="17"/>
  <c r="E27" i="18" s="1"/>
  <c r="H88" i="17"/>
  <c r="G10" i="18" s="1"/>
  <c r="I88" i="17"/>
  <c r="D27" i="18" s="1"/>
  <c r="M88" i="17"/>
  <c r="H27" i="18" s="1"/>
  <c r="F84" i="17"/>
  <c r="C28" i="18" s="1"/>
  <c r="F85" i="17"/>
  <c r="C29" i="18" s="1"/>
  <c r="F86" i="17"/>
  <c r="C30" i="18" s="1"/>
  <c r="N80" i="17"/>
  <c r="B124" i="17"/>
  <c r="F102" i="17" l="1"/>
  <c r="F100" i="17"/>
  <c r="C43" i="18"/>
  <c r="M104" i="17"/>
  <c r="H104" i="17"/>
  <c r="K104" i="17"/>
  <c r="G104" i="17"/>
  <c r="I104" i="17"/>
  <c r="L104" i="17"/>
  <c r="G43" i="18" s="1"/>
  <c r="J104" i="17"/>
  <c r="F101" i="17"/>
  <c r="G89" i="17"/>
  <c r="E11" i="18"/>
  <c r="K89" i="17"/>
  <c r="I89" i="17"/>
  <c r="J89" i="17"/>
  <c r="L89" i="17"/>
  <c r="H89" i="17"/>
  <c r="M89" i="17"/>
  <c r="I93" i="17"/>
  <c r="D34" i="18" s="1"/>
  <c r="L93" i="17"/>
  <c r="G34" i="18" s="1"/>
  <c r="K93" i="17"/>
  <c r="F34" i="18" s="1"/>
  <c r="G91" i="17"/>
  <c r="E13" i="18"/>
  <c r="M91" i="17"/>
  <c r="K91" i="17"/>
  <c r="I91" i="17"/>
  <c r="L91" i="17"/>
  <c r="J91" i="17"/>
  <c r="H91" i="17"/>
  <c r="H93" i="17"/>
  <c r="G93" i="17"/>
  <c r="E12" i="18"/>
  <c r="G90" i="17"/>
  <c r="L90" i="17"/>
  <c r="H90" i="17"/>
  <c r="K90" i="17"/>
  <c r="I90" i="17"/>
  <c r="J90" i="17"/>
  <c r="M90" i="17"/>
  <c r="M93" i="17"/>
  <c r="H34" i="18" s="1"/>
  <c r="J93" i="17"/>
  <c r="E34" i="18" s="1"/>
  <c r="N81" i="17"/>
  <c r="B126" i="17"/>
  <c r="F87" i="17"/>
  <c r="F43" i="18" l="1"/>
  <c r="E43" i="18"/>
  <c r="D43" i="18"/>
  <c r="C44" i="18"/>
  <c r="K105" i="17"/>
  <c r="F44" i="18" s="1"/>
  <c r="I105" i="17"/>
  <c r="D44" i="18" s="1"/>
  <c r="G105" i="17"/>
  <c r="J105" i="17"/>
  <c r="E44" i="18" s="1"/>
  <c r="M105" i="17"/>
  <c r="H44" i="18" s="1"/>
  <c r="H105" i="17"/>
  <c r="L105" i="17"/>
  <c r="G44" i="18" s="1"/>
  <c r="C45" i="18"/>
  <c r="J106" i="17"/>
  <c r="E45" i="18" s="1"/>
  <c r="M106" i="17"/>
  <c r="H45" i="18" s="1"/>
  <c r="K106" i="17"/>
  <c r="F45" i="18" s="1"/>
  <c r="H106" i="17"/>
  <c r="G106" i="17"/>
  <c r="I106" i="17"/>
  <c r="D45" i="18" s="1"/>
  <c r="L106" i="17"/>
  <c r="G45" i="18" s="1"/>
  <c r="F103" i="17"/>
  <c r="C47" i="18" s="1"/>
  <c r="H43" i="18"/>
  <c r="C46" i="18"/>
  <c r="L107" i="17"/>
  <c r="G46" i="18" s="1"/>
  <c r="M107" i="17"/>
  <c r="H46" i="18" s="1"/>
  <c r="I107" i="17"/>
  <c r="D46" i="18" s="1"/>
  <c r="H107" i="17"/>
  <c r="K107" i="17"/>
  <c r="F46" i="18" s="1"/>
  <c r="G107" i="17"/>
  <c r="J107" i="17"/>
  <c r="E46" i="18" s="1"/>
  <c r="K95" i="17"/>
  <c r="F36" i="18" s="1"/>
  <c r="F29" i="18"/>
  <c r="J95" i="17"/>
  <c r="E36" i="18" s="1"/>
  <c r="E29" i="18"/>
  <c r="H95" i="17"/>
  <c r="G12" i="18"/>
  <c r="L96" i="17"/>
  <c r="G37" i="18" s="1"/>
  <c r="G30" i="18"/>
  <c r="M96" i="17"/>
  <c r="H37" i="18" s="1"/>
  <c r="H30" i="18"/>
  <c r="M94" i="17"/>
  <c r="H35" i="18" s="1"/>
  <c r="H28" i="18"/>
  <c r="J94" i="17"/>
  <c r="E35" i="18" s="1"/>
  <c r="E28" i="18"/>
  <c r="G94" i="17"/>
  <c r="F11" i="18"/>
  <c r="K96" i="17"/>
  <c r="F37" i="18" s="1"/>
  <c r="F30" i="18"/>
  <c r="L94" i="17"/>
  <c r="G35" i="18" s="1"/>
  <c r="G28" i="18"/>
  <c r="E14" i="18"/>
  <c r="C31" i="18"/>
  <c r="L95" i="17"/>
  <c r="G36" i="18" s="1"/>
  <c r="G29" i="18"/>
  <c r="H94" i="17"/>
  <c r="G11" i="18"/>
  <c r="I94" i="17"/>
  <c r="D35" i="18" s="1"/>
  <c r="D28" i="18"/>
  <c r="M95" i="17"/>
  <c r="H36" i="18" s="1"/>
  <c r="H29" i="18"/>
  <c r="J96" i="17"/>
  <c r="E37" i="18" s="1"/>
  <c r="E30" i="18"/>
  <c r="I95" i="17"/>
  <c r="D36" i="18" s="1"/>
  <c r="D29" i="18"/>
  <c r="G95" i="17"/>
  <c r="F12" i="18"/>
  <c r="H96" i="17"/>
  <c r="G13" i="18"/>
  <c r="I96" i="17"/>
  <c r="D37" i="18" s="1"/>
  <c r="D30" i="18"/>
  <c r="G96" i="17"/>
  <c r="F13" i="18"/>
  <c r="K94" i="17"/>
  <c r="F35" i="18" s="1"/>
  <c r="F28" i="18"/>
  <c r="M92" i="17"/>
  <c r="J92" i="17"/>
  <c r="H92" i="17"/>
  <c r="G92" i="17"/>
  <c r="I92" i="17"/>
  <c r="K92" i="17"/>
  <c r="L92" i="17"/>
  <c r="B134" i="17"/>
  <c r="G31" i="18" l="1"/>
  <c r="L97" i="17"/>
  <c r="G38" i="18" s="1"/>
  <c r="F31" i="18"/>
  <c r="K97" i="17"/>
  <c r="F38" i="18" s="1"/>
  <c r="G14" i="18"/>
  <c r="H97" i="17"/>
  <c r="F14" i="18"/>
  <c r="G97" i="17"/>
  <c r="D31" i="18"/>
  <c r="I97" i="17"/>
  <c r="D38" i="18" s="1"/>
  <c r="E31" i="18"/>
  <c r="J97" i="17"/>
  <c r="E38" i="18" s="1"/>
  <c r="H31" i="18"/>
  <c r="M97" i="17"/>
  <c r="H38" i="18" s="1"/>
  <c r="G108" i="17"/>
  <c r="M108" i="17"/>
  <c r="H47" i="18" s="1"/>
  <c r="H108" i="17"/>
  <c r="L108" i="17"/>
  <c r="G47" i="18" s="1"/>
  <c r="I108" i="17"/>
  <c r="D47" i="18" s="1"/>
  <c r="J108" i="17"/>
  <c r="K108" i="17"/>
  <c r="F47" i="18" s="1"/>
  <c r="E47" i="18" l="1"/>
</calcChain>
</file>

<file path=xl/sharedStrings.xml><?xml version="1.0" encoding="utf-8"?>
<sst xmlns="http://schemas.openxmlformats.org/spreadsheetml/2006/main" count="310" uniqueCount="104">
  <si>
    <t>Powerco</t>
  </si>
  <si>
    <t>Inputs</t>
  </si>
  <si>
    <t>TAMRP</t>
  </si>
  <si>
    <t>TPNZ</t>
  </si>
  <si>
    <t>RAB</t>
  </si>
  <si>
    <t>$m</t>
  </si>
  <si>
    <t>Total</t>
  </si>
  <si>
    <t>EDB</t>
  </si>
  <si>
    <t>GDB</t>
  </si>
  <si>
    <t>$m pa</t>
  </si>
  <si>
    <t>Rf</t>
  </si>
  <si>
    <t>Dp</t>
  </si>
  <si>
    <t>Dp - SE</t>
  </si>
  <si>
    <t>L</t>
  </si>
  <si>
    <t>Ba</t>
  </si>
  <si>
    <t>Bd</t>
  </si>
  <si>
    <t>Ba - SE</t>
  </si>
  <si>
    <t>Tc</t>
  </si>
  <si>
    <t>Ti</t>
  </si>
  <si>
    <t>debt issuance</t>
  </si>
  <si>
    <t>Be</t>
  </si>
  <si>
    <t>Re</t>
  </si>
  <si>
    <t>Rd</t>
  </si>
  <si>
    <t>TAMRP - SE</t>
  </si>
  <si>
    <t>All</t>
  </si>
  <si>
    <t>WACC parameters</t>
  </si>
  <si>
    <t>GTS</t>
  </si>
  <si>
    <t>%</t>
  </si>
  <si>
    <t>WACC postT</t>
  </si>
  <si>
    <t>WACC postT - SE</t>
  </si>
  <si>
    <t>L - SE</t>
  </si>
  <si>
    <t>TPNZ ID disclosure, RAB disclosure year ended 30-Jun-15, Closing RAB value (table F1(i))</t>
  </si>
  <si>
    <t>Percentile Z-score using CC spreadsheet June 2016 calculation</t>
  </si>
  <si>
    <t xml:space="preserve">http://www.comcom.govt.nz/dmsdocument/14117 </t>
  </si>
  <si>
    <t xml:space="preserve">http://www.comcom.govt.nz/dmsdocument/14116 </t>
  </si>
  <si>
    <t>GasNet</t>
  </si>
  <si>
    <t>VCT GD</t>
  </si>
  <si>
    <t>CC, Gas distribution ID database to March 2016,, s 4(i) disclosures, Closing RAB, refer</t>
  </si>
  <si>
    <t xml:space="preserve">http://www.comcom.govt.nz/dmsdocument/14341 </t>
  </si>
  <si>
    <t>Electricity Distribution</t>
  </si>
  <si>
    <t>Gas Transmission</t>
  </si>
  <si>
    <t>Electricity Transmission</t>
  </si>
  <si>
    <t>Gas Distribution</t>
  </si>
  <si>
    <t>WACC vanilla</t>
  </si>
  <si>
    <t>WACC vanilla - SE</t>
  </si>
  <si>
    <t>Percentile case</t>
  </si>
  <si>
    <t>"x" th</t>
  </si>
  <si>
    <t>At 30 June 2015</t>
  </si>
  <si>
    <t>Refer:</t>
  </si>
  <si>
    <t>CC, IM review draft decision Cost of capital calculations spreadsheet June 2016</t>
  </si>
  <si>
    <t>CC, Gas transmission ID database to March 2016,, s 4(i) disclosures, Closing RAB</t>
  </si>
  <si>
    <t>First Gas (ex VCT GT)</t>
  </si>
  <si>
    <t>First Gas (ex MDL)</t>
  </si>
  <si>
    <t>December 2015</t>
  </si>
  <si>
    <t>WACC vanilla at "x" percentile</t>
  </si>
  <si>
    <t>WACC postT at "x" percentile</t>
  </si>
  <si>
    <t>Base case</t>
  </si>
  <si>
    <t>TDB do not report gas results using equivalent filtering methodology as used for electricity.</t>
  </si>
  <si>
    <t>Table 2: Changes in charges with a range of scenarios in WACC assumptions</t>
  </si>
  <si>
    <t>Change compared to Base case</t>
  </si>
  <si>
    <t>Draft decision June 2016, the Base case</t>
  </si>
  <si>
    <t>In this example no change is assumed in Ba SE or L.</t>
  </si>
  <si>
    <t>Electricity asset beta 0.24 and gas beta 0.36</t>
  </si>
  <si>
    <t>Electricity asset beta 0.28 and gas beta 0.46</t>
  </si>
  <si>
    <t>For illustrative purpose use gas results reported in TDB tables 4 and 5</t>
  </si>
  <si>
    <t>When using lowest (highest) Ba for electricity also use lowest (highest) estimated Ba for gas.</t>
  </si>
  <si>
    <t>Regulated Asset Base</t>
  </si>
  <si>
    <t>A 0.01 change in electricity beta from 0.34 to 0.33</t>
  </si>
  <si>
    <t>PV calc. years</t>
  </si>
  <si>
    <t>years</t>
  </si>
  <si>
    <t>PV cost of capital charges paid by consumers</t>
  </si>
  <si>
    <t>Cost of capital charges paid by consumers</t>
  </si>
  <si>
    <t>Change in annual charges compared to Base case</t>
  </si>
  <si>
    <t>% change in annual charges compared to Base case</t>
  </si>
  <si>
    <t>Change in PV cost of capital charges paid by consumers</t>
  </si>
  <si>
    <t>PV change compared to Base case</t>
  </si>
  <si>
    <t>Case 1</t>
  </si>
  <si>
    <t>Case 2</t>
  </si>
  <si>
    <t>Case 3</t>
  </si>
  <si>
    <t>Case 4</t>
  </si>
  <si>
    <t>Case 5</t>
  </si>
  <si>
    <t>WACC calculations:</t>
  </si>
  <si>
    <r>
      <t>Base case        post-tax           WACC             at 67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           percentile</t>
    </r>
  </si>
  <si>
    <r>
      <t>Mid-point WACC not 67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percentile</t>
    </r>
  </si>
  <si>
    <t>in cells shaded yellow</t>
  </si>
  <si>
    <t>Remove leverage anomaly,       eg L=0</t>
  </si>
  <si>
    <t>EDB closing RAB 31-Mar-15, refer PwC, Electricity Line Business 2015 Information Disclsoure Compendium, November 2015, p64</t>
  </si>
  <si>
    <t>Table 1: Base case capital charges and examples of incremental changes</t>
  </si>
  <si>
    <t>Capital charges paid by consumers</t>
  </si>
  <si>
    <t xml:space="preserve">$m </t>
  </si>
  <si>
    <t xml:space="preserve">% </t>
  </si>
  <si>
    <t xml:space="preserve">$m pa </t>
  </si>
  <si>
    <t>Debt issuance at 0.10% not 0.20%</t>
  </si>
  <si>
    <t xml:space="preserve">% pa </t>
  </si>
  <si>
    <t>% change compared to Base case</t>
  </si>
  <si>
    <t>Capital charges for June 2016 draft decision</t>
  </si>
  <si>
    <t xml:space="preserve">PV ($m) </t>
  </si>
  <si>
    <t xml:space="preserve">Refer TDB report.  Electrcity Ba, Ba S.E. and L from table 1, p6 for 2 and 3 step filters. </t>
  </si>
  <si>
    <t>Change relative to Base case</t>
  </si>
  <si>
    <t>A 1% change in WACC from 67th to 66th percentile</t>
  </si>
  <si>
    <t>MEUG internal working spreadsheet for illustrative purposes.  Use at own risk.</t>
  </si>
  <si>
    <t>And pers. comm. Richard Hale (MGUG).</t>
  </si>
  <si>
    <t>Capital charges paid by consumers  assumes all regulated services will be charged at the maxium possible WACC in the Base case amd any given scenario.</t>
  </si>
  <si>
    <t>In practice some regulated services are not charged at the maximum allowable WACC and to that extent the values estimated are a maximum bound.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</si>
</sst>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.0"/>
    <numFmt numFmtId="167" formatCode="&quot;Note&quot;\ General"/>
    <numFmt numFmtId="168" formatCode="#,##0_ ;[Red]\-#,##0\ "/>
    <numFmt numFmtId="169" formatCode="General\ &quot;th&quot;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4"/>
      <scheme val="minor"/>
    </font>
    <font>
      <vertAlign val="superscript"/>
      <sz val="10"/>
      <name val="Arial"/>
      <family val="2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525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16" applyNumberFormat="0" applyAlignment="0" applyProtection="0"/>
    <xf numFmtId="0" fontId="14" fillId="22" borderId="17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6" applyNumberFormat="0" applyAlignment="0" applyProtection="0"/>
    <xf numFmtId="0" fontId="21" fillId="0" borderId="21" applyNumberFormat="0" applyFill="0" applyAlignment="0" applyProtection="0"/>
    <xf numFmtId="0" fontId="22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7" fillId="24" borderId="22" applyNumberFormat="0" applyFont="0" applyAlignment="0" applyProtection="0"/>
    <xf numFmtId="0" fontId="23" fillId="21" borderId="23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24" borderId="22" applyNumberFormat="0" applyFont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6" fontId="7" fillId="0" borderId="0">
      <alignment vertical="top"/>
    </xf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>
      <alignment vertical="top"/>
    </xf>
    <xf numFmtId="166" fontId="7" fillId="0" borderId="0">
      <alignment vertical="top"/>
    </xf>
    <xf numFmtId="43" fontId="7" fillId="0" borderId="0" applyFont="0" applyFill="0" applyBorder="0" applyAlignment="0" applyProtection="0"/>
    <xf numFmtId="166" fontId="7" fillId="0" borderId="0">
      <alignment vertical="top"/>
    </xf>
    <xf numFmtId="43" fontId="7" fillId="0" borderId="0" applyFont="0" applyFill="0" applyBorder="0" applyAlignment="0" applyProtection="0"/>
    <xf numFmtId="166" fontId="7" fillId="0" borderId="0">
      <alignment vertical="top"/>
    </xf>
    <xf numFmtId="43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25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27" borderId="25" applyNumberFormat="0">
      <alignment horizontal="left"/>
    </xf>
  </cellStyleXfs>
  <cellXfs count="187">
    <xf numFmtId="0" fontId="0" fillId="0" borderId="0" xfId="0"/>
    <xf numFmtId="0" fontId="7" fillId="0" borderId="0" xfId="0" applyFont="1"/>
    <xf numFmtId="0" fontId="0" fillId="0" borderId="0" xfId="0" applyBorder="1"/>
    <xf numFmtId="10" fontId="0" fillId="0" borderId="6" xfId="141" applyNumberFormat="1" applyFont="1" applyBorder="1"/>
    <xf numFmtId="0" fontId="0" fillId="0" borderId="10" xfId="0" applyBorder="1"/>
    <xf numFmtId="0" fontId="0" fillId="0" borderId="8" xfId="0" applyBorder="1"/>
    <xf numFmtId="0" fontId="7" fillId="0" borderId="0" xfId="0" applyFont="1" applyAlignment="1">
      <alignment horizontal="center"/>
    </xf>
    <xf numFmtId="167" fontId="1" fillId="25" borderId="0" xfId="522" applyNumberFormat="1" applyAlignment="1">
      <alignment horizontal="left"/>
    </xf>
    <xf numFmtId="0" fontId="0" fillId="0" borderId="3" xfId="0" applyBorder="1"/>
    <xf numFmtId="0" fontId="7" fillId="0" borderId="6" xfId="0" applyFont="1" applyBorder="1"/>
    <xf numFmtId="0" fontId="27" fillId="0" borderId="6" xfId="0" applyFont="1" applyBorder="1"/>
    <xf numFmtId="0" fontId="7" fillId="0" borderId="0" xfId="0" applyFont="1" applyBorder="1"/>
    <xf numFmtId="0" fontId="0" fillId="0" borderId="2" xfId="0" applyBorder="1"/>
    <xf numFmtId="10" fontId="0" fillId="0" borderId="0" xfId="141" applyNumberFormat="1" applyFont="1" applyFill="1" applyBorder="1"/>
    <xf numFmtId="0" fontId="0" fillId="0" borderId="0" xfId="0" applyFill="1" applyBorder="1"/>
    <xf numFmtId="9" fontId="0" fillId="0" borderId="0" xfId="0" applyNumberFormat="1" applyFill="1" applyBorder="1"/>
    <xf numFmtId="2" fontId="0" fillId="0" borderId="0" xfId="0" applyNumberFormat="1" applyFill="1" applyBorder="1"/>
    <xf numFmtId="10" fontId="0" fillId="0" borderId="0" xfId="141" applyNumberFormat="1" applyFont="1" applyBorder="1"/>
    <xf numFmtId="168" fontId="0" fillId="0" borderId="0" xfId="0" applyNumberFormat="1" applyBorder="1"/>
    <xf numFmtId="167" fontId="1" fillId="25" borderId="15" xfId="522" applyNumberFormat="1" applyBorder="1" applyAlignment="1">
      <alignment horizontal="center"/>
    </xf>
    <xf numFmtId="0" fontId="0" fillId="0" borderId="15" xfId="0" applyBorder="1"/>
    <xf numFmtId="0" fontId="0" fillId="0" borderId="12" xfId="0" applyBorder="1"/>
    <xf numFmtId="0" fontId="7" fillId="0" borderId="2" xfId="0" applyFont="1" applyBorder="1"/>
    <xf numFmtId="0" fontId="7" fillId="0" borderId="3" xfId="0" applyFont="1" applyBorder="1"/>
    <xf numFmtId="10" fontId="0" fillId="0" borderId="3" xfId="0" applyNumberFormat="1" applyFill="1" applyBorder="1"/>
    <xf numFmtId="0" fontId="7" fillId="0" borderId="12" xfId="0" applyFont="1" applyBorder="1"/>
    <xf numFmtId="0" fontId="7" fillId="0" borderId="15" xfId="0" applyFont="1" applyBorder="1"/>
    <xf numFmtId="10" fontId="0" fillId="0" borderId="15" xfId="141" applyNumberFormat="1" applyFont="1" applyFill="1" applyBorder="1"/>
    <xf numFmtId="0" fontId="7" fillId="0" borderId="10" xfId="0" applyFont="1" applyBorder="1"/>
    <xf numFmtId="0" fontId="0" fillId="0" borderId="15" xfId="0" applyFill="1" applyBorder="1"/>
    <xf numFmtId="9" fontId="0" fillId="0" borderId="15" xfId="0" applyNumberFormat="1" applyFill="1" applyBorder="1"/>
    <xf numFmtId="9" fontId="0" fillId="26" borderId="15" xfId="0" applyNumberFormat="1" applyFill="1" applyBorder="1"/>
    <xf numFmtId="9" fontId="0" fillId="0" borderId="8" xfId="0" applyNumberFormat="1" applyFill="1" applyBorder="1"/>
    <xf numFmtId="2" fontId="0" fillId="26" borderId="15" xfId="0" applyNumberFormat="1" applyFill="1" applyBorder="1"/>
    <xf numFmtId="2" fontId="0" fillId="0" borderId="15" xfId="0" applyNumberFormat="1" applyFill="1" applyBorder="1"/>
    <xf numFmtId="0" fontId="0" fillId="0" borderId="3" xfId="0" applyFill="1" applyBorder="1"/>
    <xf numFmtId="10" fontId="0" fillId="0" borderId="3" xfId="141" applyNumberFormat="1" applyFont="1" applyFill="1" applyBorder="1"/>
    <xf numFmtId="9" fontId="0" fillId="0" borderId="3" xfId="141" applyNumberFormat="1" applyFont="1" applyFill="1" applyBorder="1"/>
    <xf numFmtId="10" fontId="0" fillId="26" borderId="15" xfId="141" applyNumberFormat="1" applyFont="1" applyFill="1" applyBorder="1"/>
    <xf numFmtId="9" fontId="0" fillId="0" borderId="15" xfId="141" applyNumberFormat="1" applyFont="1" applyFill="1" applyBorder="1"/>
    <xf numFmtId="0" fontId="27" fillId="0" borderId="12" xfId="0" applyFont="1" applyBorder="1"/>
    <xf numFmtId="10" fontId="0" fillId="0" borderId="12" xfId="141" applyNumberFormat="1" applyFont="1" applyBorder="1"/>
    <xf numFmtId="10" fontId="0" fillId="0" borderId="15" xfId="141" applyNumberFormat="1" applyFont="1" applyBorder="1"/>
    <xf numFmtId="10" fontId="0" fillId="0" borderId="10" xfId="141" applyNumberFormat="1" applyFont="1" applyBorder="1"/>
    <xf numFmtId="10" fontId="0" fillId="0" borderId="8" xfId="141" applyNumberFormat="1" applyFont="1" applyBorder="1"/>
    <xf numFmtId="0" fontId="0" fillId="0" borderId="0" xfId="0" applyBorder="1" applyAlignment="1">
      <alignment horizontal="center"/>
    </xf>
    <xf numFmtId="0" fontId="28" fillId="0" borderId="0" xfId="523"/>
    <xf numFmtId="168" fontId="0" fillId="0" borderId="0" xfId="0" applyNumberFormat="1" applyFill="1" applyBorder="1"/>
    <xf numFmtId="168" fontId="0" fillId="0" borderId="15" xfId="0" applyNumberFormat="1" applyFill="1" applyBorder="1"/>
    <xf numFmtId="0" fontId="7" fillId="0" borderId="0" xfId="0" applyFont="1" applyFill="1" applyBorder="1"/>
    <xf numFmtId="168" fontId="0" fillId="26" borderId="7" xfId="0" applyNumberFormat="1" applyFill="1" applyBorder="1"/>
    <xf numFmtId="168" fontId="0" fillId="0" borderId="4" xfId="0" applyNumberFormat="1" applyFill="1" applyBorder="1"/>
    <xf numFmtId="0" fontId="0" fillId="0" borderId="4" xfId="0" applyBorder="1" applyAlignment="1">
      <alignment horizontal="center"/>
    </xf>
    <xf numFmtId="2" fontId="0" fillId="26" borderId="0" xfId="0" applyNumberFormat="1" applyFill="1" applyBorder="1"/>
    <xf numFmtId="165" fontId="0" fillId="0" borderId="15" xfId="141" applyNumberFormat="1" applyFont="1" applyBorder="1"/>
    <xf numFmtId="165" fontId="0" fillId="0" borderId="0" xfId="141" applyNumberFormat="1" applyFont="1" applyBorder="1"/>
    <xf numFmtId="10" fontId="0" fillId="26" borderId="0" xfId="141" applyNumberFormat="1" applyFont="1" applyFill="1" applyBorder="1"/>
    <xf numFmtId="168" fontId="0" fillId="0" borderId="14" xfId="0" applyNumberFormat="1" applyFill="1" applyBorder="1"/>
    <xf numFmtId="9" fontId="0" fillId="26" borderId="0" xfId="0" applyNumberFormat="1" applyFill="1" applyBorder="1"/>
    <xf numFmtId="9" fontId="0" fillId="26" borderId="8" xfId="0" applyNumberFormat="1" applyFill="1" applyBorder="1"/>
    <xf numFmtId="1" fontId="0" fillId="0" borderId="3" xfId="0" applyNumberFormat="1" applyFill="1" applyBorder="1"/>
    <xf numFmtId="1" fontId="0" fillId="26" borderId="3" xfId="0" applyNumberFormat="1" applyFill="1" applyBorder="1"/>
    <xf numFmtId="168" fontId="0" fillId="0" borderId="3" xfId="0" applyNumberForma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168" fontId="0" fillId="26" borderId="5" xfId="0" applyNumberFormat="1" applyFill="1" applyBorder="1"/>
    <xf numFmtId="168" fontId="0" fillId="26" borderId="9" xfId="0" applyNumberFormat="1" applyFill="1" applyBorder="1"/>
    <xf numFmtId="17" fontId="7" fillId="0" borderId="0" xfId="0" quotePrefix="1" applyNumberFormat="1" applyFont="1"/>
    <xf numFmtId="0" fontId="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4" xfId="0" applyFont="1" applyBorder="1"/>
    <xf numFmtId="0" fontId="0" fillId="28" borderId="3" xfId="0" applyFill="1" applyBorder="1" applyAlignment="1"/>
    <xf numFmtId="0" fontId="0" fillId="28" borderId="4" xfId="0" applyFill="1" applyBorder="1"/>
    <xf numFmtId="0" fontId="0" fillId="26" borderId="0" xfId="0" applyFill="1"/>
    <xf numFmtId="0" fontId="31" fillId="28" borderId="2" xfId="0" applyFont="1" applyFill="1" applyBorder="1" applyAlignment="1">
      <alignment vertical="center"/>
    </xf>
    <xf numFmtId="0" fontId="7" fillId="0" borderId="14" xfId="0" applyFont="1" applyBorder="1" applyAlignment="1">
      <alignment horizontal="right" indent="1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168" fontId="0" fillId="0" borderId="14" xfId="0" applyNumberFormat="1" applyFill="1" applyBorder="1" applyAlignment="1">
      <alignment vertical="center"/>
    </xf>
    <xf numFmtId="10" fontId="0" fillId="0" borderId="0" xfId="0" applyNumberFormat="1" applyAlignment="1">
      <alignment vertical="center"/>
    </xf>
    <xf numFmtId="0" fontId="7" fillId="0" borderId="2" xfId="0" applyFont="1" applyBorder="1" applyAlignment="1">
      <alignment vertical="center"/>
    </xf>
    <xf numFmtId="168" fontId="0" fillId="0" borderId="1" xfId="0" applyNumberForma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168" fontId="0" fillId="0" borderId="13" xfId="0" applyNumberFormat="1" applyFill="1" applyBorder="1" applyAlignment="1">
      <alignment vertical="center"/>
    </xf>
    <xf numFmtId="0" fontId="31" fillId="0" borderId="1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8" fontId="0" fillId="0" borderId="15" xfId="0" applyNumberFormat="1" applyFill="1" applyBorder="1" applyAlignment="1">
      <alignment vertical="center"/>
    </xf>
    <xf numFmtId="168" fontId="0" fillId="0" borderId="5" xfId="0" applyNumberForma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0" fillId="0" borderId="1" xfId="0" applyBorder="1"/>
    <xf numFmtId="167" fontId="1" fillId="25" borderId="14" xfId="522" applyNumberFormat="1" applyBorder="1" applyAlignment="1">
      <alignment horizontal="center"/>
    </xf>
    <xf numFmtId="10" fontId="0" fillId="26" borderId="1" xfId="0" applyNumberFormat="1" applyFill="1" applyBorder="1"/>
    <xf numFmtId="10" fontId="0" fillId="26" borderId="13" xfId="141" applyNumberFormat="1" applyFont="1" applyFill="1" applyBorder="1"/>
    <xf numFmtId="10" fontId="0" fillId="26" borderId="14" xfId="141" applyNumberFormat="1" applyFont="1" applyFill="1" applyBorder="1"/>
    <xf numFmtId="0" fontId="0" fillId="26" borderId="13" xfId="0" applyFill="1" applyBorder="1"/>
    <xf numFmtId="0" fontId="0" fillId="26" borderId="14" xfId="0" applyFill="1" applyBorder="1"/>
    <xf numFmtId="9" fontId="0" fillId="26" borderId="13" xfId="0" applyNumberFormat="1" applyFill="1" applyBorder="1"/>
    <xf numFmtId="9" fontId="0" fillId="26" borderId="14" xfId="0" applyNumberFormat="1" applyFill="1" applyBorder="1"/>
    <xf numFmtId="2" fontId="0" fillId="26" borderId="13" xfId="0" applyNumberFormat="1" applyFill="1" applyBorder="1"/>
    <xf numFmtId="2" fontId="0" fillId="26" borderId="14" xfId="0" applyNumberFormat="1" applyFill="1" applyBorder="1"/>
    <xf numFmtId="0" fontId="0" fillId="26" borderId="1" xfId="0" applyFill="1" applyBorder="1"/>
    <xf numFmtId="10" fontId="0" fillId="26" borderId="1" xfId="141" applyNumberFormat="1" applyFont="1" applyFill="1" applyBorder="1"/>
    <xf numFmtId="9" fontId="0" fillId="26" borderId="1" xfId="141" applyNumberFormat="1" applyFont="1" applyFill="1" applyBorder="1"/>
    <xf numFmtId="9" fontId="0" fillId="26" borderId="13" xfId="141" applyNumberFormat="1" applyFont="1" applyFill="1" applyBorder="1"/>
    <xf numFmtId="1" fontId="0" fillId="26" borderId="1" xfId="0" applyNumberFormat="1" applyFill="1" applyBorder="1"/>
    <xf numFmtId="10" fontId="0" fillId="0" borderId="13" xfId="141" applyNumberFormat="1" applyFont="1" applyBorder="1"/>
    <xf numFmtId="10" fontId="0" fillId="0" borderId="14" xfId="141" applyNumberFormat="1" applyFont="1" applyBorder="1"/>
    <xf numFmtId="168" fontId="0" fillId="26" borderId="13" xfId="0" applyNumberFormat="1" applyFill="1" applyBorder="1"/>
    <xf numFmtId="168" fontId="0" fillId="26" borderId="14" xfId="0" applyNumberFormat="1" applyFill="1" applyBorder="1"/>
    <xf numFmtId="168" fontId="0" fillId="0" borderId="1" xfId="0" applyNumberFormat="1" applyBorder="1"/>
    <xf numFmtId="168" fontId="0" fillId="0" borderId="14" xfId="0" applyNumberFormat="1" applyBorder="1"/>
    <xf numFmtId="168" fontId="0" fillId="0" borderId="4" xfId="0" applyNumberFormat="1" applyBorder="1"/>
    <xf numFmtId="165" fontId="0" fillId="0" borderId="3" xfId="141" applyNumberFormat="1" applyFont="1" applyBorder="1"/>
    <xf numFmtId="165" fontId="0" fillId="0" borderId="4" xfId="141" applyNumberFormat="1" applyFont="1" applyBorder="1"/>
    <xf numFmtId="0" fontId="7" fillId="2" borderId="6" xfId="0" applyFont="1" applyFill="1" applyBorder="1" applyAlignment="1">
      <alignment vertical="center"/>
    </xf>
    <xf numFmtId="168" fontId="0" fillId="2" borderId="14" xfId="0" applyNumberFormat="1" applyFill="1" applyBorder="1" applyAlignment="1">
      <alignment vertical="center"/>
    </xf>
    <xf numFmtId="10" fontId="0" fillId="2" borderId="0" xfId="0" applyNumberFormat="1" applyFill="1" applyAlignment="1">
      <alignment vertical="center"/>
    </xf>
    <xf numFmtId="0" fontId="0" fillId="2" borderId="0" xfId="0" applyFill="1" applyBorder="1" applyAlignment="1">
      <alignment vertical="center"/>
    </xf>
    <xf numFmtId="165" fontId="0" fillId="2" borderId="14" xfId="0" applyNumberFormat="1" applyFill="1" applyBorder="1" applyAlignment="1">
      <alignment vertical="center"/>
    </xf>
    <xf numFmtId="165" fontId="0" fillId="2" borderId="6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9" fontId="0" fillId="0" borderId="12" xfId="0" applyNumberFormat="1" applyFill="1" applyBorder="1"/>
    <xf numFmtId="9" fontId="0" fillId="26" borderId="5" xfId="0" applyNumberFormat="1" applyFill="1" applyBorder="1"/>
    <xf numFmtId="9" fontId="0" fillId="0" borderId="6" xfId="0" applyNumberFormat="1" applyFill="1" applyBorder="1"/>
    <xf numFmtId="9" fontId="0" fillId="26" borderId="7" xfId="0" applyNumberFormat="1" applyFill="1" applyBorder="1"/>
    <xf numFmtId="9" fontId="0" fillId="0" borderId="10" xfId="0" applyNumberFormat="1" applyFill="1" applyBorder="1"/>
    <xf numFmtId="9" fontId="0" fillId="26" borderId="9" xfId="0" applyNumberFormat="1" applyFill="1" applyBorder="1"/>
    <xf numFmtId="10" fontId="0" fillId="0" borderId="5" xfId="141" applyNumberFormat="1" applyFont="1" applyBorder="1"/>
    <xf numFmtId="10" fontId="0" fillId="0" borderId="7" xfId="141" applyNumberFormat="1" applyFont="1" applyBorder="1"/>
    <xf numFmtId="10" fontId="0" fillId="0" borderId="9" xfId="141" applyNumberFormat="1" applyFont="1" applyBorder="1"/>
    <xf numFmtId="10" fontId="0" fillId="0" borderId="11" xfId="141" applyNumberFormat="1" applyFont="1" applyBorder="1"/>
    <xf numFmtId="167" fontId="1" fillId="25" borderId="13" xfId="522" applyNumberFormat="1" applyBorder="1" applyAlignment="1">
      <alignment horizontal="center"/>
    </xf>
    <xf numFmtId="167" fontId="1" fillId="25" borderId="11" xfId="522" applyNumberForma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31" fillId="28" borderId="2" xfId="0" applyFont="1" applyFill="1" applyBorder="1" applyAlignment="1">
      <alignment vertical="center"/>
    </xf>
    <xf numFmtId="0" fontId="31" fillId="28" borderId="3" xfId="0" applyFont="1" applyFill="1" applyBorder="1" applyAlignment="1">
      <alignment vertical="center"/>
    </xf>
    <xf numFmtId="0" fontId="31" fillId="28" borderId="4" xfId="0" applyFont="1" applyFill="1" applyBorder="1" applyAlignment="1">
      <alignment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2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169" fontId="7" fillId="0" borderId="12" xfId="0" applyNumberFormat="1" applyFont="1" applyBorder="1" applyAlignment="1">
      <alignment horizontal="left" vertical="top" wrapText="1"/>
    </xf>
    <xf numFmtId="169" fontId="7" fillId="0" borderId="15" xfId="0" applyNumberFormat="1" applyFont="1" applyBorder="1" applyAlignment="1">
      <alignment horizontal="left" vertical="top" wrapText="1"/>
    </xf>
    <xf numFmtId="169" fontId="7" fillId="0" borderId="6" xfId="0" applyNumberFormat="1" applyFont="1" applyBorder="1" applyAlignment="1">
      <alignment horizontal="left" vertical="top" wrapText="1"/>
    </xf>
    <xf numFmtId="169" fontId="7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</cellXfs>
  <cellStyles count="525">
    <cellStyle name="_x000a_bidires=100_x000d_" xfId="2"/>
    <cellStyle name="_x000a_bidires=100_x000d_ 2" xfId="144"/>
    <cellStyle name="_x000a_bidires=100_x000d_ 2 2" xfId="145"/>
    <cellStyle name="_x000a_bidires=100_x000d_ 2 3" xfId="146"/>
    <cellStyle name="_x000a_bidires=100_x000d_ 2 4" xfId="210"/>
    <cellStyle name="_x000a_bidires=100_x000d_ 3" xfId="147"/>
    <cellStyle name="_x000a_bidires=100_x000d_ 4" xfId="148"/>
    <cellStyle name="_x000a_bidires=100_x000d_ 5" xfId="143"/>
    <cellStyle name="20% - Accent1 2" xfId="149"/>
    <cellStyle name="20% - Accent2 2" xfId="150"/>
    <cellStyle name="20% - Accent3 2" xfId="151"/>
    <cellStyle name="20% - Accent4 2" xfId="152"/>
    <cellStyle name="20% - Accent5 2" xfId="153"/>
    <cellStyle name="20% - Accent6 2" xfId="154"/>
    <cellStyle name="40% - Accent1 2" xfId="155"/>
    <cellStyle name="40% - Accent2 2" xfId="156"/>
    <cellStyle name="40% - Accent3 2" xfId="157"/>
    <cellStyle name="40% - Accent4 2" xfId="158"/>
    <cellStyle name="40% - Accent5" xfId="522" builtinId="47"/>
    <cellStyle name="40% - Accent5 2" xfId="159"/>
    <cellStyle name="40% - Accent6 2" xfId="160"/>
    <cellStyle name="60% - Accent1 2" xfId="161"/>
    <cellStyle name="60% - Accent2 2" xfId="162"/>
    <cellStyle name="60% - Accent3 2" xfId="163"/>
    <cellStyle name="60% - Accent4 2" xfId="164"/>
    <cellStyle name="60% - Accent5 2" xfId="165"/>
    <cellStyle name="60% - Accent6 2" xfId="166"/>
    <cellStyle name="Accent1 2" xfId="167"/>
    <cellStyle name="Accent2 2" xfId="168"/>
    <cellStyle name="Accent3 2" xfId="169"/>
    <cellStyle name="Accent4 2" xfId="170"/>
    <cellStyle name="Accent5 2" xfId="171"/>
    <cellStyle name="Accent6 2" xfId="172"/>
    <cellStyle name="Bad 2" xfId="173"/>
    <cellStyle name="Calculation 2" xfId="174"/>
    <cellStyle name="Check Cell 2" xfId="175"/>
    <cellStyle name="Comma  - Style1" xfId="4"/>
    <cellStyle name="Comma 10" xfId="509"/>
    <cellStyle name="Comma 2" xfId="3"/>
    <cellStyle name="Comma 2 2" xfId="214"/>
    <cellStyle name="Comma 2 3" xfId="224"/>
    <cellStyle name="Comma 2 3 2" xfId="289"/>
    <cellStyle name="Comma 2 3 2 2" xfId="313"/>
    <cellStyle name="Comma 2 3 2 3" xfId="495"/>
    <cellStyle name="Comma 2 3 3" xfId="301"/>
    <cellStyle name="Comma 2 3 3 2" xfId="517"/>
    <cellStyle name="Comma 2 3 4" xfId="326"/>
    <cellStyle name="Comma 2 4" xfId="283"/>
    <cellStyle name="Comma 2 4 2" xfId="307"/>
    <cellStyle name="Comma 2 4 3" xfId="332"/>
    <cellStyle name="Comma 2 5" xfId="295"/>
    <cellStyle name="Comma 2 5 2" xfId="511"/>
    <cellStyle name="Comma 2 6" xfId="320"/>
    <cellStyle name="Comma 3" xfId="138"/>
    <cellStyle name="Comma 3 2" xfId="278"/>
    <cellStyle name="Comma 3 2 2" xfId="291"/>
    <cellStyle name="Comma 3 2 2 2" xfId="315"/>
    <cellStyle name="Comma 3 2 2 3" xfId="497"/>
    <cellStyle name="Comma 3 2 3" xfId="303"/>
    <cellStyle name="Comma 3 2 3 2" xfId="519"/>
    <cellStyle name="Comma 3 2 4" xfId="328"/>
    <cellStyle name="Comma 3 3" xfId="285"/>
    <cellStyle name="Comma 3 3 2" xfId="309"/>
    <cellStyle name="Comma 3 3 3" xfId="406"/>
    <cellStyle name="Comma 3 4" xfId="297"/>
    <cellStyle name="Comma 3 4 2" xfId="513"/>
    <cellStyle name="Comma 3 5" xfId="322"/>
    <cellStyle name="Comma 4" xfId="139"/>
    <cellStyle name="Comma 4 2" xfId="279"/>
    <cellStyle name="Comma 4 2 2" xfId="292"/>
    <cellStyle name="Comma 4 2 2 2" xfId="316"/>
    <cellStyle name="Comma 4 2 2 3" xfId="498"/>
    <cellStyle name="Comma 4 2 3" xfId="304"/>
    <cellStyle name="Comma 4 2 3 2" xfId="520"/>
    <cellStyle name="Comma 4 2 4" xfId="329"/>
    <cellStyle name="Comma 4 3" xfId="286"/>
    <cellStyle name="Comma 4 3 2" xfId="310"/>
    <cellStyle name="Comma 4 3 3" xfId="407"/>
    <cellStyle name="Comma 4 4" xfId="298"/>
    <cellStyle name="Comma 4 4 2" xfId="514"/>
    <cellStyle name="Comma 4 5" xfId="323"/>
    <cellStyle name="Comma 5" xfId="409"/>
    <cellStyle name="Comma 5 2" xfId="490"/>
    <cellStyle name="Comma 6" xfId="411"/>
    <cellStyle name="Comma 6 2" xfId="500"/>
    <cellStyle name="Comma 7" xfId="415"/>
    <cellStyle name="Comma 8" xfId="505"/>
    <cellStyle name="Comma 9" xfId="507"/>
    <cellStyle name="Curren - Style2" xfId="5"/>
    <cellStyle name="Explanatory Text 2" xfId="176"/>
    <cellStyle name="Good 2" xfId="177"/>
    <cellStyle name="Heading 1 2" xfId="178"/>
    <cellStyle name="Heading 2 2" xfId="179"/>
    <cellStyle name="Heading 3 2" xfId="180"/>
    <cellStyle name="Heading 4 2" xfId="181"/>
    <cellStyle name="Heavy Box" xfId="524"/>
    <cellStyle name="Hyperlink" xfId="523" builtinId="8"/>
    <cellStyle name="Input 2" xfId="182"/>
    <cellStyle name="Linked Cell 2" xfId="183"/>
    <cellStyle name="Neutral 2" xfId="184"/>
    <cellStyle name="Normal" xfId="0" builtinId="0"/>
    <cellStyle name="Normal - Style3" xfId="6"/>
    <cellStyle name="Normal 10" xfId="7"/>
    <cellStyle name="Normal 10 2" xfId="333"/>
    <cellStyle name="Normal 10 2 2" xfId="417"/>
    <cellStyle name="Normal 100" xfId="111"/>
    <cellStyle name="Normal 100 2" xfId="254"/>
    <cellStyle name="Normal 101" xfId="112"/>
    <cellStyle name="Normal 101 2" xfId="255"/>
    <cellStyle name="Normal 102" xfId="113"/>
    <cellStyle name="Normal 102 2" xfId="256"/>
    <cellStyle name="Normal 103" xfId="114"/>
    <cellStyle name="Normal 103 2" xfId="257"/>
    <cellStyle name="Normal 104" xfId="115"/>
    <cellStyle name="Normal 104 2" xfId="258"/>
    <cellStyle name="Normal 105" xfId="116"/>
    <cellStyle name="Normal 105 2" xfId="259"/>
    <cellStyle name="Normal 106" xfId="117"/>
    <cellStyle name="Normal 106 2" xfId="260"/>
    <cellStyle name="Normal 107" xfId="118"/>
    <cellStyle name="Normal 107 2" xfId="261"/>
    <cellStyle name="Normal 108" xfId="119"/>
    <cellStyle name="Normal 108 2" xfId="262"/>
    <cellStyle name="Normal 109" xfId="120"/>
    <cellStyle name="Normal 109 2" xfId="263"/>
    <cellStyle name="Normal 11" xfId="8"/>
    <cellStyle name="Normal 11 2" xfId="334"/>
    <cellStyle name="Normal 11 2 2" xfId="418"/>
    <cellStyle name="Normal 110" xfId="121"/>
    <cellStyle name="Normal 110 2" xfId="264"/>
    <cellStyle name="Normal 111" xfId="122"/>
    <cellStyle name="Normal 111 2" xfId="265"/>
    <cellStyle name="Normal 112" xfId="123"/>
    <cellStyle name="Normal 112 2" xfId="266"/>
    <cellStyle name="Normal 113" xfId="124"/>
    <cellStyle name="Normal 113 2" xfId="267"/>
    <cellStyle name="Normal 114" xfId="125"/>
    <cellStyle name="Normal 114 2" xfId="268"/>
    <cellStyle name="Normal 115" xfId="126"/>
    <cellStyle name="Normal 115 2" xfId="269"/>
    <cellStyle name="Normal 116" xfId="127"/>
    <cellStyle name="Normal 116 2" xfId="270"/>
    <cellStyle name="Normal 117" xfId="128"/>
    <cellStyle name="Normal 117 2" xfId="271"/>
    <cellStyle name="Normal 118" xfId="129"/>
    <cellStyle name="Normal 118 2" xfId="272"/>
    <cellStyle name="Normal 119" xfId="130"/>
    <cellStyle name="Normal 119 2" xfId="273"/>
    <cellStyle name="Normal 12" xfId="9"/>
    <cellStyle name="Normal 12 2" xfId="335"/>
    <cellStyle name="Normal 12 2 2" xfId="419"/>
    <cellStyle name="Normal 120" xfId="131"/>
    <cellStyle name="Normal 120 2" xfId="274"/>
    <cellStyle name="Normal 121" xfId="132"/>
    <cellStyle name="Normal 121 2" xfId="275"/>
    <cellStyle name="Normal 122" xfId="133"/>
    <cellStyle name="Normal 122 2" xfId="276"/>
    <cellStyle name="Normal 123" xfId="134"/>
    <cellStyle name="Normal 123 2" xfId="402"/>
    <cellStyle name="Normal 123 2 2" xfId="487"/>
    <cellStyle name="Normal 124" xfId="135"/>
    <cellStyle name="Normal 124 2" xfId="403"/>
    <cellStyle name="Normal 124 2 2" xfId="488"/>
    <cellStyle name="Normal 125" xfId="136"/>
    <cellStyle name="Normal 125 2" xfId="404"/>
    <cellStyle name="Normal 125 2 2" xfId="489"/>
    <cellStyle name="Normal 126" xfId="1"/>
    <cellStyle name="Normal 126 2" xfId="223"/>
    <cellStyle name="Normal 126 2 2" xfId="288"/>
    <cellStyle name="Normal 126 2 2 2" xfId="312"/>
    <cellStyle name="Normal 126 2 2 3" xfId="494"/>
    <cellStyle name="Normal 126 2 3" xfId="300"/>
    <cellStyle name="Normal 126 2 3 2" xfId="516"/>
    <cellStyle name="Normal 126 2 4" xfId="325"/>
    <cellStyle name="Normal 126 3" xfId="282"/>
    <cellStyle name="Normal 126 3 2" xfId="306"/>
    <cellStyle name="Normal 126 3 3" xfId="331"/>
    <cellStyle name="Normal 126 4" xfId="294"/>
    <cellStyle name="Normal 126 4 2" xfId="510"/>
    <cellStyle name="Normal 126 5" xfId="319"/>
    <cellStyle name="Normal 127" xfId="137"/>
    <cellStyle name="Normal 127 2" xfId="277"/>
    <cellStyle name="Normal 127 2 2" xfId="290"/>
    <cellStyle name="Normal 127 2 2 2" xfId="314"/>
    <cellStyle name="Normal 127 2 2 3" xfId="496"/>
    <cellStyle name="Normal 127 2 3" xfId="302"/>
    <cellStyle name="Normal 127 2 3 2" xfId="518"/>
    <cellStyle name="Normal 127 2 4" xfId="327"/>
    <cellStyle name="Normal 127 3" xfId="284"/>
    <cellStyle name="Normal 127 3 2" xfId="308"/>
    <cellStyle name="Normal 127 3 3" xfId="405"/>
    <cellStyle name="Normal 127 4" xfId="296"/>
    <cellStyle name="Normal 127 4 2" xfId="512"/>
    <cellStyle name="Normal 127 5" xfId="321"/>
    <cellStyle name="Normal 128" xfId="140"/>
    <cellStyle name="Normal 128 2" xfId="280"/>
    <cellStyle name="Normal 128 2 2" xfId="293"/>
    <cellStyle name="Normal 128 2 2 2" xfId="317"/>
    <cellStyle name="Normal 128 2 2 3" xfId="499"/>
    <cellStyle name="Normal 128 2 3" xfId="305"/>
    <cellStyle name="Normal 128 2 3 2" xfId="521"/>
    <cellStyle name="Normal 128 2 4" xfId="330"/>
    <cellStyle name="Normal 128 3" xfId="287"/>
    <cellStyle name="Normal 128 3 2" xfId="311"/>
    <cellStyle name="Normal 128 3 3" xfId="408"/>
    <cellStyle name="Normal 128 4" xfId="299"/>
    <cellStyle name="Normal 128 4 2" xfId="515"/>
    <cellStyle name="Normal 128 5" xfId="324"/>
    <cellStyle name="Normal 129" xfId="142"/>
    <cellStyle name="Normal 13" xfId="10"/>
    <cellStyle name="Normal 13 2" xfId="336"/>
    <cellStyle name="Normal 13 2 2" xfId="420"/>
    <cellStyle name="Normal 130" xfId="186"/>
    <cellStyle name="Normal 131" xfId="211"/>
    <cellStyle name="Normal 132" xfId="212"/>
    <cellStyle name="Normal 133" xfId="213"/>
    <cellStyle name="Normal 134" xfId="185"/>
    <cellStyle name="Normal 135" xfId="215"/>
    <cellStyle name="Normal 136" xfId="216"/>
    <cellStyle name="Normal 137" xfId="217"/>
    <cellStyle name="Normal 138" xfId="209"/>
    <cellStyle name="Normal 139" xfId="220"/>
    <cellStyle name="Normal 14" xfId="11"/>
    <cellStyle name="Normal 14 2" xfId="337"/>
    <cellStyle name="Normal 14 2 2" xfId="421"/>
    <cellStyle name="Normal 140" xfId="221"/>
    <cellStyle name="Normal 141" xfId="222"/>
    <cellStyle name="Normal 142" xfId="281"/>
    <cellStyle name="Normal 143" xfId="416"/>
    <cellStyle name="Normal 144" xfId="431"/>
    <cellStyle name="Normal 145" xfId="412"/>
    <cellStyle name="Normal 146" xfId="493"/>
    <cellStyle name="Normal 147" xfId="491"/>
    <cellStyle name="Normal 148" xfId="501"/>
    <cellStyle name="Normal 149" xfId="502"/>
    <cellStyle name="Normal 15" xfId="12"/>
    <cellStyle name="Normal 15 2" xfId="338"/>
    <cellStyle name="Normal 15 2 2" xfId="422"/>
    <cellStyle name="Normal 150" xfId="492"/>
    <cellStyle name="Normal 151" xfId="414"/>
    <cellStyle name="Normal 152" xfId="413"/>
    <cellStyle name="Normal 153" xfId="504"/>
    <cellStyle name="Normal 154" xfId="506"/>
    <cellStyle name="Normal 155" xfId="508"/>
    <cellStyle name="Normal 156" xfId="318"/>
    <cellStyle name="Normal 16" xfId="13"/>
    <cellStyle name="Normal 16 2" xfId="339"/>
    <cellStyle name="Normal 16 2 2" xfId="423"/>
    <cellStyle name="Normal 17" xfId="28"/>
    <cellStyle name="Normal 17 2" xfId="347"/>
    <cellStyle name="Normal 17 2 2" xfId="432"/>
    <cellStyle name="Normal 18" xfId="29"/>
    <cellStyle name="Normal 18 2" xfId="348"/>
    <cellStyle name="Normal 18 2 2" xfId="433"/>
    <cellStyle name="Normal 19" xfId="30"/>
    <cellStyle name="Normal 19 2" xfId="349"/>
    <cellStyle name="Normal 19 2 2" xfId="434"/>
    <cellStyle name="Normal 2" xfId="14"/>
    <cellStyle name="Normal 2 2" xfId="15"/>
    <cellStyle name="Normal 2 2 2" xfId="225"/>
    <cellStyle name="Normal 2 3" xfId="187"/>
    <cellStyle name="Normal 2 4" xfId="503"/>
    <cellStyle name="Normal 20" xfId="31"/>
    <cellStyle name="Normal 20 2" xfId="350"/>
    <cellStyle name="Normal 20 2 2" xfId="435"/>
    <cellStyle name="Normal 21" xfId="32"/>
    <cellStyle name="Normal 21 2" xfId="351"/>
    <cellStyle name="Normal 21 2 2" xfId="436"/>
    <cellStyle name="Normal 22" xfId="33"/>
    <cellStyle name="Normal 22 2" xfId="352"/>
    <cellStyle name="Normal 22 2 2" xfId="437"/>
    <cellStyle name="Normal 23" xfId="34"/>
    <cellStyle name="Normal 23 2" xfId="353"/>
    <cellStyle name="Normal 23 2 2" xfId="438"/>
    <cellStyle name="Normal 24" xfId="35"/>
    <cellStyle name="Normal 24 2" xfId="354"/>
    <cellStyle name="Normal 24 2 2" xfId="439"/>
    <cellStyle name="Normal 25" xfId="36"/>
    <cellStyle name="Normal 25 2" xfId="355"/>
    <cellStyle name="Normal 25 2 2" xfId="440"/>
    <cellStyle name="Normal 26" xfId="37"/>
    <cellStyle name="Normal 26 2" xfId="356"/>
    <cellStyle name="Normal 26 2 2" xfId="441"/>
    <cellStyle name="Normal 27" xfId="38"/>
    <cellStyle name="Normal 27 2" xfId="357"/>
    <cellStyle name="Normal 27 2 2" xfId="442"/>
    <cellStyle name="Normal 28" xfId="39"/>
    <cellStyle name="Normal 28 2" xfId="358"/>
    <cellStyle name="Normal 28 2 2" xfId="443"/>
    <cellStyle name="Normal 29" xfId="40"/>
    <cellStyle name="Normal 29 2" xfId="359"/>
    <cellStyle name="Normal 29 2 2" xfId="444"/>
    <cellStyle name="Normal 3" xfId="16"/>
    <cellStyle name="Normal 3 2" xfId="340"/>
    <cellStyle name="Normal 3 2 2" xfId="424"/>
    <cellStyle name="Normal 30" xfId="41"/>
    <cellStyle name="Normal 30 2" xfId="360"/>
    <cellStyle name="Normal 30 2 2" xfId="445"/>
    <cellStyle name="Normal 31" xfId="42"/>
    <cellStyle name="Normal 31 2" xfId="361"/>
    <cellStyle name="Normal 31 2 2" xfId="446"/>
    <cellStyle name="Normal 32" xfId="43"/>
    <cellStyle name="Normal 32 2" xfId="362"/>
    <cellStyle name="Normal 32 2 2" xfId="447"/>
    <cellStyle name="Normal 33" xfId="44"/>
    <cellStyle name="Normal 33 2" xfId="363"/>
    <cellStyle name="Normal 33 2 2" xfId="448"/>
    <cellStyle name="Normal 34" xfId="45"/>
    <cellStyle name="Normal 34 2" xfId="364"/>
    <cellStyle name="Normal 34 2 2" xfId="449"/>
    <cellStyle name="Normal 35" xfId="46"/>
    <cellStyle name="Normal 35 2" xfId="365"/>
    <cellStyle name="Normal 35 2 2" xfId="450"/>
    <cellStyle name="Normal 36" xfId="47"/>
    <cellStyle name="Normal 36 2" xfId="366"/>
    <cellStyle name="Normal 36 2 2" xfId="451"/>
    <cellStyle name="Normal 37" xfId="48"/>
    <cellStyle name="Normal 37 2" xfId="367"/>
    <cellStyle name="Normal 37 2 2" xfId="452"/>
    <cellStyle name="Normal 38" xfId="49"/>
    <cellStyle name="Normal 38 2" xfId="368"/>
    <cellStyle name="Normal 38 2 2" xfId="453"/>
    <cellStyle name="Normal 39" xfId="50"/>
    <cellStyle name="Normal 39 2" xfId="369"/>
    <cellStyle name="Normal 39 2 2" xfId="454"/>
    <cellStyle name="Normal 4" xfId="17"/>
    <cellStyle name="Normal 4 2" xfId="341"/>
    <cellStyle name="Normal 4 2 2" xfId="425"/>
    <cellStyle name="Normal 40" xfId="51"/>
    <cellStyle name="Normal 40 2" xfId="370"/>
    <cellStyle name="Normal 40 2 2" xfId="455"/>
    <cellStyle name="Normal 41" xfId="52"/>
    <cellStyle name="Normal 41 2" xfId="371"/>
    <cellStyle name="Normal 41 2 2" xfId="456"/>
    <cellStyle name="Normal 42" xfId="53"/>
    <cellStyle name="Normal 42 2" xfId="372"/>
    <cellStyle name="Normal 42 2 2" xfId="457"/>
    <cellStyle name="Normal 43" xfId="54"/>
    <cellStyle name="Normal 43 2" xfId="373"/>
    <cellStyle name="Normal 43 2 2" xfId="458"/>
    <cellStyle name="Normal 44" xfId="55"/>
    <cellStyle name="Normal 44 2" xfId="374"/>
    <cellStyle name="Normal 44 2 2" xfId="459"/>
    <cellStyle name="Normal 45" xfId="56"/>
    <cellStyle name="Normal 45 2" xfId="375"/>
    <cellStyle name="Normal 45 2 2" xfId="460"/>
    <cellStyle name="Normal 46" xfId="57"/>
    <cellStyle name="Normal 46 2" xfId="376"/>
    <cellStyle name="Normal 46 2 2" xfId="461"/>
    <cellStyle name="Normal 47" xfId="58"/>
    <cellStyle name="Normal 47 2" xfId="377"/>
    <cellStyle name="Normal 47 2 2" xfId="462"/>
    <cellStyle name="Normal 48" xfId="59"/>
    <cellStyle name="Normal 48 2" xfId="378"/>
    <cellStyle name="Normal 48 2 2" xfId="463"/>
    <cellStyle name="Normal 49" xfId="60"/>
    <cellStyle name="Normal 49 2" xfId="379"/>
    <cellStyle name="Normal 49 2 2" xfId="464"/>
    <cellStyle name="Normal 5" xfId="18"/>
    <cellStyle name="Normal 5 2" xfId="342"/>
    <cellStyle name="Normal 5 2 2" xfId="426"/>
    <cellStyle name="Normal 50" xfId="61"/>
    <cellStyle name="Normal 50 2" xfId="380"/>
    <cellStyle name="Normal 50 2 2" xfId="465"/>
    <cellStyle name="Normal 51" xfId="62"/>
    <cellStyle name="Normal 51 2" xfId="381"/>
    <cellStyle name="Normal 51 2 2" xfId="466"/>
    <cellStyle name="Normal 52" xfId="63"/>
    <cellStyle name="Normal 52 2" xfId="382"/>
    <cellStyle name="Normal 52 2 2" xfId="467"/>
    <cellStyle name="Normal 53" xfId="64"/>
    <cellStyle name="Normal 53 2" xfId="383"/>
    <cellStyle name="Normal 53 2 2" xfId="468"/>
    <cellStyle name="Normal 54" xfId="65"/>
    <cellStyle name="Normal 54 2" xfId="384"/>
    <cellStyle name="Normal 54 2 2" xfId="469"/>
    <cellStyle name="Normal 55" xfId="66"/>
    <cellStyle name="Normal 55 2" xfId="385"/>
    <cellStyle name="Normal 55 2 2" xfId="470"/>
    <cellStyle name="Normal 56" xfId="67"/>
    <cellStyle name="Normal 56 2" xfId="386"/>
    <cellStyle name="Normal 56 2 2" xfId="471"/>
    <cellStyle name="Normal 57" xfId="68"/>
    <cellStyle name="Normal 57 2" xfId="387"/>
    <cellStyle name="Normal 57 2 2" xfId="472"/>
    <cellStyle name="Normal 58" xfId="69"/>
    <cellStyle name="Normal 58 2" xfId="388"/>
    <cellStyle name="Normal 58 2 2" xfId="473"/>
    <cellStyle name="Normal 59" xfId="70"/>
    <cellStyle name="Normal 59 2" xfId="389"/>
    <cellStyle name="Normal 59 2 2" xfId="474"/>
    <cellStyle name="Normal 6" xfId="19"/>
    <cellStyle name="Normal 6 2" xfId="343"/>
    <cellStyle name="Normal 6 2 2" xfId="427"/>
    <cellStyle name="Normal 60" xfId="71"/>
    <cellStyle name="Normal 60 2" xfId="390"/>
    <cellStyle name="Normal 60 2 2" xfId="475"/>
    <cellStyle name="Normal 61" xfId="72"/>
    <cellStyle name="Normal 61 2" xfId="391"/>
    <cellStyle name="Normal 61 2 2" xfId="476"/>
    <cellStyle name="Normal 62" xfId="73"/>
    <cellStyle name="Normal 62 2" xfId="392"/>
    <cellStyle name="Normal 62 2 2" xfId="477"/>
    <cellStyle name="Normal 63" xfId="74"/>
    <cellStyle name="Normal 63 2" xfId="393"/>
    <cellStyle name="Normal 63 2 2" xfId="478"/>
    <cellStyle name="Normal 64" xfId="75"/>
    <cellStyle name="Normal 64 2" xfId="394"/>
    <cellStyle name="Normal 64 2 2" xfId="479"/>
    <cellStyle name="Normal 65" xfId="76"/>
    <cellStyle name="Normal 65 2" xfId="395"/>
    <cellStyle name="Normal 65 2 2" xfId="480"/>
    <cellStyle name="Normal 66" xfId="77"/>
    <cellStyle name="Normal 66 2" xfId="396"/>
    <cellStyle name="Normal 66 2 2" xfId="481"/>
    <cellStyle name="Normal 67" xfId="78"/>
    <cellStyle name="Normal 67 2" xfId="397"/>
    <cellStyle name="Normal 67 2 2" xfId="482"/>
    <cellStyle name="Normal 68" xfId="79"/>
    <cellStyle name="Normal 68 2" xfId="398"/>
    <cellStyle name="Normal 68 2 2" xfId="483"/>
    <cellStyle name="Normal 69" xfId="80"/>
    <cellStyle name="Normal 69 2" xfId="399"/>
    <cellStyle name="Normal 69 2 2" xfId="484"/>
    <cellStyle name="Normal 7" xfId="20"/>
    <cellStyle name="Normal 7 2" xfId="344"/>
    <cellStyle name="Normal 7 2 2" xfId="428"/>
    <cellStyle name="Normal 70" xfId="81"/>
    <cellStyle name="Normal 70 2" xfId="400"/>
    <cellStyle name="Normal 70 2 2" xfId="485"/>
    <cellStyle name="Normal 71" xfId="82"/>
    <cellStyle name="Normal 71 2" xfId="401"/>
    <cellStyle name="Normal 71 2 2" xfId="486"/>
    <cellStyle name="Normal 72" xfId="83"/>
    <cellStyle name="Normal 72 2" xfId="226"/>
    <cellStyle name="Normal 73" xfId="84"/>
    <cellStyle name="Normal 73 2" xfId="227"/>
    <cellStyle name="Normal 74" xfId="85"/>
    <cellStyle name="Normal 74 2" xfId="228"/>
    <cellStyle name="Normal 75" xfId="86"/>
    <cellStyle name="Normal 75 2" xfId="229"/>
    <cellStyle name="Normal 76" xfId="87"/>
    <cellStyle name="Normal 76 2" xfId="230"/>
    <cellStyle name="Normal 77" xfId="88"/>
    <cellStyle name="Normal 77 2" xfId="231"/>
    <cellStyle name="Normal 78" xfId="89"/>
    <cellStyle name="Normal 78 2" xfId="232"/>
    <cellStyle name="Normal 79" xfId="90"/>
    <cellStyle name="Normal 79 2" xfId="233"/>
    <cellStyle name="Normal 8" xfId="21"/>
    <cellStyle name="Normal 8 2" xfId="345"/>
    <cellStyle name="Normal 8 2 2" xfId="429"/>
    <cellStyle name="Normal 80" xfId="91"/>
    <cellStyle name="Normal 80 2" xfId="234"/>
    <cellStyle name="Normal 81" xfId="92"/>
    <cellStyle name="Normal 81 2" xfId="235"/>
    <cellStyle name="Normal 82" xfId="93"/>
    <cellStyle name="Normal 82 2" xfId="236"/>
    <cellStyle name="Normal 83" xfId="94"/>
    <cellStyle name="Normal 83 2" xfId="237"/>
    <cellStyle name="Normal 84" xfId="95"/>
    <cellStyle name="Normal 84 2" xfId="238"/>
    <cellStyle name="Normal 85" xfId="96"/>
    <cellStyle name="Normal 85 2" xfId="239"/>
    <cellStyle name="Normal 86" xfId="97"/>
    <cellStyle name="Normal 86 2" xfId="240"/>
    <cellStyle name="Normal 87" xfId="98"/>
    <cellStyle name="Normal 87 2" xfId="241"/>
    <cellStyle name="Normal 88" xfId="99"/>
    <cellStyle name="Normal 88 2" xfId="242"/>
    <cellStyle name="Normal 89" xfId="100"/>
    <cellStyle name="Normal 89 2" xfId="243"/>
    <cellStyle name="Normal 9" xfId="22"/>
    <cellStyle name="Normal 9 2" xfId="346"/>
    <cellStyle name="Normal 9 2 2" xfId="430"/>
    <cellStyle name="Normal 90" xfId="101"/>
    <cellStyle name="Normal 90 2" xfId="244"/>
    <cellStyle name="Normal 91" xfId="102"/>
    <cellStyle name="Normal 91 2" xfId="245"/>
    <cellStyle name="Normal 92" xfId="103"/>
    <cellStyle name="Normal 92 2" xfId="246"/>
    <cellStyle name="Normal 93" xfId="104"/>
    <cellStyle name="Normal 93 2" xfId="247"/>
    <cellStyle name="Normal 94" xfId="105"/>
    <cellStyle name="Normal 94 2" xfId="248"/>
    <cellStyle name="Normal 95" xfId="106"/>
    <cellStyle name="Normal 95 2" xfId="249"/>
    <cellStyle name="Normal 96" xfId="107"/>
    <cellStyle name="Normal 96 2" xfId="250"/>
    <cellStyle name="Normal 97" xfId="108"/>
    <cellStyle name="Normal 97 2" xfId="251"/>
    <cellStyle name="Normal 98" xfId="109"/>
    <cellStyle name="Normal 98 2" xfId="252"/>
    <cellStyle name="Normal 99" xfId="110"/>
    <cellStyle name="Normal 99 2" xfId="253"/>
    <cellStyle name="Note 2" xfId="189"/>
    <cellStyle name="Note 2 2" xfId="190"/>
    <cellStyle name="Note 2 3" xfId="191"/>
    <cellStyle name="Note 2 4" xfId="218"/>
    <cellStyle name="Note 3" xfId="192"/>
    <cellStyle name="Note 4" xfId="193"/>
    <cellStyle name="Note 5" xfId="188"/>
    <cellStyle name="Output 2" xfId="194"/>
    <cellStyle name="Percent" xfId="141" builtinId="5"/>
    <cellStyle name="Percent 2" xfId="24"/>
    <cellStyle name="Percent 2 2" xfId="25"/>
    <cellStyle name="Percent 2 2 2" xfId="196"/>
    <cellStyle name="Percent 2 3" xfId="197"/>
    <cellStyle name="Percent 2 4" xfId="195"/>
    <cellStyle name="Percent 3" xfId="26"/>
    <cellStyle name="Percent 3 2" xfId="198"/>
    <cellStyle name="Percent 4" xfId="23"/>
    <cellStyle name="Percent 4 2" xfId="199"/>
    <cellStyle name="Percent 5" xfId="410"/>
    <cellStyle name="Style 1" xfId="27"/>
    <cellStyle name="Style 1 2" xfId="201"/>
    <cellStyle name="Style 1 2 2" xfId="202"/>
    <cellStyle name="Style 1 2 3" xfId="203"/>
    <cellStyle name="Style 1 2 4" xfId="219"/>
    <cellStyle name="Style 1 3" xfId="204"/>
    <cellStyle name="Style 1 4" xfId="205"/>
    <cellStyle name="Style 1 5" xfId="200"/>
    <cellStyle name="Title 2" xfId="206"/>
    <cellStyle name="Total 2" xfId="207"/>
    <cellStyle name="Warning Text 2" xfId="208"/>
  </cellStyles>
  <dxfs count="0"/>
  <tableStyles count="0" defaultTableStyle="TableStyleMedium9" defaultPivotStyle="PivotStyleLight16"/>
  <colors>
    <mruColors>
      <color rgb="FFCCFFFF"/>
      <color rgb="FFFFFFFF"/>
      <color rgb="FFFFFF99"/>
      <color rgb="FFB15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com.govt.nz/dmsdocument/14341" TargetMode="External"/><Relationship Id="rId2" Type="http://schemas.openxmlformats.org/officeDocument/2006/relationships/hyperlink" Target="http://www.comcom.govt.nz/dmsdocument/14116" TargetMode="External"/><Relationship Id="rId1" Type="http://schemas.openxmlformats.org/officeDocument/2006/relationships/hyperlink" Target="http://www.comcom.govt.nz/dmsdocument/14117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7"/>
  <sheetViews>
    <sheetView showGridLines="0" tabSelected="1" zoomScale="110" zoomScaleNormal="110" workbookViewId="0"/>
  </sheetViews>
  <sheetFormatPr defaultRowHeight="12.75" x14ac:dyDescent="0.2"/>
  <cols>
    <col min="2" max="2" width="21.5703125" customWidth="1"/>
    <col min="3" max="8" width="13.42578125" customWidth="1"/>
  </cols>
  <sheetData>
    <row r="1" spans="2:7" ht="17.25" customHeight="1" x14ac:dyDescent="0.2"/>
    <row r="2" spans="2:7" ht="17.25" customHeight="1" x14ac:dyDescent="0.2">
      <c r="B2" s="136" t="str">
        <f>'MEUG analysis'!B2:C2</f>
        <v>MEUG internal working spreadsheet for illustrative purposes.  Use at own risk.</v>
      </c>
    </row>
    <row r="3" spans="2:7" ht="17.25" customHeight="1" x14ac:dyDescent="0.2"/>
    <row r="4" spans="2:7" ht="21.75" customHeight="1" x14ac:dyDescent="0.2">
      <c r="B4" s="75" t="s">
        <v>87</v>
      </c>
      <c r="C4" s="72"/>
      <c r="D4" s="72"/>
      <c r="E4" s="72"/>
      <c r="F4" s="72"/>
      <c r="G4" s="73"/>
    </row>
    <row r="5" spans="2:7" ht="18" customHeight="1" x14ac:dyDescent="0.2">
      <c r="B5" s="161"/>
      <c r="C5" s="156" t="s">
        <v>66</v>
      </c>
      <c r="D5" s="156" t="s">
        <v>82</v>
      </c>
      <c r="E5" s="154" t="s">
        <v>88</v>
      </c>
      <c r="F5" s="154"/>
      <c r="G5" s="155"/>
    </row>
    <row r="6" spans="2:7" ht="18" customHeight="1" x14ac:dyDescent="0.2">
      <c r="B6" s="162"/>
      <c r="C6" s="157"/>
      <c r="D6" s="157"/>
      <c r="E6" s="156" t="str">
        <f>'MEUG analysis'!F2</f>
        <v>Draft decision June 2016, the Base case</v>
      </c>
      <c r="F6" s="152" t="s">
        <v>98</v>
      </c>
      <c r="G6" s="153"/>
    </row>
    <row r="7" spans="2:7" ht="68.25" customHeight="1" x14ac:dyDescent="0.2">
      <c r="B7" s="162"/>
      <c r="C7" s="157"/>
      <c r="D7" s="157"/>
      <c r="E7" s="157"/>
      <c r="F7" s="69" t="str">
        <f>'MEUG analysis'!G2</f>
        <v>A 0.01 change in electricity beta from 0.34 to 0.33</v>
      </c>
      <c r="G7" s="69" t="str">
        <f>'MEUG analysis'!H2</f>
        <v>A 1% change in WACC from 67th to 66th percentile</v>
      </c>
    </row>
    <row r="8" spans="2:7" ht="17.25" customHeight="1" x14ac:dyDescent="0.2">
      <c r="B8" s="71"/>
      <c r="C8" s="76" t="str">
        <f>'MEUG analysis'!F3</f>
        <v>Base case</v>
      </c>
      <c r="D8" s="76" t="str">
        <f>'MEUG analysis'!F3</f>
        <v>Base case</v>
      </c>
      <c r="E8" s="76" t="str">
        <f>'MEUG analysis'!F3</f>
        <v>Base case</v>
      </c>
      <c r="F8" s="76"/>
      <c r="G8" s="76"/>
    </row>
    <row r="9" spans="2:7" ht="17.25" customHeight="1" x14ac:dyDescent="0.2">
      <c r="B9" s="77"/>
      <c r="C9" s="78" t="s">
        <v>89</v>
      </c>
      <c r="D9" s="78" t="s">
        <v>90</v>
      </c>
      <c r="E9" s="78" t="s">
        <v>91</v>
      </c>
      <c r="F9" s="78" t="s">
        <v>91</v>
      </c>
      <c r="G9" s="78" t="s">
        <v>91</v>
      </c>
    </row>
    <row r="10" spans="2:7" ht="17.25" customHeight="1" x14ac:dyDescent="0.2">
      <c r="B10" s="79" t="s">
        <v>41</v>
      </c>
      <c r="C10" s="80">
        <f>'MEUG analysis'!F78</f>
        <v>4608.8</v>
      </c>
      <c r="D10" s="81">
        <f>'MEUG analysis'!F74</f>
        <v>5.31072E-2</v>
      </c>
      <c r="E10" s="80">
        <f>'MEUG analysis'!F83</f>
        <v>339.94508800000006</v>
      </c>
      <c r="F10" s="80">
        <f>'MEUG analysis'!G88</f>
        <v>-5.568966666666654</v>
      </c>
      <c r="G10" s="80">
        <f>'MEUG analysis'!H88</f>
        <v>-2.025311555555561</v>
      </c>
    </row>
    <row r="11" spans="2:7" ht="17.25" customHeight="1" x14ac:dyDescent="0.2">
      <c r="B11" s="130" t="s">
        <v>39</v>
      </c>
      <c r="C11" s="131">
        <f>'MEUG analysis'!F79</f>
        <v>10252.739</v>
      </c>
      <c r="D11" s="132">
        <f>'MEUG analysis'!F75</f>
        <v>5.31072E-2</v>
      </c>
      <c r="E11" s="131">
        <f>'MEUG analysis'!F84</f>
        <v>756.24202864000006</v>
      </c>
      <c r="F11" s="131">
        <f>'MEUG analysis'!G89</f>
        <v>-12.388726291666671</v>
      </c>
      <c r="G11" s="131">
        <f>'MEUG analysis'!H89</f>
        <v>-4.5055091938888836</v>
      </c>
    </row>
    <row r="12" spans="2:7" ht="17.25" customHeight="1" x14ac:dyDescent="0.2">
      <c r="B12" s="79" t="s">
        <v>40</v>
      </c>
      <c r="C12" s="80">
        <f>'MEUG analysis'!F80</f>
        <v>787.20299999999997</v>
      </c>
      <c r="D12" s="81">
        <f>'MEUG analysis'!F76</f>
        <v>5.31072E-2</v>
      </c>
      <c r="E12" s="80">
        <f>'MEUG analysis'!F85</f>
        <v>58.064093280000002</v>
      </c>
      <c r="F12" s="80">
        <f>'MEUG analysis'!G90</f>
        <v>0</v>
      </c>
      <c r="G12" s="80">
        <f>'MEUG analysis'!H90</f>
        <v>-0.345931985</v>
      </c>
    </row>
    <row r="13" spans="2:7" ht="17.25" customHeight="1" x14ac:dyDescent="0.2">
      <c r="B13" s="130" t="s">
        <v>42</v>
      </c>
      <c r="C13" s="131">
        <f>'MEUG analysis'!F81</f>
        <v>833.55947113531693</v>
      </c>
      <c r="D13" s="132">
        <f>'MEUG analysis'!F77</f>
        <v>5.31072E-2</v>
      </c>
      <c r="E13" s="131">
        <f>'MEUG analysis'!F86</f>
        <v>61.483346590940982</v>
      </c>
      <c r="F13" s="131">
        <f>'MEUG analysis'!G91</f>
        <v>0</v>
      </c>
      <c r="G13" s="131">
        <f>'MEUG analysis'!H91</f>
        <v>-0.36630307870446899</v>
      </c>
    </row>
    <row r="14" spans="2:7" ht="17.25" customHeight="1" x14ac:dyDescent="0.2">
      <c r="B14" s="82" t="s">
        <v>6</v>
      </c>
      <c r="C14" s="83">
        <f>'MEUG analysis'!F82</f>
        <v>16482.301471135317</v>
      </c>
      <c r="D14" s="84"/>
      <c r="E14" s="83">
        <f>'MEUG analysis'!F87</f>
        <v>1215.734556510941</v>
      </c>
      <c r="F14" s="83">
        <f>'MEUG analysis'!G92</f>
        <v>-17.957692958333325</v>
      </c>
      <c r="G14" s="83">
        <f>'MEUG analysis'!H92</f>
        <v>-7.2430558131489136</v>
      </c>
    </row>
    <row r="15" spans="2:7" x14ac:dyDescent="0.2">
      <c r="B15" s="11"/>
      <c r="C15" s="47"/>
      <c r="D15" s="47"/>
      <c r="E15" s="47"/>
      <c r="F15" s="47"/>
    </row>
    <row r="16" spans="2:7" x14ac:dyDescent="0.2">
      <c r="B16" s="11"/>
      <c r="C16" s="47"/>
      <c r="D16" s="47"/>
      <c r="E16" s="47"/>
      <c r="F16" s="47"/>
    </row>
    <row r="17" spans="2:8" x14ac:dyDescent="0.2">
      <c r="B17" s="11"/>
      <c r="C17" s="47"/>
      <c r="D17" s="47"/>
      <c r="E17" s="47"/>
      <c r="F17" s="47"/>
    </row>
    <row r="18" spans="2:8" x14ac:dyDescent="0.2">
      <c r="B18" s="11"/>
      <c r="C18" s="47"/>
      <c r="D18" s="47"/>
      <c r="E18" s="47"/>
      <c r="F18" s="47"/>
    </row>
    <row r="21" spans="2:8" ht="21" customHeight="1" x14ac:dyDescent="0.2">
      <c r="B21" s="158" t="s">
        <v>58</v>
      </c>
      <c r="C21" s="159"/>
      <c r="D21" s="159"/>
      <c r="E21" s="159"/>
      <c r="F21" s="159"/>
      <c r="G21" s="159"/>
      <c r="H21" s="160"/>
    </row>
    <row r="22" spans="2:8" ht="17.25" customHeight="1" x14ac:dyDescent="0.2">
      <c r="B22" s="161"/>
      <c r="C22" s="150" t="s">
        <v>88</v>
      </c>
      <c r="D22" s="150"/>
      <c r="E22" s="150"/>
      <c r="F22" s="150"/>
      <c r="G22" s="150"/>
      <c r="H22" s="151"/>
    </row>
    <row r="23" spans="2:8" ht="17.25" customHeight="1" x14ac:dyDescent="0.2">
      <c r="B23" s="162"/>
      <c r="C23" s="156" t="s">
        <v>95</v>
      </c>
      <c r="D23" s="150" t="s">
        <v>59</v>
      </c>
      <c r="E23" s="152"/>
      <c r="F23" s="152"/>
      <c r="G23" s="152"/>
      <c r="H23" s="153"/>
    </row>
    <row r="24" spans="2:8" ht="62.25" customHeight="1" x14ac:dyDescent="0.2">
      <c r="B24" s="162"/>
      <c r="C24" s="157"/>
      <c r="D24" s="69" t="str">
        <f>'MEUG analysis'!I2</f>
        <v>Electricity asset beta 0.24 and gas beta 0.36</v>
      </c>
      <c r="E24" s="69" t="str">
        <f>'MEUG analysis'!J2</f>
        <v>Electricity asset beta 0.28 and gas beta 0.46</v>
      </c>
      <c r="F24" s="69" t="str">
        <f>'MEUG analysis'!K2</f>
        <v>Debt issuance at 0.10% not 0.20%</v>
      </c>
      <c r="G24" s="69" t="str">
        <f>'MEUG analysis'!L2</f>
        <v>Mid-point WACC not 67th percentile</v>
      </c>
      <c r="H24" s="69" t="str">
        <f>'MEUG analysis'!M2</f>
        <v>Remove leverage anomaly,       eg L=0</v>
      </c>
    </row>
    <row r="25" spans="2:8" ht="17.25" customHeight="1" x14ac:dyDescent="0.2">
      <c r="B25" s="85"/>
      <c r="C25" s="86" t="str">
        <f>'MEUG analysis'!F3</f>
        <v>Base case</v>
      </c>
      <c r="D25" s="86" t="str">
        <f>'MEUG analysis'!I3</f>
        <v>Case 1</v>
      </c>
      <c r="E25" s="86" t="str">
        <f>'MEUG analysis'!J3</f>
        <v>Case 2</v>
      </c>
      <c r="F25" s="86" t="str">
        <f>'MEUG analysis'!K3</f>
        <v>Case 3</v>
      </c>
      <c r="G25" s="86" t="str">
        <f>'MEUG analysis'!L3</f>
        <v>Case 4</v>
      </c>
      <c r="H25" s="86" t="str">
        <f>'MEUG analysis'!M3</f>
        <v>Case 5</v>
      </c>
    </row>
    <row r="26" spans="2:8" ht="17.25" customHeight="1" x14ac:dyDescent="0.2">
      <c r="B26" s="77"/>
      <c r="C26" s="78" t="s">
        <v>91</v>
      </c>
      <c r="D26" s="78" t="s">
        <v>91</v>
      </c>
      <c r="E26" s="78" t="s">
        <v>91</v>
      </c>
      <c r="F26" s="78" t="s">
        <v>91</v>
      </c>
      <c r="G26" s="78" t="s">
        <v>91</v>
      </c>
      <c r="H26" s="78" t="s">
        <v>91</v>
      </c>
    </row>
    <row r="27" spans="2:8" ht="17.25" customHeight="1" x14ac:dyDescent="0.2">
      <c r="B27" s="79" t="s">
        <v>41</v>
      </c>
      <c r="C27" s="80">
        <f>'MEUG analysis'!F83</f>
        <v>339.94508800000006</v>
      </c>
      <c r="D27" s="80">
        <f>'MEUG analysis'!I88</f>
        <v>-46.429819333333342</v>
      </c>
      <c r="E27" s="80">
        <f>'MEUG analysis'!J88</f>
        <v>-37.14180711111112</v>
      </c>
      <c r="F27" s="80">
        <f>'MEUG analysis'!K88</f>
        <v>-1.8896080000000666</v>
      </c>
      <c r="G27" s="80">
        <f>'MEUG analysis'!L88</f>
        <v>-31.826324444444424</v>
      </c>
      <c r="H27" s="80">
        <f>'MEUG analysis'!M88</f>
        <v>-36.225167999999996</v>
      </c>
    </row>
    <row r="28" spans="2:8" ht="17.25" customHeight="1" x14ac:dyDescent="0.2">
      <c r="B28" s="130" t="s">
        <v>39</v>
      </c>
      <c r="C28" s="131">
        <f>'MEUG analysis'!F84</f>
        <v>756.24202864000006</v>
      </c>
      <c r="D28" s="131">
        <f>'MEUG analysis'!I89</f>
        <v>-103.28780147583336</v>
      </c>
      <c r="E28" s="131">
        <f>'MEUG analysis'!J89</f>
        <v>-82.625684407777726</v>
      </c>
      <c r="F28" s="131">
        <f>'MEUG analysis'!K89</f>
        <v>-4.2036229899999853</v>
      </c>
      <c r="G28" s="131">
        <f>'MEUG analysis'!L89</f>
        <v>-70.800858761111044</v>
      </c>
      <c r="H28" s="131">
        <f>'MEUG analysis'!M89</f>
        <v>-80.586528540000018</v>
      </c>
    </row>
    <row r="29" spans="2:8" ht="17.25" customHeight="1" x14ac:dyDescent="0.2">
      <c r="B29" s="79" t="s">
        <v>40</v>
      </c>
      <c r="C29" s="80">
        <f>'MEUG analysis'!F85</f>
        <v>58.064093280000002</v>
      </c>
      <c r="D29" s="80">
        <f>'MEUG analysis'!I90</f>
        <v>0.84842989999999929</v>
      </c>
      <c r="E29" s="80">
        <f>'MEUG analysis'!J90</f>
        <v>9.9362511999999938</v>
      </c>
      <c r="F29" s="80">
        <f>'MEUG analysis'!K90</f>
        <v>-0.32275323000000355</v>
      </c>
      <c r="G29" s="80">
        <f>'MEUG analysis'!L90</f>
        <v>-5.436074050000002</v>
      </c>
      <c r="H29" s="80">
        <f>'MEUG analysis'!M90</f>
        <v>-6.1874155799999997</v>
      </c>
    </row>
    <row r="30" spans="2:8" ht="17.25" customHeight="1" x14ac:dyDescent="0.2">
      <c r="B30" s="130" t="s">
        <v>42</v>
      </c>
      <c r="C30" s="131">
        <f>'MEUG analysis'!F86</f>
        <v>61.483346590940982</v>
      </c>
      <c r="D30" s="131">
        <f>'MEUG analysis'!I91</f>
        <v>0.89839187444584212</v>
      </c>
      <c r="E30" s="131">
        <f>'MEUG analysis'!J91</f>
        <v>10.52137288010799</v>
      </c>
      <c r="F30" s="131">
        <f>'MEUG analysis'!K91</f>
        <v>-0.34175938316548837</v>
      </c>
      <c r="G30" s="131">
        <f>'MEUG analysis'!L91</f>
        <v>-5.7561912367844386</v>
      </c>
      <c r="H30" s="131">
        <f>'MEUG analysis'!M91</f>
        <v>-6.5517774431235907</v>
      </c>
    </row>
    <row r="31" spans="2:8" ht="17.25" customHeight="1" x14ac:dyDescent="0.2">
      <c r="B31" s="87" t="s">
        <v>6</v>
      </c>
      <c r="C31" s="88">
        <f>'MEUG analysis'!F87</f>
        <v>1215.734556510941</v>
      </c>
      <c r="D31" s="88">
        <f>'MEUG analysis'!I92</f>
        <v>-147.97079903472087</v>
      </c>
      <c r="E31" s="88">
        <f>'MEUG analysis'!J92</f>
        <v>-99.30986743878087</v>
      </c>
      <c r="F31" s="88">
        <f>'MEUG analysis'!K92</f>
        <v>-6.7577436031655438</v>
      </c>
      <c r="G31" s="88">
        <f>'MEUG analysis'!L92</f>
        <v>-113.81944849233992</v>
      </c>
      <c r="H31" s="88">
        <f>'MEUG analysis'!M92</f>
        <v>-129.5508895631236</v>
      </c>
    </row>
    <row r="32" spans="2:8" ht="17.25" customHeight="1" x14ac:dyDescent="0.2">
      <c r="B32" s="87"/>
      <c r="C32" s="98"/>
      <c r="D32" s="98"/>
      <c r="E32" s="98"/>
      <c r="F32" s="98"/>
      <c r="G32" s="98"/>
      <c r="H32" s="99"/>
    </row>
    <row r="33" spans="2:8" ht="17.25" customHeight="1" x14ac:dyDescent="0.2">
      <c r="B33" s="89" t="s">
        <v>94</v>
      </c>
      <c r="C33" s="90"/>
      <c r="D33" s="91" t="s">
        <v>93</v>
      </c>
      <c r="E33" s="91" t="s">
        <v>93</v>
      </c>
      <c r="F33" s="91" t="s">
        <v>93</v>
      </c>
      <c r="G33" s="91" t="s">
        <v>93</v>
      </c>
      <c r="H33" s="92" t="s">
        <v>93</v>
      </c>
    </row>
    <row r="34" spans="2:8" ht="17.25" customHeight="1" x14ac:dyDescent="0.2">
      <c r="B34" s="79" t="s">
        <v>41</v>
      </c>
      <c r="C34" s="93"/>
      <c r="D34" s="94">
        <f>'MEUG analysis'!I93</f>
        <v>-0.13658035068691252</v>
      </c>
      <c r="E34" s="94">
        <f>'MEUG analysis'!J93</f>
        <v>-0.10925825500120512</v>
      </c>
      <c r="F34" s="94">
        <f>'MEUG analysis'!K93</f>
        <v>-5.5585683297181996E-3</v>
      </c>
      <c r="G34" s="95">
        <f>'MEUG analysis'!L93</f>
        <v>-9.3621957098095857E-2</v>
      </c>
      <c r="H34" s="94">
        <f>'MEUG analysis'!M93</f>
        <v>-0.10656182212581342</v>
      </c>
    </row>
    <row r="35" spans="2:8" ht="17.25" customHeight="1" x14ac:dyDescent="0.2">
      <c r="B35" s="130" t="s">
        <v>39</v>
      </c>
      <c r="C35" s="133"/>
      <c r="D35" s="134">
        <f>'MEUG analysis'!I94</f>
        <v>-0.13658035068691254</v>
      </c>
      <c r="E35" s="134">
        <f>'MEUG analysis'!J94</f>
        <v>-0.10925825500120503</v>
      </c>
      <c r="F35" s="134">
        <f>'MEUG analysis'!K94</f>
        <v>-5.5585683297179845E-3</v>
      </c>
      <c r="G35" s="135">
        <f>'MEUG analysis'!L94</f>
        <v>-9.3621957098095829E-2</v>
      </c>
      <c r="H35" s="134">
        <f>'MEUG analysis'!M94</f>
        <v>-0.10656182212581346</v>
      </c>
    </row>
    <row r="36" spans="2:8" ht="17.25" customHeight="1" x14ac:dyDescent="0.2">
      <c r="B36" s="79" t="s">
        <v>40</v>
      </c>
      <c r="C36" s="93"/>
      <c r="D36" s="94">
        <f>'MEUG analysis'!I95</f>
        <v>1.4611954687876584E-2</v>
      </c>
      <c r="E36" s="94">
        <f>'MEUG analysis'!J95</f>
        <v>0.17112557242709076</v>
      </c>
      <c r="F36" s="94">
        <f>'MEUG analysis'!K95</f>
        <v>-5.5585683297180652E-3</v>
      </c>
      <c r="G36" s="95">
        <f>'MEUG analysis'!L95</f>
        <v>-9.3621957098095954E-2</v>
      </c>
      <c r="H36" s="94">
        <f>'MEUG analysis'!M95</f>
        <v>-0.10656182212581344</v>
      </c>
    </row>
    <row r="37" spans="2:8" ht="17.25" customHeight="1" x14ac:dyDescent="0.2">
      <c r="B37" s="130" t="s">
        <v>42</v>
      </c>
      <c r="C37" s="133"/>
      <c r="D37" s="134">
        <f>'MEUG analysis'!I96</f>
        <v>1.4611954687876605E-2</v>
      </c>
      <c r="E37" s="134">
        <f>'MEUG analysis'!J96</f>
        <v>0.17112557242709067</v>
      </c>
      <c r="F37" s="134">
        <f>'MEUG analysis'!K96</f>
        <v>-5.5585683297181407E-3</v>
      </c>
      <c r="G37" s="135">
        <f>'MEUG analysis'!L96</f>
        <v>-9.3621957098095912E-2</v>
      </c>
      <c r="H37" s="134">
        <f>'MEUG analysis'!M96</f>
        <v>-0.10656182212581343</v>
      </c>
    </row>
    <row r="38" spans="2:8" ht="17.25" customHeight="1" x14ac:dyDescent="0.2">
      <c r="B38" s="82" t="s">
        <v>6</v>
      </c>
      <c r="C38" s="84"/>
      <c r="D38" s="96">
        <f>'MEUG analysis'!I97</f>
        <v>-0.12171308139778883</v>
      </c>
      <c r="E38" s="96">
        <f>'MEUG analysis'!J97</f>
        <v>-8.1687130555696374E-2</v>
      </c>
      <c r="F38" s="96">
        <f>'MEUG analysis'!K97</f>
        <v>-5.5585683297180565E-3</v>
      </c>
      <c r="G38" s="97">
        <f>'MEUG analysis'!L97</f>
        <v>-9.3621957098095857E-2</v>
      </c>
      <c r="H38" s="96">
        <f>'MEUG analysis'!M97</f>
        <v>-0.10656182212581346</v>
      </c>
    </row>
    <row r="39" spans="2:8" ht="17.25" customHeight="1" x14ac:dyDescent="0.2">
      <c r="B39" s="87"/>
      <c r="C39" s="98"/>
      <c r="D39" s="98"/>
      <c r="E39" s="98"/>
      <c r="F39" s="98"/>
      <c r="G39" s="98"/>
      <c r="H39" s="99"/>
    </row>
    <row r="40" spans="2:8" ht="17.25" customHeight="1" x14ac:dyDescent="0.2">
      <c r="B40" s="89" t="s">
        <v>75</v>
      </c>
      <c r="C40" s="90"/>
      <c r="D40" s="100"/>
      <c r="E40" s="100"/>
      <c r="F40" s="100"/>
      <c r="G40" s="100"/>
      <c r="H40" s="101"/>
    </row>
    <row r="41" spans="2:8" ht="17.25" customHeight="1" x14ac:dyDescent="0.2">
      <c r="B41" s="102"/>
      <c r="C41" s="103" t="s">
        <v>56</v>
      </c>
      <c r="D41" s="149" t="s">
        <v>75</v>
      </c>
      <c r="E41" s="150"/>
      <c r="F41" s="150"/>
      <c r="G41" s="150"/>
      <c r="H41" s="151"/>
    </row>
    <row r="42" spans="2:8" ht="17.25" customHeight="1" x14ac:dyDescent="0.2">
      <c r="B42" s="104"/>
      <c r="C42" s="78" t="s">
        <v>96</v>
      </c>
      <c r="D42" s="78" t="s">
        <v>96</v>
      </c>
      <c r="E42" s="78" t="s">
        <v>96</v>
      </c>
      <c r="F42" s="78" t="s">
        <v>96</v>
      </c>
      <c r="G42" s="78" t="s">
        <v>96</v>
      </c>
      <c r="H42" s="78" t="s">
        <v>96</v>
      </c>
    </row>
    <row r="43" spans="2:8" ht="17.25" customHeight="1" x14ac:dyDescent="0.2">
      <c r="B43" s="79" t="s">
        <v>41</v>
      </c>
      <c r="C43" s="80">
        <f>'MEUG analysis'!F99</f>
        <v>1459.2281503764557</v>
      </c>
      <c r="D43" s="80">
        <f>'MEUG analysis'!I104</f>
        <v>-173.76290202160408</v>
      </c>
      <c r="E43" s="80">
        <f>'MEUG analysis'!J104</f>
        <v>-138.4233207607549</v>
      </c>
      <c r="F43" s="80">
        <f>'MEUG analysis'!K104</f>
        <v>-6.9322071535300438</v>
      </c>
      <c r="G43" s="80">
        <f>'MEUG analysis'!L104</f>
        <v>-118.33045964082044</v>
      </c>
      <c r="H43" s="80">
        <f>'MEUG analysis'!M104</f>
        <v>-134.95154474423407</v>
      </c>
    </row>
    <row r="44" spans="2:8" ht="17.25" customHeight="1" x14ac:dyDescent="0.2">
      <c r="B44" s="130" t="s">
        <v>39</v>
      </c>
      <c r="C44" s="131">
        <f>'MEUG analysis'!F100</f>
        <v>3246.1997412043379</v>
      </c>
      <c r="D44" s="131">
        <f>'MEUG analysis'!I105</f>
        <v>-386.55304684735347</v>
      </c>
      <c r="E44" s="131">
        <f>'MEUG analysis'!J105</f>
        <v>-307.93659505148889</v>
      </c>
      <c r="F44" s="131">
        <f>'MEUG analysis'!K105</f>
        <v>-15.421391824135299</v>
      </c>
      <c r="G44" s="131">
        <f>'MEUG analysis'!L105</f>
        <v>-263.23800521770727</v>
      </c>
      <c r="H44" s="131">
        <f>'MEUG analysis'!M105</f>
        <v>-300.21328022683883</v>
      </c>
    </row>
    <row r="45" spans="2:8" ht="17.25" customHeight="1" x14ac:dyDescent="0.2">
      <c r="B45" s="79" t="s">
        <v>40</v>
      </c>
      <c r="C45" s="80">
        <f>'MEUG analysis'!F101</f>
        <v>249.24248777573271</v>
      </c>
      <c r="D45" s="80">
        <f>'MEUG analysis'!I106</f>
        <v>3.1030660148697109</v>
      </c>
      <c r="E45" s="80">
        <f>'MEUG analysis'!J106</f>
        <v>35.497182417274217</v>
      </c>
      <c r="F45" s="80">
        <f>'MEUG analysis'!K106</f>
        <v>-1.1840510041399455</v>
      </c>
      <c r="G45" s="80">
        <f>'MEUG analysis'!L106</f>
        <v>-20.211354977571801</v>
      </c>
      <c r="H45" s="80">
        <f>'MEUG analysis'!M106</f>
        <v>-23.050308296583751</v>
      </c>
    </row>
    <row r="46" spans="2:8" ht="17.25" customHeight="1" x14ac:dyDescent="0.2">
      <c r="B46" s="130" t="s">
        <v>42</v>
      </c>
      <c r="C46" s="131">
        <f>'MEUG analysis'!F102</f>
        <v>263.91977202169005</v>
      </c>
      <c r="D46" s="131">
        <f>'MEUG analysis'!I107</f>
        <v>3.285798029546072</v>
      </c>
      <c r="E46" s="131">
        <f>'MEUG analysis'!J107</f>
        <v>37.587525203202972</v>
      </c>
      <c r="F46" s="131">
        <f>'MEUG analysis'!K107</f>
        <v>-1.2537768895801946</v>
      </c>
      <c r="G46" s="131">
        <f>'MEUG analysis'!L107</f>
        <v>-21.401552542397468</v>
      </c>
      <c r="H46" s="131">
        <f>'MEUG analysis'!M107</f>
        <v>-24.407684921432406</v>
      </c>
    </row>
    <row r="47" spans="2:8" ht="17.25" customHeight="1" x14ac:dyDescent="0.2">
      <c r="B47" s="82" t="s">
        <v>6</v>
      </c>
      <c r="C47" s="83">
        <f>'MEUG analysis'!F103</f>
        <v>5218.5901513782164</v>
      </c>
      <c r="D47" s="83">
        <f>'MEUG analysis'!I108</f>
        <v>-553.92708482454179</v>
      </c>
      <c r="E47" s="83">
        <f>'MEUG analysis'!J108</f>
        <v>-373.27520819176664</v>
      </c>
      <c r="F47" s="83">
        <f>'MEUG analysis'!K108</f>
        <v>-24.791426871385482</v>
      </c>
      <c r="G47" s="83">
        <f>'MEUG analysis'!L108</f>
        <v>-423.18137237849692</v>
      </c>
      <c r="H47" s="83">
        <f>'MEUG analysis'!M108</f>
        <v>-482.62281818908906</v>
      </c>
    </row>
  </sheetData>
  <mergeCells count="12">
    <mergeCell ref="D41:H41"/>
    <mergeCell ref="F6:G6"/>
    <mergeCell ref="E5:G5"/>
    <mergeCell ref="D5:D7"/>
    <mergeCell ref="B21:H21"/>
    <mergeCell ref="C22:H22"/>
    <mergeCell ref="D23:H23"/>
    <mergeCell ref="B22:B24"/>
    <mergeCell ref="C23:C24"/>
    <mergeCell ref="E6:E7"/>
    <mergeCell ref="C5:C7"/>
    <mergeCell ref="B5:B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44"/>
  <sheetViews>
    <sheetView workbookViewId="0">
      <pane xSplit="5" ySplit="4" topLeftCell="F83" activePane="bottomRight" state="frozen"/>
      <selection pane="topRight" activeCell="F1" sqref="F1"/>
      <selection pane="bottomLeft" activeCell="A5" sqref="A5"/>
      <selection pane="bottomRight" activeCell="O124" sqref="O124"/>
    </sheetView>
  </sheetViews>
  <sheetFormatPr defaultRowHeight="12.75" x14ac:dyDescent="0.2"/>
  <cols>
    <col min="1" max="1" width="2" customWidth="1"/>
    <col min="6" max="13" width="13.7109375" customWidth="1"/>
  </cols>
  <sheetData>
    <row r="1" spans="2:14" ht="6" customHeight="1" x14ac:dyDescent="0.2"/>
    <row r="2" spans="2:14" ht="66" customHeight="1" x14ac:dyDescent="0.2">
      <c r="B2" s="179" t="s">
        <v>100</v>
      </c>
      <c r="C2" s="180"/>
      <c r="F2" s="70" t="s">
        <v>60</v>
      </c>
      <c r="G2" s="70" t="s">
        <v>67</v>
      </c>
      <c r="H2" s="70" t="s">
        <v>99</v>
      </c>
      <c r="I2" s="70" t="s">
        <v>62</v>
      </c>
      <c r="J2" s="70" t="s">
        <v>63</v>
      </c>
      <c r="K2" s="70" t="s">
        <v>92</v>
      </c>
      <c r="L2" s="70" t="s">
        <v>83</v>
      </c>
      <c r="M2" s="70" t="s">
        <v>85</v>
      </c>
    </row>
    <row r="3" spans="2:14" x14ac:dyDescent="0.2">
      <c r="B3" s="74" t="s">
        <v>1</v>
      </c>
      <c r="C3" s="11" t="s">
        <v>84</v>
      </c>
      <c r="F3" s="6" t="s">
        <v>56</v>
      </c>
      <c r="G3" s="6"/>
      <c r="H3" s="6"/>
      <c r="I3" s="6" t="s">
        <v>76</v>
      </c>
      <c r="J3" s="6" t="s">
        <v>77</v>
      </c>
      <c r="K3" s="6" t="s">
        <v>78</v>
      </c>
      <c r="L3" s="6" t="s">
        <v>79</v>
      </c>
      <c r="M3" s="6" t="s">
        <v>80</v>
      </c>
    </row>
    <row r="4" spans="2:14" ht="15" x14ac:dyDescent="0.25">
      <c r="B4" s="12"/>
      <c r="C4" s="8"/>
      <c r="D4" s="8"/>
      <c r="E4" s="8"/>
      <c r="F4" s="19">
        <v>1</v>
      </c>
      <c r="G4" s="19">
        <f>F4+1</f>
        <v>2</v>
      </c>
      <c r="H4" s="20"/>
      <c r="I4" s="19">
        <f>G4+1</f>
        <v>3</v>
      </c>
      <c r="J4" s="19">
        <f>I4</f>
        <v>3</v>
      </c>
      <c r="K4" s="20"/>
      <c r="L4" s="20"/>
      <c r="M4" s="20"/>
      <c r="N4" s="105"/>
    </row>
    <row r="5" spans="2:14" x14ac:dyDescent="0.2">
      <c r="B5" s="10" t="s">
        <v>25</v>
      </c>
      <c r="C5" s="2"/>
      <c r="D5" s="2"/>
      <c r="E5" s="2"/>
      <c r="F5" s="21"/>
      <c r="G5" s="20"/>
      <c r="H5" s="20"/>
      <c r="I5" s="20"/>
      <c r="J5" s="20"/>
      <c r="K5" s="20"/>
      <c r="L5" s="20"/>
      <c r="M5" s="20"/>
      <c r="N5" s="64"/>
    </row>
    <row r="6" spans="2:14" x14ac:dyDescent="0.2">
      <c r="B6" s="169" t="s">
        <v>10</v>
      </c>
      <c r="C6" s="170"/>
      <c r="D6" s="8" t="s">
        <v>24</v>
      </c>
      <c r="E6" s="23" t="s">
        <v>27</v>
      </c>
      <c r="F6" s="107">
        <v>2.5999999999999999E-2</v>
      </c>
      <c r="G6" s="24">
        <f t="shared" ref="G6:M39" si="0">$F6</f>
        <v>2.5999999999999999E-2</v>
      </c>
      <c r="H6" s="24">
        <f t="shared" si="0"/>
        <v>2.5999999999999999E-2</v>
      </c>
      <c r="I6" s="24">
        <f t="shared" si="0"/>
        <v>2.5999999999999999E-2</v>
      </c>
      <c r="J6" s="24">
        <f t="shared" si="0"/>
        <v>2.5999999999999999E-2</v>
      </c>
      <c r="K6" s="24">
        <f t="shared" si="0"/>
        <v>2.5999999999999999E-2</v>
      </c>
      <c r="L6" s="24">
        <f t="shared" si="0"/>
        <v>2.5999999999999999E-2</v>
      </c>
      <c r="M6" s="24">
        <f t="shared" si="0"/>
        <v>2.5999999999999999E-2</v>
      </c>
      <c r="N6" s="105"/>
    </row>
    <row r="7" spans="2:14" x14ac:dyDescent="0.2">
      <c r="B7" s="171" t="s">
        <v>11</v>
      </c>
      <c r="C7" s="172"/>
      <c r="D7" s="20" t="s">
        <v>3</v>
      </c>
      <c r="E7" s="26" t="s">
        <v>27</v>
      </c>
      <c r="F7" s="108">
        <v>1.6500000000000001E-2</v>
      </c>
      <c r="G7" s="27">
        <f t="shared" si="0"/>
        <v>1.6500000000000001E-2</v>
      </c>
      <c r="H7" s="27">
        <f t="shared" si="0"/>
        <v>1.6500000000000001E-2</v>
      </c>
      <c r="I7" s="27">
        <f t="shared" si="0"/>
        <v>1.6500000000000001E-2</v>
      </c>
      <c r="J7" s="27">
        <f t="shared" si="0"/>
        <v>1.6500000000000001E-2</v>
      </c>
      <c r="K7" s="27">
        <f t="shared" si="0"/>
        <v>1.6500000000000001E-2</v>
      </c>
      <c r="L7" s="27">
        <f t="shared" si="0"/>
        <v>1.6500000000000001E-2</v>
      </c>
      <c r="M7" s="27">
        <f t="shared" si="0"/>
        <v>1.6500000000000001E-2</v>
      </c>
      <c r="N7" s="63"/>
    </row>
    <row r="8" spans="2:14" x14ac:dyDescent="0.2">
      <c r="B8" s="173"/>
      <c r="C8" s="174"/>
      <c r="D8" s="2" t="s">
        <v>7</v>
      </c>
      <c r="E8" s="11" t="s">
        <v>27</v>
      </c>
      <c r="F8" s="109">
        <v>1.6500000000000001E-2</v>
      </c>
      <c r="G8" s="13">
        <f t="shared" si="0"/>
        <v>1.6500000000000001E-2</v>
      </c>
      <c r="H8" s="13">
        <f t="shared" si="0"/>
        <v>1.6500000000000001E-2</v>
      </c>
      <c r="I8" s="13">
        <f t="shared" si="0"/>
        <v>1.6500000000000001E-2</v>
      </c>
      <c r="J8" s="13">
        <f t="shared" si="0"/>
        <v>1.6500000000000001E-2</v>
      </c>
      <c r="K8" s="13">
        <f t="shared" si="0"/>
        <v>1.6500000000000001E-2</v>
      </c>
      <c r="L8" s="13">
        <f t="shared" si="0"/>
        <v>1.6500000000000001E-2</v>
      </c>
      <c r="M8" s="13">
        <f t="shared" si="0"/>
        <v>1.6500000000000001E-2</v>
      </c>
      <c r="N8" s="64"/>
    </row>
    <row r="9" spans="2:14" x14ac:dyDescent="0.2">
      <c r="B9" s="173"/>
      <c r="C9" s="174"/>
      <c r="D9" s="2" t="s">
        <v>26</v>
      </c>
      <c r="E9" s="11" t="s">
        <v>27</v>
      </c>
      <c r="F9" s="109">
        <v>1.6500000000000001E-2</v>
      </c>
      <c r="G9" s="13">
        <f t="shared" si="0"/>
        <v>1.6500000000000001E-2</v>
      </c>
      <c r="H9" s="13">
        <f t="shared" si="0"/>
        <v>1.6500000000000001E-2</v>
      </c>
      <c r="I9" s="13">
        <f t="shared" si="0"/>
        <v>1.6500000000000001E-2</v>
      </c>
      <c r="J9" s="13">
        <f t="shared" si="0"/>
        <v>1.6500000000000001E-2</v>
      </c>
      <c r="K9" s="13">
        <f t="shared" si="0"/>
        <v>1.6500000000000001E-2</v>
      </c>
      <c r="L9" s="13">
        <f t="shared" si="0"/>
        <v>1.6500000000000001E-2</v>
      </c>
      <c r="M9" s="13">
        <f t="shared" si="0"/>
        <v>1.6500000000000001E-2</v>
      </c>
      <c r="N9" s="64"/>
    </row>
    <row r="10" spans="2:14" x14ac:dyDescent="0.2">
      <c r="B10" s="173"/>
      <c r="C10" s="174"/>
      <c r="D10" s="2" t="s">
        <v>8</v>
      </c>
      <c r="E10" s="11" t="s">
        <v>27</v>
      </c>
      <c r="F10" s="109">
        <v>1.6500000000000001E-2</v>
      </c>
      <c r="G10" s="13">
        <f t="shared" si="0"/>
        <v>1.6500000000000001E-2</v>
      </c>
      <c r="H10" s="13">
        <f t="shared" si="0"/>
        <v>1.6500000000000001E-2</v>
      </c>
      <c r="I10" s="13">
        <f t="shared" si="0"/>
        <v>1.6500000000000001E-2</v>
      </c>
      <c r="J10" s="13">
        <f t="shared" si="0"/>
        <v>1.6500000000000001E-2</v>
      </c>
      <c r="K10" s="13">
        <f t="shared" si="0"/>
        <v>1.6500000000000001E-2</v>
      </c>
      <c r="L10" s="13">
        <f t="shared" si="0"/>
        <v>1.6500000000000001E-2</v>
      </c>
      <c r="M10" s="13">
        <f t="shared" si="0"/>
        <v>1.6500000000000001E-2</v>
      </c>
      <c r="N10" s="64"/>
    </row>
    <row r="11" spans="2:14" x14ac:dyDescent="0.2">
      <c r="B11" s="171" t="s">
        <v>12</v>
      </c>
      <c r="C11" s="172"/>
      <c r="D11" s="20" t="s">
        <v>3</v>
      </c>
      <c r="E11" s="20"/>
      <c r="F11" s="110">
        <v>1.5E-3</v>
      </c>
      <c r="G11" s="29">
        <f t="shared" si="0"/>
        <v>1.5E-3</v>
      </c>
      <c r="H11" s="29">
        <f t="shared" si="0"/>
        <v>1.5E-3</v>
      </c>
      <c r="I11" s="29">
        <f t="shared" si="0"/>
        <v>1.5E-3</v>
      </c>
      <c r="J11" s="29">
        <f t="shared" si="0"/>
        <v>1.5E-3</v>
      </c>
      <c r="K11" s="29">
        <f t="shared" si="0"/>
        <v>1.5E-3</v>
      </c>
      <c r="L11" s="29">
        <f t="shared" si="0"/>
        <v>1.5E-3</v>
      </c>
      <c r="M11" s="29">
        <f t="shared" si="0"/>
        <v>1.5E-3</v>
      </c>
      <c r="N11" s="63"/>
    </row>
    <row r="12" spans="2:14" x14ac:dyDescent="0.2">
      <c r="B12" s="173"/>
      <c r="C12" s="174"/>
      <c r="D12" s="2" t="s">
        <v>7</v>
      </c>
      <c r="E12" s="2"/>
      <c r="F12" s="111">
        <v>1.5E-3</v>
      </c>
      <c r="G12" s="14">
        <f t="shared" si="0"/>
        <v>1.5E-3</v>
      </c>
      <c r="H12" s="14">
        <f t="shared" si="0"/>
        <v>1.5E-3</v>
      </c>
      <c r="I12" s="14">
        <f t="shared" si="0"/>
        <v>1.5E-3</v>
      </c>
      <c r="J12" s="14">
        <f t="shared" si="0"/>
        <v>1.5E-3</v>
      </c>
      <c r="K12" s="14">
        <f t="shared" si="0"/>
        <v>1.5E-3</v>
      </c>
      <c r="L12" s="14">
        <f t="shared" si="0"/>
        <v>1.5E-3</v>
      </c>
      <c r="M12" s="14">
        <f t="shared" si="0"/>
        <v>1.5E-3</v>
      </c>
      <c r="N12" s="64"/>
    </row>
    <row r="13" spans="2:14" x14ac:dyDescent="0.2">
      <c r="B13" s="173"/>
      <c r="C13" s="174"/>
      <c r="D13" s="2" t="s">
        <v>26</v>
      </c>
      <c r="E13" s="2"/>
      <c r="F13" s="111">
        <v>1.5E-3</v>
      </c>
      <c r="G13" s="14">
        <f t="shared" si="0"/>
        <v>1.5E-3</v>
      </c>
      <c r="H13" s="14">
        <f t="shared" si="0"/>
        <v>1.5E-3</v>
      </c>
      <c r="I13" s="14">
        <f t="shared" si="0"/>
        <v>1.5E-3</v>
      </c>
      <c r="J13" s="14">
        <f t="shared" si="0"/>
        <v>1.5E-3</v>
      </c>
      <c r="K13" s="14">
        <f t="shared" si="0"/>
        <v>1.5E-3</v>
      </c>
      <c r="L13" s="14">
        <f t="shared" si="0"/>
        <v>1.5E-3</v>
      </c>
      <c r="M13" s="14">
        <f t="shared" si="0"/>
        <v>1.5E-3</v>
      </c>
      <c r="N13" s="64"/>
    </row>
    <row r="14" spans="2:14" x14ac:dyDescent="0.2">
      <c r="B14" s="173"/>
      <c r="C14" s="174"/>
      <c r="D14" s="2" t="s">
        <v>8</v>
      </c>
      <c r="E14" s="2"/>
      <c r="F14" s="111">
        <v>1.5E-3</v>
      </c>
      <c r="G14" s="14">
        <f t="shared" si="0"/>
        <v>1.5E-3</v>
      </c>
      <c r="H14" s="14">
        <f t="shared" si="0"/>
        <v>1.5E-3</v>
      </c>
      <c r="I14" s="14">
        <f t="shared" si="0"/>
        <v>1.5E-3</v>
      </c>
      <c r="J14" s="14">
        <f t="shared" si="0"/>
        <v>1.5E-3</v>
      </c>
      <c r="K14" s="14">
        <f t="shared" si="0"/>
        <v>1.5E-3</v>
      </c>
      <c r="L14" s="14">
        <f t="shared" si="0"/>
        <v>1.5E-3</v>
      </c>
      <c r="M14" s="14">
        <f t="shared" si="0"/>
        <v>1.5E-3</v>
      </c>
      <c r="N14" s="64"/>
    </row>
    <row r="15" spans="2:14" x14ac:dyDescent="0.2">
      <c r="B15" s="171" t="s">
        <v>13</v>
      </c>
      <c r="C15" s="172"/>
      <c r="D15" s="20" t="s">
        <v>3</v>
      </c>
      <c r="E15" s="26" t="s">
        <v>27</v>
      </c>
      <c r="F15" s="112">
        <v>0.41</v>
      </c>
      <c r="G15" s="137">
        <f t="shared" si="0"/>
        <v>0.41</v>
      </c>
      <c r="H15" s="30">
        <f t="shared" si="0"/>
        <v>0.41</v>
      </c>
      <c r="I15" s="31">
        <v>0.49</v>
      </c>
      <c r="J15" s="31">
        <v>0.44</v>
      </c>
      <c r="K15" s="30">
        <f t="shared" si="0"/>
        <v>0.41</v>
      </c>
      <c r="L15" s="30">
        <f t="shared" si="0"/>
        <v>0.41</v>
      </c>
      <c r="M15" s="138">
        <v>0</v>
      </c>
      <c r="N15" s="63"/>
    </row>
    <row r="16" spans="2:14" x14ac:dyDescent="0.2">
      <c r="B16" s="173"/>
      <c r="C16" s="174"/>
      <c r="D16" s="2" t="s">
        <v>7</v>
      </c>
      <c r="E16" s="11" t="s">
        <v>27</v>
      </c>
      <c r="F16" s="113">
        <v>0.41</v>
      </c>
      <c r="G16" s="139">
        <f t="shared" si="0"/>
        <v>0.41</v>
      </c>
      <c r="H16" s="15">
        <f t="shared" si="0"/>
        <v>0.41</v>
      </c>
      <c r="I16" s="58">
        <v>0.49</v>
      </c>
      <c r="J16" s="58">
        <v>0.44</v>
      </c>
      <c r="K16" s="15">
        <f t="shared" si="0"/>
        <v>0.41</v>
      </c>
      <c r="L16" s="15">
        <f t="shared" si="0"/>
        <v>0.41</v>
      </c>
      <c r="M16" s="140">
        <v>0</v>
      </c>
      <c r="N16" s="64"/>
    </row>
    <row r="17" spans="2:14" x14ac:dyDescent="0.2">
      <c r="B17" s="173"/>
      <c r="C17" s="174"/>
      <c r="D17" s="2" t="s">
        <v>26</v>
      </c>
      <c r="E17" s="11" t="s">
        <v>27</v>
      </c>
      <c r="F17" s="113">
        <v>0.41</v>
      </c>
      <c r="G17" s="139">
        <f t="shared" si="0"/>
        <v>0.41</v>
      </c>
      <c r="H17" s="15">
        <f t="shared" si="0"/>
        <v>0.41</v>
      </c>
      <c r="I17" s="58">
        <v>0.36</v>
      </c>
      <c r="J17" s="58">
        <v>0.36</v>
      </c>
      <c r="K17" s="15">
        <f t="shared" si="0"/>
        <v>0.41</v>
      </c>
      <c r="L17" s="15">
        <f t="shared" si="0"/>
        <v>0.41</v>
      </c>
      <c r="M17" s="140">
        <v>0</v>
      </c>
      <c r="N17" s="64"/>
    </row>
    <row r="18" spans="2:14" x14ac:dyDescent="0.2">
      <c r="B18" s="173"/>
      <c r="C18" s="174"/>
      <c r="D18" s="2" t="s">
        <v>8</v>
      </c>
      <c r="E18" s="11" t="s">
        <v>27</v>
      </c>
      <c r="F18" s="113">
        <v>0.41</v>
      </c>
      <c r="G18" s="141">
        <f t="shared" si="0"/>
        <v>0.41</v>
      </c>
      <c r="H18" s="32">
        <f t="shared" si="0"/>
        <v>0.41</v>
      </c>
      <c r="I18" s="59">
        <v>0.36</v>
      </c>
      <c r="J18" s="59">
        <v>0.36</v>
      </c>
      <c r="K18" s="32">
        <f t="shared" si="0"/>
        <v>0.41</v>
      </c>
      <c r="L18" s="32">
        <f t="shared" si="0"/>
        <v>0.41</v>
      </c>
      <c r="M18" s="142">
        <v>0</v>
      </c>
      <c r="N18" s="64"/>
    </row>
    <row r="19" spans="2:14" x14ac:dyDescent="0.2">
      <c r="B19" s="171" t="s">
        <v>30</v>
      </c>
      <c r="C19" s="172"/>
      <c r="D19" s="20" t="s">
        <v>3</v>
      </c>
      <c r="E19" s="26"/>
      <c r="F19" s="112"/>
      <c r="G19" s="14">
        <f t="shared" si="0"/>
        <v>0</v>
      </c>
      <c r="H19" s="14">
        <f t="shared" si="0"/>
        <v>0</v>
      </c>
      <c r="I19" s="14">
        <f t="shared" si="0"/>
        <v>0</v>
      </c>
      <c r="J19" s="14">
        <f t="shared" si="0"/>
        <v>0</v>
      </c>
      <c r="K19" s="14">
        <f t="shared" si="0"/>
        <v>0</v>
      </c>
      <c r="L19" s="14">
        <f t="shared" si="0"/>
        <v>0</v>
      </c>
      <c r="M19" s="14">
        <f t="shared" si="0"/>
        <v>0</v>
      </c>
      <c r="N19" s="63"/>
    </row>
    <row r="20" spans="2:14" x14ac:dyDescent="0.2">
      <c r="B20" s="173"/>
      <c r="C20" s="174"/>
      <c r="D20" s="2" t="s">
        <v>7</v>
      </c>
      <c r="E20" s="11"/>
      <c r="F20" s="113"/>
      <c r="G20" s="14">
        <f t="shared" si="0"/>
        <v>0</v>
      </c>
      <c r="H20" s="14">
        <f t="shared" si="0"/>
        <v>0</v>
      </c>
      <c r="I20" s="14">
        <f t="shared" si="0"/>
        <v>0</v>
      </c>
      <c r="J20" s="14">
        <f t="shared" si="0"/>
        <v>0</v>
      </c>
      <c r="K20" s="14">
        <f t="shared" si="0"/>
        <v>0</v>
      </c>
      <c r="L20" s="14">
        <f t="shared" si="0"/>
        <v>0</v>
      </c>
      <c r="M20" s="14">
        <f t="shared" si="0"/>
        <v>0</v>
      </c>
      <c r="N20" s="64"/>
    </row>
    <row r="21" spans="2:14" x14ac:dyDescent="0.2">
      <c r="B21" s="173"/>
      <c r="C21" s="174"/>
      <c r="D21" s="2" t="s">
        <v>26</v>
      </c>
      <c r="E21" s="11"/>
      <c r="F21" s="113"/>
      <c r="G21" s="14">
        <f t="shared" si="0"/>
        <v>0</v>
      </c>
      <c r="H21" s="14">
        <f t="shared" si="0"/>
        <v>0</v>
      </c>
      <c r="I21" s="14">
        <f t="shared" si="0"/>
        <v>0</v>
      </c>
      <c r="J21" s="14">
        <f t="shared" si="0"/>
        <v>0</v>
      </c>
      <c r="K21" s="14">
        <f t="shared" si="0"/>
        <v>0</v>
      </c>
      <c r="L21" s="14">
        <f t="shared" si="0"/>
        <v>0</v>
      </c>
      <c r="M21" s="14">
        <f t="shared" si="0"/>
        <v>0</v>
      </c>
      <c r="N21" s="64"/>
    </row>
    <row r="22" spans="2:14" x14ac:dyDescent="0.2">
      <c r="B22" s="173"/>
      <c r="C22" s="174"/>
      <c r="D22" s="2" t="s">
        <v>8</v>
      </c>
      <c r="E22" s="11"/>
      <c r="F22" s="113"/>
      <c r="G22" s="14">
        <f t="shared" si="0"/>
        <v>0</v>
      </c>
      <c r="H22" s="14">
        <f t="shared" si="0"/>
        <v>0</v>
      </c>
      <c r="I22" s="14">
        <f t="shared" si="0"/>
        <v>0</v>
      </c>
      <c r="J22" s="14">
        <f t="shared" si="0"/>
        <v>0</v>
      </c>
      <c r="K22" s="14">
        <f t="shared" si="0"/>
        <v>0</v>
      </c>
      <c r="L22" s="14">
        <f t="shared" si="0"/>
        <v>0</v>
      </c>
      <c r="M22" s="14">
        <f t="shared" si="0"/>
        <v>0</v>
      </c>
      <c r="N22" s="64"/>
    </row>
    <row r="23" spans="2:14" x14ac:dyDescent="0.2">
      <c r="B23" s="171" t="s">
        <v>14</v>
      </c>
      <c r="C23" s="172"/>
      <c r="D23" s="20" t="s">
        <v>3</v>
      </c>
      <c r="E23" s="20"/>
      <c r="F23" s="114">
        <v>0.34</v>
      </c>
      <c r="G23" s="33">
        <v>0.33</v>
      </c>
      <c r="H23" s="34">
        <f t="shared" si="0"/>
        <v>0.34</v>
      </c>
      <c r="I23" s="33">
        <v>0.24</v>
      </c>
      <c r="J23" s="33">
        <v>0.28000000000000003</v>
      </c>
      <c r="K23" s="34">
        <f t="shared" si="0"/>
        <v>0.34</v>
      </c>
      <c r="L23" s="34">
        <f t="shared" si="0"/>
        <v>0.34</v>
      </c>
      <c r="M23" s="34">
        <f t="shared" si="0"/>
        <v>0.34</v>
      </c>
      <c r="N23" s="63"/>
    </row>
    <row r="24" spans="2:14" x14ac:dyDescent="0.2">
      <c r="B24" s="173"/>
      <c r="C24" s="174"/>
      <c r="D24" s="2" t="s">
        <v>7</v>
      </c>
      <c r="E24" s="2"/>
      <c r="F24" s="115">
        <v>0.34</v>
      </c>
      <c r="G24" s="53">
        <v>0.33</v>
      </c>
      <c r="H24" s="16">
        <f t="shared" si="0"/>
        <v>0.34</v>
      </c>
      <c r="I24" s="53">
        <v>0.24</v>
      </c>
      <c r="J24" s="53">
        <v>0.28000000000000003</v>
      </c>
      <c r="K24" s="16">
        <f t="shared" si="0"/>
        <v>0.34</v>
      </c>
      <c r="L24" s="16">
        <f t="shared" si="0"/>
        <v>0.34</v>
      </c>
      <c r="M24" s="16">
        <f t="shared" si="0"/>
        <v>0.34</v>
      </c>
      <c r="N24" s="64"/>
    </row>
    <row r="25" spans="2:14" x14ac:dyDescent="0.2">
      <c r="B25" s="173"/>
      <c r="C25" s="174"/>
      <c r="D25" s="2" t="s">
        <v>26</v>
      </c>
      <c r="E25" s="2"/>
      <c r="F25" s="115">
        <v>0.34</v>
      </c>
      <c r="G25" s="16">
        <f t="shared" si="0"/>
        <v>0.34</v>
      </c>
      <c r="H25" s="16">
        <f t="shared" si="0"/>
        <v>0.34</v>
      </c>
      <c r="I25" s="53">
        <v>0.36</v>
      </c>
      <c r="J25" s="53">
        <v>0.46</v>
      </c>
      <c r="K25" s="16">
        <f t="shared" ref="K25:M39" si="1">$F25</f>
        <v>0.34</v>
      </c>
      <c r="L25" s="16">
        <f t="shared" si="1"/>
        <v>0.34</v>
      </c>
      <c r="M25" s="16">
        <f t="shared" si="1"/>
        <v>0.34</v>
      </c>
      <c r="N25" s="64"/>
    </row>
    <row r="26" spans="2:14" x14ac:dyDescent="0.2">
      <c r="B26" s="173"/>
      <c r="C26" s="174"/>
      <c r="D26" s="2" t="s">
        <v>8</v>
      </c>
      <c r="E26" s="2"/>
      <c r="F26" s="115">
        <v>0.34</v>
      </c>
      <c r="G26" s="16">
        <f t="shared" si="0"/>
        <v>0.34</v>
      </c>
      <c r="H26" s="16">
        <f t="shared" si="0"/>
        <v>0.34</v>
      </c>
      <c r="I26" s="53">
        <v>0.36</v>
      </c>
      <c r="J26" s="53">
        <v>0.46</v>
      </c>
      <c r="K26" s="16">
        <f t="shared" si="1"/>
        <v>0.34</v>
      </c>
      <c r="L26" s="16">
        <f t="shared" si="1"/>
        <v>0.34</v>
      </c>
      <c r="M26" s="16">
        <f t="shared" si="1"/>
        <v>0.34</v>
      </c>
      <c r="N26" s="64"/>
    </row>
    <row r="27" spans="2:14" x14ac:dyDescent="0.2">
      <c r="B27" s="171" t="s">
        <v>16</v>
      </c>
      <c r="C27" s="172"/>
      <c r="D27" s="20" t="s">
        <v>3</v>
      </c>
      <c r="E27" s="20"/>
      <c r="F27" s="114">
        <v>0.14000000000000001</v>
      </c>
      <c r="G27" s="34">
        <f t="shared" si="0"/>
        <v>0.14000000000000001</v>
      </c>
      <c r="H27" s="34">
        <f t="shared" si="0"/>
        <v>0.14000000000000001</v>
      </c>
      <c r="I27" s="33">
        <v>0.11</v>
      </c>
      <c r="J27" s="33">
        <v>0.08</v>
      </c>
      <c r="K27" s="34">
        <f t="shared" si="1"/>
        <v>0.14000000000000001</v>
      </c>
      <c r="L27" s="34">
        <f t="shared" si="1"/>
        <v>0.14000000000000001</v>
      </c>
      <c r="M27" s="34">
        <f t="shared" si="1"/>
        <v>0.14000000000000001</v>
      </c>
      <c r="N27" s="63"/>
    </row>
    <row r="28" spans="2:14" x14ac:dyDescent="0.2">
      <c r="B28" s="173"/>
      <c r="C28" s="174"/>
      <c r="D28" s="2" t="s">
        <v>7</v>
      </c>
      <c r="E28" s="2"/>
      <c r="F28" s="115">
        <v>0.14000000000000001</v>
      </c>
      <c r="G28" s="16">
        <f t="shared" si="0"/>
        <v>0.14000000000000001</v>
      </c>
      <c r="H28" s="16">
        <f t="shared" si="0"/>
        <v>0.14000000000000001</v>
      </c>
      <c r="I28" s="53">
        <v>0.11</v>
      </c>
      <c r="J28" s="53">
        <v>0.08</v>
      </c>
      <c r="K28" s="16">
        <f t="shared" si="1"/>
        <v>0.14000000000000001</v>
      </c>
      <c r="L28" s="16">
        <f t="shared" si="1"/>
        <v>0.14000000000000001</v>
      </c>
      <c r="M28" s="16">
        <f t="shared" si="1"/>
        <v>0.14000000000000001</v>
      </c>
      <c r="N28" s="64"/>
    </row>
    <row r="29" spans="2:14" x14ac:dyDescent="0.2">
      <c r="B29" s="173"/>
      <c r="C29" s="174"/>
      <c r="D29" s="2" t="s">
        <v>26</v>
      </c>
      <c r="E29" s="2"/>
      <c r="F29" s="115">
        <v>0.14000000000000001</v>
      </c>
      <c r="G29" s="16">
        <f t="shared" si="0"/>
        <v>0.14000000000000001</v>
      </c>
      <c r="H29" s="16">
        <f t="shared" si="0"/>
        <v>0.14000000000000001</v>
      </c>
      <c r="I29" s="53">
        <v>0.15</v>
      </c>
      <c r="J29" s="53">
        <v>0.18</v>
      </c>
      <c r="K29" s="16">
        <f t="shared" si="1"/>
        <v>0.14000000000000001</v>
      </c>
      <c r="L29" s="16">
        <f t="shared" si="1"/>
        <v>0.14000000000000001</v>
      </c>
      <c r="M29" s="16">
        <f t="shared" si="1"/>
        <v>0.14000000000000001</v>
      </c>
      <c r="N29" s="64"/>
    </row>
    <row r="30" spans="2:14" x14ac:dyDescent="0.2">
      <c r="B30" s="173"/>
      <c r="C30" s="174"/>
      <c r="D30" s="2" t="s">
        <v>8</v>
      </c>
      <c r="E30" s="2"/>
      <c r="F30" s="115">
        <v>0.14000000000000001</v>
      </c>
      <c r="G30" s="16">
        <f t="shared" si="0"/>
        <v>0.14000000000000001</v>
      </c>
      <c r="H30" s="16">
        <f t="shared" si="0"/>
        <v>0.14000000000000001</v>
      </c>
      <c r="I30" s="53">
        <v>0.15</v>
      </c>
      <c r="J30" s="53">
        <v>0.18</v>
      </c>
      <c r="K30" s="16">
        <f t="shared" si="1"/>
        <v>0.14000000000000001</v>
      </c>
      <c r="L30" s="16">
        <f t="shared" si="1"/>
        <v>0.14000000000000001</v>
      </c>
      <c r="M30" s="16">
        <f t="shared" si="1"/>
        <v>0.14000000000000001</v>
      </c>
      <c r="N30" s="64"/>
    </row>
    <row r="31" spans="2:14" x14ac:dyDescent="0.2">
      <c r="B31" s="169" t="s">
        <v>15</v>
      </c>
      <c r="C31" s="170"/>
      <c r="D31" s="8" t="s">
        <v>24</v>
      </c>
      <c r="E31" s="8"/>
      <c r="F31" s="116">
        <v>0</v>
      </c>
      <c r="G31" s="35">
        <f t="shared" si="0"/>
        <v>0</v>
      </c>
      <c r="H31" s="35">
        <f t="shared" si="0"/>
        <v>0</v>
      </c>
      <c r="I31" s="35">
        <f t="shared" si="0"/>
        <v>0</v>
      </c>
      <c r="J31" s="35">
        <f t="shared" si="0"/>
        <v>0</v>
      </c>
      <c r="K31" s="35">
        <f t="shared" si="1"/>
        <v>0</v>
      </c>
      <c r="L31" s="35">
        <f t="shared" si="1"/>
        <v>0</v>
      </c>
      <c r="M31" s="35">
        <f t="shared" si="1"/>
        <v>0</v>
      </c>
      <c r="N31" s="105"/>
    </row>
    <row r="32" spans="2:14" x14ac:dyDescent="0.2">
      <c r="B32" s="169" t="s">
        <v>2</v>
      </c>
      <c r="C32" s="170"/>
      <c r="D32" s="8" t="s">
        <v>24</v>
      </c>
      <c r="E32" s="23" t="s">
        <v>27</v>
      </c>
      <c r="F32" s="117">
        <v>7.0000000000000007E-2</v>
      </c>
      <c r="G32" s="36">
        <f t="shared" si="0"/>
        <v>7.0000000000000007E-2</v>
      </c>
      <c r="H32" s="36">
        <f t="shared" si="0"/>
        <v>7.0000000000000007E-2</v>
      </c>
      <c r="I32" s="36">
        <f t="shared" si="0"/>
        <v>7.0000000000000007E-2</v>
      </c>
      <c r="J32" s="36">
        <f t="shared" si="0"/>
        <v>7.0000000000000007E-2</v>
      </c>
      <c r="K32" s="36">
        <f t="shared" si="1"/>
        <v>7.0000000000000007E-2</v>
      </c>
      <c r="L32" s="36">
        <f t="shared" si="1"/>
        <v>7.0000000000000007E-2</v>
      </c>
      <c r="M32" s="36">
        <f t="shared" si="1"/>
        <v>7.0000000000000007E-2</v>
      </c>
      <c r="N32" s="105"/>
    </row>
    <row r="33" spans="2:14" x14ac:dyDescent="0.2">
      <c r="B33" s="169" t="s">
        <v>23</v>
      </c>
      <c r="C33" s="170"/>
      <c r="D33" s="8" t="s">
        <v>24</v>
      </c>
      <c r="E33" s="8"/>
      <c r="F33" s="116">
        <v>1.4999999999999999E-2</v>
      </c>
      <c r="G33" s="35">
        <f t="shared" si="0"/>
        <v>1.4999999999999999E-2</v>
      </c>
      <c r="H33" s="35">
        <f t="shared" si="0"/>
        <v>1.4999999999999999E-2</v>
      </c>
      <c r="I33" s="35">
        <f t="shared" si="0"/>
        <v>1.4999999999999999E-2</v>
      </c>
      <c r="J33" s="35">
        <f t="shared" si="0"/>
        <v>1.4999999999999999E-2</v>
      </c>
      <c r="K33" s="35">
        <f t="shared" si="1"/>
        <v>1.4999999999999999E-2</v>
      </c>
      <c r="L33" s="35">
        <f t="shared" si="1"/>
        <v>1.4999999999999999E-2</v>
      </c>
      <c r="M33" s="35">
        <f t="shared" si="1"/>
        <v>1.4999999999999999E-2</v>
      </c>
      <c r="N33" s="105"/>
    </row>
    <row r="34" spans="2:14" x14ac:dyDescent="0.2">
      <c r="B34" s="169" t="s">
        <v>17</v>
      </c>
      <c r="C34" s="170"/>
      <c r="D34" s="8" t="s">
        <v>24</v>
      </c>
      <c r="E34" s="23" t="s">
        <v>27</v>
      </c>
      <c r="F34" s="118">
        <v>0.28000000000000003</v>
      </c>
      <c r="G34" s="37">
        <f t="shared" si="0"/>
        <v>0.28000000000000003</v>
      </c>
      <c r="H34" s="37">
        <f t="shared" si="0"/>
        <v>0.28000000000000003</v>
      </c>
      <c r="I34" s="37">
        <f t="shared" si="0"/>
        <v>0.28000000000000003</v>
      </c>
      <c r="J34" s="37">
        <f t="shared" si="0"/>
        <v>0.28000000000000003</v>
      </c>
      <c r="K34" s="37">
        <f t="shared" si="1"/>
        <v>0.28000000000000003</v>
      </c>
      <c r="L34" s="37">
        <f t="shared" si="1"/>
        <v>0.28000000000000003</v>
      </c>
      <c r="M34" s="37">
        <f t="shared" si="1"/>
        <v>0.28000000000000003</v>
      </c>
      <c r="N34" s="105"/>
    </row>
    <row r="35" spans="2:14" x14ac:dyDescent="0.2">
      <c r="B35" s="169" t="s">
        <v>18</v>
      </c>
      <c r="C35" s="170"/>
      <c r="D35" s="8" t="s">
        <v>24</v>
      </c>
      <c r="E35" s="23" t="s">
        <v>27</v>
      </c>
      <c r="F35" s="119">
        <v>0.28000000000000003</v>
      </c>
      <c r="G35" s="39">
        <f t="shared" si="0"/>
        <v>0.28000000000000003</v>
      </c>
      <c r="H35" s="39">
        <f t="shared" si="0"/>
        <v>0.28000000000000003</v>
      </c>
      <c r="I35" s="39">
        <f t="shared" si="0"/>
        <v>0.28000000000000003</v>
      </c>
      <c r="J35" s="39">
        <f t="shared" si="0"/>
        <v>0.28000000000000003</v>
      </c>
      <c r="K35" s="39">
        <f t="shared" si="1"/>
        <v>0.28000000000000003</v>
      </c>
      <c r="L35" s="39">
        <f t="shared" si="1"/>
        <v>0.28000000000000003</v>
      </c>
      <c r="M35" s="39">
        <f t="shared" si="1"/>
        <v>0.28000000000000003</v>
      </c>
      <c r="N35" s="105"/>
    </row>
    <row r="36" spans="2:14" x14ac:dyDescent="0.2">
      <c r="B36" s="175" t="s">
        <v>19</v>
      </c>
      <c r="C36" s="176"/>
      <c r="D36" s="20" t="s">
        <v>3</v>
      </c>
      <c r="E36" s="26" t="s">
        <v>27</v>
      </c>
      <c r="F36" s="108">
        <v>2E-3</v>
      </c>
      <c r="G36" s="27">
        <f t="shared" si="0"/>
        <v>2E-3</v>
      </c>
      <c r="H36" s="27">
        <f t="shared" si="0"/>
        <v>2E-3</v>
      </c>
      <c r="I36" s="27">
        <f t="shared" si="0"/>
        <v>2E-3</v>
      </c>
      <c r="J36" s="27">
        <f t="shared" si="0"/>
        <v>2E-3</v>
      </c>
      <c r="K36" s="38">
        <v>1E-3</v>
      </c>
      <c r="L36" s="27">
        <f t="shared" si="1"/>
        <v>2E-3</v>
      </c>
      <c r="M36" s="27">
        <f t="shared" si="1"/>
        <v>2E-3</v>
      </c>
      <c r="N36" s="63"/>
    </row>
    <row r="37" spans="2:14" x14ac:dyDescent="0.2">
      <c r="B37" s="177"/>
      <c r="C37" s="178"/>
      <c r="D37" s="2" t="s">
        <v>7</v>
      </c>
      <c r="E37" s="11" t="s">
        <v>27</v>
      </c>
      <c r="F37" s="109">
        <v>2E-3</v>
      </c>
      <c r="G37" s="13">
        <f t="shared" si="0"/>
        <v>2E-3</v>
      </c>
      <c r="H37" s="13">
        <f t="shared" si="0"/>
        <v>2E-3</v>
      </c>
      <c r="I37" s="13">
        <f t="shared" si="0"/>
        <v>2E-3</v>
      </c>
      <c r="J37" s="13">
        <f t="shared" si="0"/>
        <v>2E-3</v>
      </c>
      <c r="K37" s="56">
        <v>1E-3</v>
      </c>
      <c r="L37" s="13">
        <f t="shared" si="1"/>
        <v>2E-3</v>
      </c>
      <c r="M37" s="13">
        <f t="shared" si="1"/>
        <v>2E-3</v>
      </c>
      <c r="N37" s="64"/>
    </row>
    <row r="38" spans="2:14" x14ac:dyDescent="0.2">
      <c r="B38" s="177"/>
      <c r="C38" s="178"/>
      <c r="D38" s="2" t="s">
        <v>26</v>
      </c>
      <c r="E38" s="11" t="s">
        <v>27</v>
      </c>
      <c r="F38" s="109">
        <v>2E-3</v>
      </c>
      <c r="G38" s="13">
        <f t="shared" si="0"/>
        <v>2E-3</v>
      </c>
      <c r="H38" s="13">
        <f t="shared" si="0"/>
        <v>2E-3</v>
      </c>
      <c r="I38" s="13">
        <f t="shared" si="0"/>
        <v>2E-3</v>
      </c>
      <c r="J38" s="13">
        <f t="shared" si="0"/>
        <v>2E-3</v>
      </c>
      <c r="K38" s="56">
        <v>1E-3</v>
      </c>
      <c r="L38" s="13">
        <f t="shared" si="1"/>
        <v>2E-3</v>
      </c>
      <c r="M38" s="13">
        <f t="shared" si="1"/>
        <v>2E-3</v>
      </c>
      <c r="N38" s="64"/>
    </row>
    <row r="39" spans="2:14" x14ac:dyDescent="0.2">
      <c r="B39" s="177"/>
      <c r="C39" s="178"/>
      <c r="D39" s="2" t="s">
        <v>8</v>
      </c>
      <c r="E39" s="11" t="s">
        <v>27</v>
      </c>
      <c r="F39" s="109">
        <v>2E-3</v>
      </c>
      <c r="G39" s="13">
        <f t="shared" si="0"/>
        <v>2E-3</v>
      </c>
      <c r="H39" s="13">
        <f t="shared" si="0"/>
        <v>2E-3</v>
      </c>
      <c r="I39" s="13">
        <f t="shared" si="0"/>
        <v>2E-3</v>
      </c>
      <c r="J39" s="13">
        <f t="shared" si="0"/>
        <v>2E-3</v>
      </c>
      <c r="K39" s="56">
        <v>1E-3</v>
      </c>
      <c r="L39" s="13">
        <f t="shared" si="1"/>
        <v>2E-3</v>
      </c>
      <c r="M39" s="13">
        <f t="shared" si="1"/>
        <v>2E-3</v>
      </c>
      <c r="N39" s="64"/>
    </row>
    <row r="40" spans="2:14" ht="15" x14ac:dyDescent="0.25">
      <c r="B40" s="22" t="s">
        <v>45</v>
      </c>
      <c r="C40" s="8"/>
      <c r="D40" s="8"/>
      <c r="E40" s="23" t="s">
        <v>46</v>
      </c>
      <c r="F40" s="120">
        <v>67</v>
      </c>
      <c r="G40" s="60">
        <f>$F40</f>
        <v>67</v>
      </c>
      <c r="H40" s="61">
        <v>66</v>
      </c>
      <c r="I40" s="60">
        <f>$F40</f>
        <v>67</v>
      </c>
      <c r="J40" s="60">
        <f>$F40</f>
        <v>67</v>
      </c>
      <c r="K40" s="60">
        <f>$F40</f>
        <v>67</v>
      </c>
      <c r="L40" s="61">
        <v>50</v>
      </c>
      <c r="M40" s="60">
        <f>$F40</f>
        <v>67</v>
      </c>
      <c r="N40" s="106">
        <f>J4+1</f>
        <v>4</v>
      </c>
    </row>
    <row r="41" spans="2:14" x14ac:dyDescent="0.2">
      <c r="B41" s="40" t="s">
        <v>81</v>
      </c>
      <c r="C41" s="20"/>
      <c r="D41" s="20"/>
      <c r="E41" s="20"/>
      <c r="F41" s="64"/>
      <c r="G41" s="2"/>
      <c r="H41" s="2"/>
      <c r="I41" s="2"/>
      <c r="J41" s="2"/>
      <c r="K41" s="2"/>
      <c r="L41" s="2"/>
      <c r="M41" s="2"/>
      <c r="N41" s="63"/>
    </row>
    <row r="42" spans="2:14" x14ac:dyDescent="0.2">
      <c r="B42" s="177" t="s">
        <v>20</v>
      </c>
      <c r="C42" s="178"/>
      <c r="D42" s="11" t="s">
        <v>3</v>
      </c>
      <c r="E42" s="2"/>
      <c r="F42" s="64">
        <f t="shared" ref="F42:M45" si="2">ROUND(F23+(F23-F$31)*F15/(1-F15),2)</f>
        <v>0.57999999999999996</v>
      </c>
      <c r="G42" s="2">
        <f t="shared" si="2"/>
        <v>0.56000000000000005</v>
      </c>
      <c r="H42" s="2">
        <f t="shared" si="2"/>
        <v>0.57999999999999996</v>
      </c>
      <c r="I42" s="2">
        <f t="shared" si="2"/>
        <v>0.47</v>
      </c>
      <c r="J42" s="2">
        <f t="shared" si="2"/>
        <v>0.5</v>
      </c>
      <c r="K42" s="2">
        <f t="shared" si="2"/>
        <v>0.57999999999999996</v>
      </c>
      <c r="L42" s="2">
        <f t="shared" si="2"/>
        <v>0.57999999999999996</v>
      </c>
      <c r="M42" s="2">
        <f t="shared" si="2"/>
        <v>0.34</v>
      </c>
      <c r="N42" s="64"/>
    </row>
    <row r="43" spans="2:14" x14ac:dyDescent="0.2">
      <c r="B43" s="177"/>
      <c r="C43" s="178"/>
      <c r="D43" s="2" t="s">
        <v>7</v>
      </c>
      <c r="E43" s="2"/>
      <c r="F43" s="64">
        <f t="shared" si="2"/>
        <v>0.57999999999999996</v>
      </c>
      <c r="G43" s="2">
        <f t="shared" si="2"/>
        <v>0.56000000000000005</v>
      </c>
      <c r="H43" s="2">
        <f t="shared" si="2"/>
        <v>0.57999999999999996</v>
      </c>
      <c r="I43" s="2">
        <f t="shared" si="2"/>
        <v>0.47</v>
      </c>
      <c r="J43" s="2">
        <f t="shared" si="2"/>
        <v>0.5</v>
      </c>
      <c r="K43" s="2">
        <f t="shared" si="2"/>
        <v>0.57999999999999996</v>
      </c>
      <c r="L43" s="2">
        <f t="shared" si="2"/>
        <v>0.57999999999999996</v>
      </c>
      <c r="M43" s="2">
        <f t="shared" si="2"/>
        <v>0.34</v>
      </c>
      <c r="N43" s="64"/>
    </row>
    <row r="44" spans="2:14" x14ac:dyDescent="0.2">
      <c r="B44" s="177"/>
      <c r="C44" s="178"/>
      <c r="D44" s="2" t="s">
        <v>26</v>
      </c>
      <c r="E44" s="2"/>
      <c r="F44" s="64">
        <f t="shared" si="2"/>
        <v>0.57999999999999996</v>
      </c>
      <c r="G44" s="2">
        <f t="shared" si="2"/>
        <v>0.57999999999999996</v>
      </c>
      <c r="H44" s="2">
        <f t="shared" si="2"/>
        <v>0.57999999999999996</v>
      </c>
      <c r="I44" s="2">
        <f t="shared" si="2"/>
        <v>0.56000000000000005</v>
      </c>
      <c r="J44" s="2">
        <f t="shared" si="2"/>
        <v>0.72</v>
      </c>
      <c r="K44" s="2">
        <f t="shared" si="2"/>
        <v>0.57999999999999996</v>
      </c>
      <c r="L44" s="2">
        <f t="shared" si="2"/>
        <v>0.57999999999999996</v>
      </c>
      <c r="M44" s="2">
        <f t="shared" si="2"/>
        <v>0.34</v>
      </c>
      <c r="N44" s="64"/>
    </row>
    <row r="45" spans="2:14" x14ac:dyDescent="0.2">
      <c r="B45" s="177"/>
      <c r="C45" s="178"/>
      <c r="D45" s="2" t="s">
        <v>8</v>
      </c>
      <c r="E45" s="2"/>
      <c r="F45" s="64">
        <f t="shared" si="2"/>
        <v>0.57999999999999996</v>
      </c>
      <c r="G45" s="2">
        <f t="shared" si="2"/>
        <v>0.57999999999999996</v>
      </c>
      <c r="H45" s="2">
        <f t="shared" si="2"/>
        <v>0.57999999999999996</v>
      </c>
      <c r="I45" s="2">
        <f t="shared" si="2"/>
        <v>0.56000000000000005</v>
      </c>
      <c r="J45" s="2">
        <f t="shared" si="2"/>
        <v>0.72</v>
      </c>
      <c r="K45" s="2">
        <f t="shared" si="2"/>
        <v>0.57999999999999996</v>
      </c>
      <c r="L45" s="2">
        <f t="shared" si="2"/>
        <v>0.57999999999999996</v>
      </c>
      <c r="M45" s="2">
        <f t="shared" si="2"/>
        <v>0.34</v>
      </c>
      <c r="N45" s="64"/>
    </row>
    <row r="46" spans="2:14" x14ac:dyDescent="0.2">
      <c r="B46" s="177" t="s">
        <v>21</v>
      </c>
      <c r="C46" s="178"/>
      <c r="D46" s="26" t="s">
        <v>3</v>
      </c>
      <c r="E46" s="26" t="s">
        <v>27</v>
      </c>
      <c r="F46" s="121">
        <f t="shared" ref="F46:M49" si="3">F$6*(1-F$34)+F42*F$32</f>
        <v>5.9319999999999998E-2</v>
      </c>
      <c r="G46" s="42">
        <f t="shared" si="3"/>
        <v>5.7919999999999999E-2</v>
      </c>
      <c r="H46" s="42">
        <f t="shared" si="3"/>
        <v>5.9319999999999998E-2</v>
      </c>
      <c r="I46" s="42">
        <f t="shared" si="3"/>
        <v>5.1619999999999999E-2</v>
      </c>
      <c r="J46" s="42">
        <f t="shared" si="3"/>
        <v>5.3720000000000004E-2</v>
      </c>
      <c r="K46" s="42">
        <f t="shared" si="3"/>
        <v>5.9319999999999998E-2</v>
      </c>
      <c r="L46" s="42">
        <f t="shared" si="3"/>
        <v>5.9319999999999998E-2</v>
      </c>
      <c r="M46" s="42">
        <f t="shared" si="3"/>
        <v>4.2520000000000002E-2</v>
      </c>
      <c r="N46" s="63"/>
    </row>
    <row r="47" spans="2:14" x14ac:dyDescent="0.2">
      <c r="B47" s="177"/>
      <c r="C47" s="178"/>
      <c r="D47" s="2" t="s">
        <v>7</v>
      </c>
      <c r="E47" s="11" t="s">
        <v>27</v>
      </c>
      <c r="F47" s="122">
        <f t="shared" si="3"/>
        <v>5.9319999999999998E-2</v>
      </c>
      <c r="G47" s="17">
        <f t="shared" si="3"/>
        <v>5.7919999999999999E-2</v>
      </c>
      <c r="H47" s="17">
        <f t="shared" si="3"/>
        <v>5.9319999999999998E-2</v>
      </c>
      <c r="I47" s="17">
        <f t="shared" si="3"/>
        <v>5.1619999999999999E-2</v>
      </c>
      <c r="J47" s="17">
        <f t="shared" si="3"/>
        <v>5.3720000000000004E-2</v>
      </c>
      <c r="K47" s="17">
        <f t="shared" si="3"/>
        <v>5.9319999999999998E-2</v>
      </c>
      <c r="L47" s="17">
        <f t="shared" si="3"/>
        <v>5.9319999999999998E-2</v>
      </c>
      <c r="M47" s="17">
        <f t="shared" si="3"/>
        <v>4.2520000000000002E-2</v>
      </c>
      <c r="N47" s="64"/>
    </row>
    <row r="48" spans="2:14" x14ac:dyDescent="0.2">
      <c r="B48" s="177"/>
      <c r="C48" s="178"/>
      <c r="D48" s="2" t="s">
        <v>26</v>
      </c>
      <c r="E48" s="11" t="s">
        <v>27</v>
      </c>
      <c r="F48" s="122">
        <f t="shared" si="3"/>
        <v>5.9319999999999998E-2</v>
      </c>
      <c r="G48" s="17">
        <f t="shared" si="3"/>
        <v>5.9319999999999998E-2</v>
      </c>
      <c r="H48" s="17">
        <f t="shared" si="3"/>
        <v>5.9319999999999998E-2</v>
      </c>
      <c r="I48" s="17">
        <f t="shared" si="3"/>
        <v>5.7919999999999999E-2</v>
      </c>
      <c r="J48" s="17">
        <f t="shared" si="3"/>
        <v>6.9120000000000001E-2</v>
      </c>
      <c r="K48" s="17">
        <f t="shared" si="3"/>
        <v>5.9319999999999998E-2</v>
      </c>
      <c r="L48" s="17">
        <f t="shared" si="3"/>
        <v>5.9319999999999998E-2</v>
      </c>
      <c r="M48" s="17">
        <f t="shared" si="3"/>
        <v>4.2520000000000002E-2</v>
      </c>
      <c r="N48" s="64"/>
    </row>
    <row r="49" spans="2:14" x14ac:dyDescent="0.2">
      <c r="B49" s="177"/>
      <c r="C49" s="178"/>
      <c r="D49" s="2" t="s">
        <v>8</v>
      </c>
      <c r="E49" s="11" t="s">
        <v>27</v>
      </c>
      <c r="F49" s="122">
        <f t="shared" si="3"/>
        <v>5.9319999999999998E-2</v>
      </c>
      <c r="G49" s="17">
        <f t="shared" si="3"/>
        <v>5.9319999999999998E-2</v>
      </c>
      <c r="H49" s="17">
        <f t="shared" si="3"/>
        <v>5.9319999999999998E-2</v>
      </c>
      <c r="I49" s="17">
        <f t="shared" si="3"/>
        <v>5.7919999999999999E-2</v>
      </c>
      <c r="J49" s="17">
        <f t="shared" si="3"/>
        <v>6.9120000000000001E-2</v>
      </c>
      <c r="K49" s="17">
        <f t="shared" si="3"/>
        <v>5.9319999999999998E-2</v>
      </c>
      <c r="L49" s="17">
        <f t="shared" si="3"/>
        <v>5.9319999999999998E-2</v>
      </c>
      <c r="M49" s="17">
        <f t="shared" si="3"/>
        <v>4.2520000000000002E-2</v>
      </c>
      <c r="N49" s="64"/>
    </row>
    <row r="50" spans="2:14" x14ac:dyDescent="0.2">
      <c r="B50" s="175" t="s">
        <v>22</v>
      </c>
      <c r="C50" s="176"/>
      <c r="D50" s="26" t="s">
        <v>3</v>
      </c>
      <c r="E50" s="26" t="s">
        <v>27</v>
      </c>
      <c r="F50" s="121">
        <f t="shared" ref="F50:M53" si="4">F$6+F7+F36</f>
        <v>4.4499999999999998E-2</v>
      </c>
      <c r="G50" s="42">
        <f t="shared" si="4"/>
        <v>4.4499999999999998E-2</v>
      </c>
      <c r="H50" s="42">
        <f t="shared" si="4"/>
        <v>4.4499999999999998E-2</v>
      </c>
      <c r="I50" s="42">
        <f t="shared" si="4"/>
        <v>4.4499999999999998E-2</v>
      </c>
      <c r="J50" s="42">
        <f t="shared" si="4"/>
        <v>4.4499999999999998E-2</v>
      </c>
      <c r="K50" s="42">
        <f t="shared" si="4"/>
        <v>4.3499999999999997E-2</v>
      </c>
      <c r="L50" s="42">
        <f t="shared" si="4"/>
        <v>4.4499999999999998E-2</v>
      </c>
      <c r="M50" s="42">
        <f t="shared" si="4"/>
        <v>4.4499999999999998E-2</v>
      </c>
      <c r="N50" s="63"/>
    </row>
    <row r="51" spans="2:14" x14ac:dyDescent="0.2">
      <c r="B51" s="177"/>
      <c r="C51" s="178"/>
      <c r="D51" s="2" t="s">
        <v>7</v>
      </c>
      <c r="E51" s="11" t="s">
        <v>27</v>
      </c>
      <c r="F51" s="122">
        <f t="shared" si="4"/>
        <v>4.4499999999999998E-2</v>
      </c>
      <c r="G51" s="17">
        <f t="shared" si="4"/>
        <v>4.4499999999999998E-2</v>
      </c>
      <c r="H51" s="17">
        <f t="shared" si="4"/>
        <v>4.4499999999999998E-2</v>
      </c>
      <c r="I51" s="17">
        <f t="shared" si="4"/>
        <v>4.4499999999999998E-2</v>
      </c>
      <c r="J51" s="17">
        <f t="shared" si="4"/>
        <v>4.4499999999999998E-2</v>
      </c>
      <c r="K51" s="17">
        <f t="shared" si="4"/>
        <v>4.3499999999999997E-2</v>
      </c>
      <c r="L51" s="17">
        <f t="shared" si="4"/>
        <v>4.4499999999999998E-2</v>
      </c>
      <c r="M51" s="17">
        <f t="shared" si="4"/>
        <v>4.4499999999999998E-2</v>
      </c>
      <c r="N51" s="64"/>
    </row>
    <row r="52" spans="2:14" x14ac:dyDescent="0.2">
      <c r="B52" s="177"/>
      <c r="C52" s="178"/>
      <c r="D52" s="2" t="s">
        <v>26</v>
      </c>
      <c r="E52" s="11" t="s">
        <v>27</v>
      </c>
      <c r="F52" s="122">
        <f t="shared" si="4"/>
        <v>4.4499999999999998E-2</v>
      </c>
      <c r="G52" s="17">
        <f t="shared" si="4"/>
        <v>4.4499999999999998E-2</v>
      </c>
      <c r="H52" s="17">
        <f t="shared" si="4"/>
        <v>4.4499999999999998E-2</v>
      </c>
      <c r="I52" s="17">
        <f t="shared" si="4"/>
        <v>4.4499999999999998E-2</v>
      </c>
      <c r="J52" s="17">
        <f t="shared" si="4"/>
        <v>4.4499999999999998E-2</v>
      </c>
      <c r="K52" s="17">
        <f t="shared" si="4"/>
        <v>4.3499999999999997E-2</v>
      </c>
      <c r="L52" s="17">
        <f t="shared" si="4"/>
        <v>4.4499999999999998E-2</v>
      </c>
      <c r="M52" s="17">
        <f t="shared" si="4"/>
        <v>4.4499999999999998E-2</v>
      </c>
      <c r="N52" s="64"/>
    </row>
    <row r="53" spans="2:14" x14ac:dyDescent="0.2">
      <c r="B53" s="177"/>
      <c r="C53" s="178"/>
      <c r="D53" s="2" t="s">
        <v>8</v>
      </c>
      <c r="E53" s="11" t="s">
        <v>27</v>
      </c>
      <c r="F53" s="122">
        <f t="shared" si="4"/>
        <v>4.4499999999999998E-2</v>
      </c>
      <c r="G53" s="17">
        <f t="shared" si="4"/>
        <v>4.4499999999999998E-2</v>
      </c>
      <c r="H53" s="17">
        <f t="shared" si="4"/>
        <v>4.4499999999999998E-2</v>
      </c>
      <c r="I53" s="17">
        <f t="shared" si="4"/>
        <v>4.4499999999999998E-2</v>
      </c>
      <c r="J53" s="17">
        <f t="shared" si="4"/>
        <v>4.4499999999999998E-2</v>
      </c>
      <c r="K53" s="17">
        <f t="shared" si="4"/>
        <v>4.3499999999999997E-2</v>
      </c>
      <c r="L53" s="17">
        <f t="shared" si="4"/>
        <v>4.4499999999999998E-2</v>
      </c>
      <c r="M53" s="17">
        <f t="shared" si="4"/>
        <v>4.4499999999999998E-2</v>
      </c>
      <c r="N53" s="64"/>
    </row>
    <row r="54" spans="2:14" x14ac:dyDescent="0.2">
      <c r="B54" s="175" t="s">
        <v>43</v>
      </c>
      <c r="C54" s="176"/>
      <c r="D54" s="26" t="s">
        <v>3</v>
      </c>
      <c r="E54" s="26" t="s">
        <v>27</v>
      </c>
      <c r="F54" s="121">
        <f t="shared" ref="F54:M57" si="5">F46*(1-F15)+(F50)*F15</f>
        <v>5.3243800000000001E-2</v>
      </c>
      <c r="G54" s="41">
        <f t="shared" si="5"/>
        <v>5.2417800000000001E-2</v>
      </c>
      <c r="H54" s="42">
        <f t="shared" si="5"/>
        <v>5.3243800000000001E-2</v>
      </c>
      <c r="I54" s="42">
        <f t="shared" si="5"/>
        <v>4.8131199999999999E-2</v>
      </c>
      <c r="J54" s="42">
        <f t="shared" si="5"/>
        <v>4.9663200000000005E-2</v>
      </c>
      <c r="K54" s="42">
        <f t="shared" si="5"/>
        <v>5.28338E-2</v>
      </c>
      <c r="L54" s="42">
        <f t="shared" si="5"/>
        <v>5.3243800000000001E-2</v>
      </c>
      <c r="M54" s="143">
        <f t="shared" si="5"/>
        <v>4.2520000000000002E-2</v>
      </c>
      <c r="N54" s="63"/>
    </row>
    <row r="55" spans="2:14" x14ac:dyDescent="0.2">
      <c r="B55" s="177"/>
      <c r="C55" s="178"/>
      <c r="D55" s="2" t="s">
        <v>7</v>
      </c>
      <c r="E55" s="11" t="s">
        <v>27</v>
      </c>
      <c r="F55" s="122">
        <f t="shared" si="5"/>
        <v>5.3243800000000001E-2</v>
      </c>
      <c r="G55" s="3">
        <f t="shared" si="5"/>
        <v>5.2417800000000001E-2</v>
      </c>
      <c r="H55" s="17">
        <f t="shared" si="5"/>
        <v>5.3243800000000001E-2</v>
      </c>
      <c r="I55" s="17">
        <f t="shared" si="5"/>
        <v>4.8131199999999999E-2</v>
      </c>
      <c r="J55" s="17">
        <f t="shared" si="5"/>
        <v>4.9663200000000005E-2</v>
      </c>
      <c r="K55" s="17">
        <f t="shared" si="5"/>
        <v>5.28338E-2</v>
      </c>
      <c r="L55" s="17">
        <f t="shared" si="5"/>
        <v>5.3243800000000001E-2</v>
      </c>
      <c r="M55" s="144">
        <f t="shared" si="5"/>
        <v>4.2520000000000002E-2</v>
      </c>
      <c r="N55" s="64"/>
    </row>
    <row r="56" spans="2:14" x14ac:dyDescent="0.2">
      <c r="B56" s="177"/>
      <c r="C56" s="178"/>
      <c r="D56" s="2" t="s">
        <v>26</v>
      </c>
      <c r="E56" s="11" t="s">
        <v>27</v>
      </c>
      <c r="F56" s="122">
        <f t="shared" si="5"/>
        <v>5.3243800000000001E-2</v>
      </c>
      <c r="G56" s="3">
        <f t="shared" si="5"/>
        <v>5.3243800000000001E-2</v>
      </c>
      <c r="H56" s="17">
        <f t="shared" si="5"/>
        <v>5.3243800000000001E-2</v>
      </c>
      <c r="I56" s="17">
        <f t="shared" si="5"/>
        <v>5.3088799999999998E-2</v>
      </c>
      <c r="J56" s="17">
        <f t="shared" si="5"/>
        <v>6.0256799999999999E-2</v>
      </c>
      <c r="K56" s="17">
        <f t="shared" si="5"/>
        <v>5.28338E-2</v>
      </c>
      <c r="L56" s="17">
        <f t="shared" si="5"/>
        <v>5.3243800000000001E-2</v>
      </c>
      <c r="M56" s="144">
        <f t="shared" si="5"/>
        <v>4.2520000000000002E-2</v>
      </c>
      <c r="N56" s="64"/>
    </row>
    <row r="57" spans="2:14" x14ac:dyDescent="0.2">
      <c r="B57" s="177"/>
      <c r="C57" s="178"/>
      <c r="D57" s="2" t="s">
        <v>8</v>
      </c>
      <c r="E57" s="11" t="s">
        <v>27</v>
      </c>
      <c r="F57" s="122">
        <f t="shared" si="5"/>
        <v>5.3243800000000001E-2</v>
      </c>
      <c r="G57" s="43">
        <f t="shared" si="5"/>
        <v>5.3243800000000001E-2</v>
      </c>
      <c r="H57" s="44">
        <f t="shared" si="5"/>
        <v>5.3243800000000001E-2</v>
      </c>
      <c r="I57" s="44">
        <f t="shared" si="5"/>
        <v>5.3088799999999998E-2</v>
      </c>
      <c r="J57" s="44">
        <f t="shared" si="5"/>
        <v>6.0256799999999999E-2</v>
      </c>
      <c r="K57" s="44">
        <f t="shared" si="5"/>
        <v>5.28338E-2</v>
      </c>
      <c r="L57" s="44">
        <f t="shared" si="5"/>
        <v>5.3243800000000001E-2</v>
      </c>
      <c r="M57" s="145">
        <f t="shared" si="5"/>
        <v>4.2520000000000002E-2</v>
      </c>
      <c r="N57" s="64"/>
    </row>
    <row r="58" spans="2:14" x14ac:dyDescent="0.2">
      <c r="B58" s="175" t="s">
        <v>44</v>
      </c>
      <c r="C58" s="176"/>
      <c r="D58" s="26" t="s">
        <v>3</v>
      </c>
      <c r="E58" s="26"/>
      <c r="F58" s="63">
        <f t="shared" ref="F58:M61" si="6">ROUND(SQRT((F$33^2)*(F27^2)+(F$32^2)*(F27^2)+(F23^2)*(F$33^2)+((F11^2)*(F7^2)+(F7^2)*(F19^2)+(F15^2)*(F11^2))),4)</f>
        <v>1.1299999999999999E-2</v>
      </c>
      <c r="G58" s="20">
        <f t="shared" si="6"/>
        <v>1.12E-2</v>
      </c>
      <c r="H58" s="20">
        <f t="shared" si="6"/>
        <v>1.1299999999999999E-2</v>
      </c>
      <c r="I58" s="20">
        <f t="shared" si="6"/>
        <v>8.6999999999999994E-3</v>
      </c>
      <c r="J58" s="20">
        <f t="shared" si="6"/>
        <v>7.1000000000000004E-3</v>
      </c>
      <c r="K58" s="20">
        <f t="shared" si="6"/>
        <v>1.1299999999999999E-2</v>
      </c>
      <c r="L58" s="20">
        <f t="shared" si="6"/>
        <v>1.1299999999999999E-2</v>
      </c>
      <c r="M58" s="20">
        <f t="shared" si="6"/>
        <v>1.12E-2</v>
      </c>
      <c r="N58" s="63"/>
    </row>
    <row r="59" spans="2:14" x14ac:dyDescent="0.2">
      <c r="B59" s="177"/>
      <c r="C59" s="178"/>
      <c r="D59" s="2" t="s">
        <v>7</v>
      </c>
      <c r="E59" s="11"/>
      <c r="F59" s="64">
        <f t="shared" si="6"/>
        <v>1.1299999999999999E-2</v>
      </c>
      <c r="G59" s="2">
        <f t="shared" si="6"/>
        <v>1.12E-2</v>
      </c>
      <c r="H59" s="2">
        <f t="shared" si="6"/>
        <v>1.1299999999999999E-2</v>
      </c>
      <c r="I59" s="2">
        <f t="shared" si="6"/>
        <v>8.6999999999999994E-3</v>
      </c>
      <c r="J59" s="2">
        <f t="shared" si="6"/>
        <v>7.1000000000000004E-3</v>
      </c>
      <c r="K59" s="2">
        <f t="shared" si="6"/>
        <v>1.1299999999999999E-2</v>
      </c>
      <c r="L59" s="2">
        <f t="shared" si="6"/>
        <v>1.1299999999999999E-2</v>
      </c>
      <c r="M59" s="2">
        <f t="shared" si="6"/>
        <v>1.12E-2</v>
      </c>
      <c r="N59" s="64"/>
    </row>
    <row r="60" spans="2:14" x14ac:dyDescent="0.2">
      <c r="B60" s="177"/>
      <c r="C60" s="178"/>
      <c r="D60" s="2" t="s">
        <v>26</v>
      </c>
      <c r="E60" s="11"/>
      <c r="F60" s="64">
        <f t="shared" si="6"/>
        <v>1.1299999999999999E-2</v>
      </c>
      <c r="G60" s="2">
        <f t="shared" si="6"/>
        <v>1.1299999999999999E-2</v>
      </c>
      <c r="H60" s="2">
        <f t="shared" si="6"/>
        <v>1.1299999999999999E-2</v>
      </c>
      <c r="I60" s="2">
        <f t="shared" si="6"/>
        <v>1.2E-2</v>
      </c>
      <c r="J60" s="2">
        <f t="shared" si="6"/>
        <v>1.46E-2</v>
      </c>
      <c r="K60" s="2">
        <f t="shared" si="6"/>
        <v>1.1299999999999999E-2</v>
      </c>
      <c r="L60" s="2">
        <f t="shared" si="6"/>
        <v>1.1299999999999999E-2</v>
      </c>
      <c r="M60" s="2">
        <f t="shared" si="6"/>
        <v>1.12E-2</v>
      </c>
      <c r="N60" s="64"/>
    </row>
    <row r="61" spans="2:14" x14ac:dyDescent="0.2">
      <c r="B61" s="177"/>
      <c r="C61" s="178"/>
      <c r="D61" s="2" t="s">
        <v>8</v>
      </c>
      <c r="E61" s="11"/>
      <c r="F61" s="64">
        <f t="shared" si="6"/>
        <v>1.1299999999999999E-2</v>
      </c>
      <c r="G61" s="2">
        <f t="shared" si="6"/>
        <v>1.1299999999999999E-2</v>
      </c>
      <c r="H61" s="2">
        <f t="shared" si="6"/>
        <v>1.1299999999999999E-2</v>
      </c>
      <c r="I61" s="2">
        <f t="shared" si="6"/>
        <v>1.2E-2</v>
      </c>
      <c r="J61" s="2">
        <f t="shared" si="6"/>
        <v>1.46E-2</v>
      </c>
      <c r="K61" s="2">
        <f t="shared" si="6"/>
        <v>1.1299999999999999E-2</v>
      </c>
      <c r="L61" s="2">
        <f t="shared" si="6"/>
        <v>1.1299999999999999E-2</v>
      </c>
      <c r="M61" s="2">
        <f t="shared" si="6"/>
        <v>1.12E-2</v>
      </c>
      <c r="N61" s="64"/>
    </row>
    <row r="62" spans="2:14" x14ac:dyDescent="0.2">
      <c r="B62" s="175" t="s">
        <v>54</v>
      </c>
      <c r="C62" s="176"/>
      <c r="D62" s="26" t="s">
        <v>3</v>
      </c>
      <c r="E62" s="26" t="s">
        <v>27</v>
      </c>
      <c r="F62" s="121">
        <f t="shared" ref="F62:M65" si="7">F54+F58*ROUND(_xlfn.T.INV((F$40/100),10000000000),3)</f>
        <v>5.8215799999999998E-2</v>
      </c>
      <c r="G62" s="42">
        <f t="shared" si="7"/>
        <v>5.7345800000000002E-2</v>
      </c>
      <c r="H62" s="42">
        <f t="shared" si="7"/>
        <v>5.7899400000000004E-2</v>
      </c>
      <c r="I62" s="42">
        <f t="shared" si="7"/>
        <v>5.1959199999999997E-2</v>
      </c>
      <c r="J62" s="42">
        <f t="shared" si="7"/>
        <v>5.2787200000000006E-2</v>
      </c>
      <c r="K62" s="42">
        <f t="shared" si="7"/>
        <v>5.7805799999999997E-2</v>
      </c>
      <c r="L62" s="42">
        <f t="shared" si="7"/>
        <v>5.3243800000000001E-2</v>
      </c>
      <c r="M62" s="42">
        <f t="shared" si="7"/>
        <v>4.7448000000000004E-2</v>
      </c>
      <c r="N62" s="63"/>
    </row>
    <row r="63" spans="2:14" x14ac:dyDescent="0.2">
      <c r="B63" s="177"/>
      <c r="C63" s="178"/>
      <c r="D63" s="2" t="s">
        <v>7</v>
      </c>
      <c r="E63" s="11" t="s">
        <v>27</v>
      </c>
      <c r="F63" s="122">
        <f t="shared" si="7"/>
        <v>5.8215799999999998E-2</v>
      </c>
      <c r="G63" s="17">
        <f t="shared" si="7"/>
        <v>5.7345800000000002E-2</v>
      </c>
      <c r="H63" s="17">
        <f t="shared" si="7"/>
        <v>5.7899400000000004E-2</v>
      </c>
      <c r="I63" s="17">
        <f t="shared" si="7"/>
        <v>5.1959199999999997E-2</v>
      </c>
      <c r="J63" s="17">
        <f t="shared" si="7"/>
        <v>5.2787200000000006E-2</v>
      </c>
      <c r="K63" s="17">
        <f t="shared" si="7"/>
        <v>5.7805799999999997E-2</v>
      </c>
      <c r="L63" s="17">
        <f t="shared" si="7"/>
        <v>5.3243800000000001E-2</v>
      </c>
      <c r="M63" s="17">
        <f t="shared" si="7"/>
        <v>4.7448000000000004E-2</v>
      </c>
      <c r="N63" s="64"/>
    </row>
    <row r="64" spans="2:14" x14ac:dyDescent="0.2">
      <c r="B64" s="177"/>
      <c r="C64" s="178"/>
      <c r="D64" s="2" t="s">
        <v>26</v>
      </c>
      <c r="E64" s="11" t="s">
        <v>27</v>
      </c>
      <c r="F64" s="122">
        <f t="shared" si="7"/>
        <v>5.8215799999999998E-2</v>
      </c>
      <c r="G64" s="17">
        <f t="shared" si="7"/>
        <v>5.8215799999999998E-2</v>
      </c>
      <c r="H64" s="17">
        <f t="shared" si="7"/>
        <v>5.7899400000000004E-2</v>
      </c>
      <c r="I64" s="17">
        <f t="shared" si="7"/>
        <v>5.8368799999999998E-2</v>
      </c>
      <c r="J64" s="17">
        <f t="shared" si="7"/>
        <v>6.6680799999999998E-2</v>
      </c>
      <c r="K64" s="17">
        <f t="shared" si="7"/>
        <v>5.7805799999999997E-2</v>
      </c>
      <c r="L64" s="17">
        <f t="shared" si="7"/>
        <v>5.3243800000000001E-2</v>
      </c>
      <c r="M64" s="17">
        <f t="shared" si="7"/>
        <v>4.7448000000000004E-2</v>
      </c>
      <c r="N64" s="64"/>
    </row>
    <row r="65" spans="2:14" x14ac:dyDescent="0.2">
      <c r="B65" s="177"/>
      <c r="C65" s="178"/>
      <c r="D65" s="2" t="s">
        <v>8</v>
      </c>
      <c r="E65" s="11" t="s">
        <v>27</v>
      </c>
      <c r="F65" s="146">
        <f t="shared" si="7"/>
        <v>5.8215799999999998E-2</v>
      </c>
      <c r="G65" s="44">
        <f t="shared" si="7"/>
        <v>5.8215799999999998E-2</v>
      </c>
      <c r="H65" s="44">
        <f t="shared" si="7"/>
        <v>5.7899400000000004E-2</v>
      </c>
      <c r="I65" s="44">
        <f t="shared" si="7"/>
        <v>5.8368799999999998E-2</v>
      </c>
      <c r="J65" s="44">
        <f t="shared" si="7"/>
        <v>6.6680799999999998E-2</v>
      </c>
      <c r="K65" s="44">
        <f t="shared" si="7"/>
        <v>5.7805799999999997E-2</v>
      </c>
      <c r="L65" s="44">
        <f t="shared" si="7"/>
        <v>5.3243800000000001E-2</v>
      </c>
      <c r="M65" s="44">
        <f t="shared" si="7"/>
        <v>4.7448000000000004E-2</v>
      </c>
      <c r="N65" s="65"/>
    </row>
    <row r="66" spans="2:14" x14ac:dyDescent="0.2">
      <c r="B66" s="175" t="s">
        <v>28</v>
      </c>
      <c r="C66" s="176"/>
      <c r="D66" s="26" t="s">
        <v>3</v>
      </c>
      <c r="E66" s="26" t="s">
        <v>27</v>
      </c>
      <c r="F66" s="122">
        <f t="shared" ref="F66:M69" si="8">F46*(1-F15)+(F50)*(1-F$34)*F15</f>
        <v>4.8135200000000003E-2</v>
      </c>
      <c r="G66" s="17">
        <f t="shared" si="8"/>
        <v>4.7309200000000003E-2</v>
      </c>
      <c r="H66" s="17">
        <f t="shared" si="8"/>
        <v>4.8135200000000003E-2</v>
      </c>
      <c r="I66" s="17">
        <f t="shared" si="8"/>
        <v>4.2025800000000002E-2</v>
      </c>
      <c r="J66" s="17">
        <f t="shared" si="8"/>
        <v>4.4180800000000006E-2</v>
      </c>
      <c r="K66" s="17">
        <f t="shared" si="8"/>
        <v>4.7840000000000001E-2</v>
      </c>
      <c r="L66" s="17">
        <f t="shared" si="8"/>
        <v>4.8135200000000003E-2</v>
      </c>
      <c r="M66" s="17">
        <f t="shared" si="8"/>
        <v>4.2520000000000002E-2</v>
      </c>
      <c r="N66" s="64"/>
    </row>
    <row r="67" spans="2:14" x14ac:dyDescent="0.2">
      <c r="B67" s="177"/>
      <c r="C67" s="178"/>
      <c r="D67" s="2" t="s">
        <v>7</v>
      </c>
      <c r="E67" s="11" t="s">
        <v>27</v>
      </c>
      <c r="F67" s="122">
        <f t="shared" si="8"/>
        <v>4.8135200000000003E-2</v>
      </c>
      <c r="G67" s="17">
        <f t="shared" si="8"/>
        <v>4.7309200000000003E-2</v>
      </c>
      <c r="H67" s="17">
        <f t="shared" si="8"/>
        <v>4.8135200000000003E-2</v>
      </c>
      <c r="I67" s="17">
        <f t="shared" si="8"/>
        <v>4.2025800000000002E-2</v>
      </c>
      <c r="J67" s="17">
        <f t="shared" si="8"/>
        <v>4.4180800000000006E-2</v>
      </c>
      <c r="K67" s="17">
        <f t="shared" si="8"/>
        <v>4.7840000000000001E-2</v>
      </c>
      <c r="L67" s="17">
        <f t="shared" si="8"/>
        <v>4.8135200000000003E-2</v>
      </c>
      <c r="M67" s="17">
        <f t="shared" si="8"/>
        <v>4.2520000000000002E-2</v>
      </c>
      <c r="N67" s="64"/>
    </row>
    <row r="68" spans="2:14" x14ac:dyDescent="0.2">
      <c r="B68" s="177"/>
      <c r="C68" s="178"/>
      <c r="D68" s="2" t="s">
        <v>26</v>
      </c>
      <c r="E68" s="11" t="s">
        <v>27</v>
      </c>
      <c r="F68" s="122">
        <f t="shared" si="8"/>
        <v>4.8135200000000003E-2</v>
      </c>
      <c r="G68" s="17">
        <f t="shared" si="8"/>
        <v>4.8135200000000003E-2</v>
      </c>
      <c r="H68" s="17">
        <f t="shared" si="8"/>
        <v>4.8135200000000003E-2</v>
      </c>
      <c r="I68" s="17">
        <f t="shared" si="8"/>
        <v>4.8603199999999999E-2</v>
      </c>
      <c r="J68" s="17">
        <f t="shared" si="8"/>
        <v>5.57712E-2</v>
      </c>
      <c r="K68" s="17">
        <f t="shared" si="8"/>
        <v>4.7840000000000001E-2</v>
      </c>
      <c r="L68" s="17">
        <f t="shared" si="8"/>
        <v>4.8135200000000003E-2</v>
      </c>
      <c r="M68" s="17">
        <f t="shared" si="8"/>
        <v>4.2520000000000002E-2</v>
      </c>
      <c r="N68" s="64"/>
    </row>
    <row r="69" spans="2:14" x14ac:dyDescent="0.2">
      <c r="B69" s="177"/>
      <c r="C69" s="178"/>
      <c r="D69" s="2" t="s">
        <v>8</v>
      </c>
      <c r="E69" s="11" t="s">
        <v>27</v>
      </c>
      <c r="F69" s="122">
        <f t="shared" si="8"/>
        <v>4.8135200000000003E-2</v>
      </c>
      <c r="G69" s="17">
        <f t="shared" si="8"/>
        <v>4.8135200000000003E-2</v>
      </c>
      <c r="H69" s="17">
        <f t="shared" si="8"/>
        <v>4.8135200000000003E-2</v>
      </c>
      <c r="I69" s="17">
        <f t="shared" si="8"/>
        <v>4.8603199999999999E-2</v>
      </c>
      <c r="J69" s="17">
        <f t="shared" si="8"/>
        <v>5.57712E-2</v>
      </c>
      <c r="K69" s="17">
        <f t="shared" si="8"/>
        <v>4.7840000000000001E-2</v>
      </c>
      <c r="L69" s="17">
        <f t="shared" si="8"/>
        <v>4.8135200000000003E-2</v>
      </c>
      <c r="M69" s="17">
        <f t="shared" si="8"/>
        <v>4.2520000000000002E-2</v>
      </c>
      <c r="N69" s="64"/>
    </row>
    <row r="70" spans="2:14" x14ac:dyDescent="0.2">
      <c r="B70" s="175" t="s">
        <v>29</v>
      </c>
      <c r="C70" s="176"/>
      <c r="D70" s="26" t="s">
        <v>3</v>
      </c>
      <c r="E70" s="20"/>
      <c r="F70" s="63">
        <f t="shared" ref="F70:M73" si="9">ROUND(SQRT((F$33^2)*(F27^2)+(F$32^2)*(F27^2)+(F23^2)*(F$33^2)+((1-F$34)^2)*((F11^2)*(F19^2)+(F7^2)*(F19^2)+(F15^2)*(F11^2))),4)</f>
        <v>1.1299999999999999E-2</v>
      </c>
      <c r="G70" s="20">
        <f t="shared" si="9"/>
        <v>1.12E-2</v>
      </c>
      <c r="H70" s="20">
        <f t="shared" si="9"/>
        <v>1.1299999999999999E-2</v>
      </c>
      <c r="I70" s="20">
        <f t="shared" si="9"/>
        <v>8.6999999999999994E-3</v>
      </c>
      <c r="J70" s="20">
        <f t="shared" si="9"/>
        <v>7.1000000000000004E-3</v>
      </c>
      <c r="K70" s="20">
        <f t="shared" si="9"/>
        <v>1.1299999999999999E-2</v>
      </c>
      <c r="L70" s="20">
        <f t="shared" si="9"/>
        <v>1.1299999999999999E-2</v>
      </c>
      <c r="M70" s="20">
        <f t="shared" si="9"/>
        <v>1.12E-2</v>
      </c>
      <c r="N70" s="63"/>
    </row>
    <row r="71" spans="2:14" x14ac:dyDescent="0.2">
      <c r="B71" s="177"/>
      <c r="C71" s="178"/>
      <c r="D71" s="2" t="s">
        <v>7</v>
      </c>
      <c r="E71" s="2"/>
      <c r="F71" s="64">
        <f t="shared" si="9"/>
        <v>1.1299999999999999E-2</v>
      </c>
      <c r="G71" s="2">
        <f t="shared" si="9"/>
        <v>1.12E-2</v>
      </c>
      <c r="H71" s="2">
        <f t="shared" si="9"/>
        <v>1.1299999999999999E-2</v>
      </c>
      <c r="I71" s="2">
        <f t="shared" si="9"/>
        <v>8.6999999999999994E-3</v>
      </c>
      <c r="J71" s="2">
        <f t="shared" si="9"/>
        <v>7.1000000000000004E-3</v>
      </c>
      <c r="K71" s="2">
        <f t="shared" si="9"/>
        <v>1.1299999999999999E-2</v>
      </c>
      <c r="L71" s="2">
        <f t="shared" si="9"/>
        <v>1.1299999999999999E-2</v>
      </c>
      <c r="M71" s="2">
        <f t="shared" si="9"/>
        <v>1.12E-2</v>
      </c>
      <c r="N71" s="64"/>
    </row>
    <row r="72" spans="2:14" x14ac:dyDescent="0.2">
      <c r="B72" s="177"/>
      <c r="C72" s="178"/>
      <c r="D72" s="2" t="s">
        <v>26</v>
      </c>
      <c r="E72" s="2"/>
      <c r="F72" s="64">
        <f t="shared" si="9"/>
        <v>1.1299999999999999E-2</v>
      </c>
      <c r="G72" s="2">
        <f t="shared" si="9"/>
        <v>1.1299999999999999E-2</v>
      </c>
      <c r="H72" s="2">
        <f t="shared" si="9"/>
        <v>1.1299999999999999E-2</v>
      </c>
      <c r="I72" s="2">
        <f t="shared" si="9"/>
        <v>1.2E-2</v>
      </c>
      <c r="J72" s="2">
        <f t="shared" si="9"/>
        <v>1.46E-2</v>
      </c>
      <c r="K72" s="2">
        <f t="shared" si="9"/>
        <v>1.1299999999999999E-2</v>
      </c>
      <c r="L72" s="2">
        <f t="shared" si="9"/>
        <v>1.1299999999999999E-2</v>
      </c>
      <c r="M72" s="2">
        <f t="shared" si="9"/>
        <v>1.12E-2</v>
      </c>
      <c r="N72" s="64"/>
    </row>
    <row r="73" spans="2:14" x14ac:dyDescent="0.2">
      <c r="B73" s="177"/>
      <c r="C73" s="178"/>
      <c r="D73" s="2" t="s">
        <v>8</v>
      </c>
      <c r="E73" s="2"/>
      <c r="F73" s="64">
        <f t="shared" si="9"/>
        <v>1.1299999999999999E-2</v>
      </c>
      <c r="G73" s="2">
        <f t="shared" si="9"/>
        <v>1.1299999999999999E-2</v>
      </c>
      <c r="H73" s="2">
        <f t="shared" si="9"/>
        <v>1.1299999999999999E-2</v>
      </c>
      <c r="I73" s="2">
        <f t="shared" si="9"/>
        <v>1.2E-2</v>
      </c>
      <c r="J73" s="2">
        <f t="shared" si="9"/>
        <v>1.46E-2</v>
      </c>
      <c r="K73" s="2">
        <f t="shared" si="9"/>
        <v>1.1299999999999999E-2</v>
      </c>
      <c r="L73" s="2">
        <f t="shared" si="9"/>
        <v>1.1299999999999999E-2</v>
      </c>
      <c r="M73" s="2">
        <f t="shared" si="9"/>
        <v>1.12E-2</v>
      </c>
      <c r="N73" s="64"/>
    </row>
    <row r="74" spans="2:14" x14ac:dyDescent="0.2">
      <c r="B74" s="175" t="s">
        <v>55</v>
      </c>
      <c r="C74" s="176"/>
      <c r="D74" s="26" t="s">
        <v>3</v>
      </c>
      <c r="E74" s="26" t="s">
        <v>27</v>
      </c>
      <c r="F74" s="121">
        <f t="shared" ref="F74:M77" si="10">F66+F70*ROUND(_xlfn.T.INV((F$40/100),10000000000),3)</f>
        <v>5.31072E-2</v>
      </c>
      <c r="G74" s="42">
        <f t="shared" si="10"/>
        <v>5.2237200000000004E-2</v>
      </c>
      <c r="H74" s="42">
        <f t="shared" si="10"/>
        <v>5.2790799999999999E-2</v>
      </c>
      <c r="I74" s="42">
        <f t="shared" si="10"/>
        <v>4.58538E-2</v>
      </c>
      <c r="J74" s="42">
        <f t="shared" si="10"/>
        <v>4.7304800000000008E-2</v>
      </c>
      <c r="K74" s="42">
        <f t="shared" si="10"/>
        <v>5.2811999999999998E-2</v>
      </c>
      <c r="L74" s="42">
        <f t="shared" si="10"/>
        <v>4.8135200000000003E-2</v>
      </c>
      <c r="M74" s="42">
        <f t="shared" si="10"/>
        <v>4.7448000000000004E-2</v>
      </c>
      <c r="N74" s="63"/>
    </row>
    <row r="75" spans="2:14" x14ac:dyDescent="0.2">
      <c r="B75" s="177"/>
      <c r="C75" s="178"/>
      <c r="D75" s="2" t="s">
        <v>7</v>
      </c>
      <c r="E75" s="11" t="s">
        <v>27</v>
      </c>
      <c r="F75" s="122">
        <f t="shared" si="10"/>
        <v>5.31072E-2</v>
      </c>
      <c r="G75" s="17">
        <f t="shared" si="10"/>
        <v>5.2237200000000004E-2</v>
      </c>
      <c r="H75" s="17">
        <f t="shared" si="10"/>
        <v>5.2790799999999999E-2</v>
      </c>
      <c r="I75" s="17">
        <f t="shared" si="10"/>
        <v>4.58538E-2</v>
      </c>
      <c r="J75" s="17">
        <f t="shared" si="10"/>
        <v>4.7304800000000008E-2</v>
      </c>
      <c r="K75" s="17">
        <f t="shared" si="10"/>
        <v>5.2811999999999998E-2</v>
      </c>
      <c r="L75" s="17">
        <f t="shared" si="10"/>
        <v>4.8135200000000003E-2</v>
      </c>
      <c r="M75" s="17">
        <f t="shared" si="10"/>
        <v>4.7448000000000004E-2</v>
      </c>
      <c r="N75" s="64"/>
    </row>
    <row r="76" spans="2:14" x14ac:dyDescent="0.2">
      <c r="B76" s="177"/>
      <c r="C76" s="178"/>
      <c r="D76" s="2" t="s">
        <v>26</v>
      </c>
      <c r="E76" s="11" t="s">
        <v>27</v>
      </c>
      <c r="F76" s="122">
        <f t="shared" si="10"/>
        <v>5.31072E-2</v>
      </c>
      <c r="G76" s="17">
        <f t="shared" si="10"/>
        <v>5.31072E-2</v>
      </c>
      <c r="H76" s="17">
        <f t="shared" si="10"/>
        <v>5.2790799999999999E-2</v>
      </c>
      <c r="I76" s="17">
        <f t="shared" si="10"/>
        <v>5.3883199999999999E-2</v>
      </c>
      <c r="J76" s="17">
        <f t="shared" si="10"/>
        <v>6.2195199999999999E-2</v>
      </c>
      <c r="K76" s="17">
        <f t="shared" si="10"/>
        <v>5.2811999999999998E-2</v>
      </c>
      <c r="L76" s="17">
        <f t="shared" si="10"/>
        <v>4.8135200000000003E-2</v>
      </c>
      <c r="M76" s="17">
        <f t="shared" si="10"/>
        <v>4.7448000000000004E-2</v>
      </c>
      <c r="N76" s="64"/>
    </row>
    <row r="77" spans="2:14" x14ac:dyDescent="0.2">
      <c r="B77" s="177"/>
      <c r="C77" s="178"/>
      <c r="D77" s="2" t="s">
        <v>8</v>
      </c>
      <c r="E77" s="11" t="s">
        <v>27</v>
      </c>
      <c r="F77" s="122">
        <f t="shared" si="10"/>
        <v>5.31072E-2</v>
      </c>
      <c r="G77" s="17">
        <f t="shared" si="10"/>
        <v>5.31072E-2</v>
      </c>
      <c r="H77" s="17">
        <f t="shared" si="10"/>
        <v>5.2790799999999999E-2</v>
      </c>
      <c r="I77" s="17">
        <f t="shared" si="10"/>
        <v>5.3883199999999999E-2</v>
      </c>
      <c r="J77" s="17">
        <f t="shared" si="10"/>
        <v>6.2195199999999999E-2</v>
      </c>
      <c r="K77" s="17">
        <f t="shared" si="10"/>
        <v>5.2811999999999998E-2</v>
      </c>
      <c r="L77" s="17">
        <f t="shared" si="10"/>
        <v>4.8135200000000003E-2</v>
      </c>
      <c r="M77" s="17">
        <f t="shared" si="10"/>
        <v>4.7448000000000004E-2</v>
      </c>
      <c r="N77" s="64"/>
    </row>
    <row r="78" spans="2:14" ht="15" x14ac:dyDescent="0.25">
      <c r="B78" s="181" t="s">
        <v>4</v>
      </c>
      <c r="C78" s="182"/>
      <c r="D78" s="11" t="s">
        <v>3</v>
      </c>
      <c r="E78" s="11" t="s">
        <v>5</v>
      </c>
      <c r="F78" s="123">
        <v>4608.8</v>
      </c>
      <c r="G78" s="48">
        <f t="shared" ref="G78:M81" si="11">$F78</f>
        <v>4608.8</v>
      </c>
      <c r="H78" s="48">
        <f t="shared" si="11"/>
        <v>4608.8</v>
      </c>
      <c r="I78" s="48">
        <f t="shared" si="11"/>
        <v>4608.8</v>
      </c>
      <c r="J78" s="48">
        <f t="shared" si="11"/>
        <v>4608.8</v>
      </c>
      <c r="K78" s="48">
        <f t="shared" si="11"/>
        <v>4608.8</v>
      </c>
      <c r="L78" s="48">
        <f t="shared" si="11"/>
        <v>4608.8</v>
      </c>
      <c r="M78" s="48">
        <f t="shared" si="11"/>
        <v>4608.8</v>
      </c>
      <c r="N78" s="147">
        <f>N40+1</f>
        <v>5</v>
      </c>
    </row>
    <row r="79" spans="2:14" ht="15" x14ac:dyDescent="0.25">
      <c r="B79" s="183"/>
      <c r="C79" s="184"/>
      <c r="D79" s="2" t="s">
        <v>7</v>
      </c>
      <c r="E79" s="11" t="s">
        <v>5</v>
      </c>
      <c r="F79" s="124">
        <v>10252.739</v>
      </c>
      <c r="G79" s="47">
        <f t="shared" si="11"/>
        <v>10252.739</v>
      </c>
      <c r="H79" s="47">
        <f t="shared" si="11"/>
        <v>10252.739</v>
      </c>
      <c r="I79" s="47">
        <f t="shared" si="11"/>
        <v>10252.739</v>
      </c>
      <c r="J79" s="47">
        <f t="shared" si="11"/>
        <v>10252.739</v>
      </c>
      <c r="K79" s="47">
        <f t="shared" si="11"/>
        <v>10252.739</v>
      </c>
      <c r="L79" s="47">
        <f t="shared" si="11"/>
        <v>10252.739</v>
      </c>
      <c r="M79" s="47">
        <f t="shared" si="11"/>
        <v>10252.739</v>
      </c>
      <c r="N79" s="106">
        <f>N78+1</f>
        <v>6</v>
      </c>
    </row>
    <row r="80" spans="2:14" ht="15" x14ac:dyDescent="0.25">
      <c r="B80" s="183"/>
      <c r="C80" s="184"/>
      <c r="D80" s="2" t="s">
        <v>26</v>
      </c>
      <c r="E80" s="11" t="s">
        <v>5</v>
      </c>
      <c r="F80" s="57">
        <f>E132</f>
        <v>787.20299999999997</v>
      </c>
      <c r="G80" s="47">
        <f t="shared" si="11"/>
        <v>787.20299999999997</v>
      </c>
      <c r="H80" s="47">
        <f t="shared" si="11"/>
        <v>787.20299999999997</v>
      </c>
      <c r="I80" s="47">
        <f t="shared" si="11"/>
        <v>787.20299999999997</v>
      </c>
      <c r="J80" s="47">
        <f t="shared" si="11"/>
        <v>787.20299999999997</v>
      </c>
      <c r="K80" s="47">
        <f t="shared" si="11"/>
        <v>787.20299999999997</v>
      </c>
      <c r="L80" s="47">
        <f t="shared" si="11"/>
        <v>787.20299999999997</v>
      </c>
      <c r="M80" s="47">
        <f t="shared" si="11"/>
        <v>787.20299999999997</v>
      </c>
      <c r="N80" s="106">
        <f>N79+1</f>
        <v>7</v>
      </c>
    </row>
    <row r="81" spans="2:14" ht="15" x14ac:dyDescent="0.25">
      <c r="B81" s="183"/>
      <c r="C81" s="184"/>
      <c r="D81" s="2" t="s">
        <v>8</v>
      </c>
      <c r="E81" s="11" t="s">
        <v>5</v>
      </c>
      <c r="F81" s="57">
        <f>E141</f>
        <v>833.55947113531693</v>
      </c>
      <c r="G81" s="47">
        <f t="shared" si="11"/>
        <v>833.55947113531693</v>
      </c>
      <c r="H81" s="47">
        <f t="shared" si="11"/>
        <v>833.55947113531693</v>
      </c>
      <c r="I81" s="47">
        <f t="shared" si="11"/>
        <v>833.55947113531693</v>
      </c>
      <c r="J81" s="47">
        <f t="shared" si="11"/>
        <v>833.55947113531693</v>
      </c>
      <c r="K81" s="47">
        <f t="shared" si="11"/>
        <v>833.55947113531693</v>
      </c>
      <c r="L81" s="47">
        <f t="shared" si="11"/>
        <v>833.55947113531693</v>
      </c>
      <c r="M81" s="47">
        <f t="shared" si="11"/>
        <v>833.55947113531693</v>
      </c>
      <c r="N81" s="148">
        <f>N80+1</f>
        <v>8</v>
      </c>
    </row>
    <row r="82" spans="2:14" x14ac:dyDescent="0.2">
      <c r="B82" s="185"/>
      <c r="C82" s="186"/>
      <c r="D82" s="23" t="s">
        <v>6</v>
      </c>
      <c r="E82" s="23" t="s">
        <v>5</v>
      </c>
      <c r="F82" s="125">
        <f t="shared" ref="F82:M82" si="12">SUM(F78:F81)</f>
        <v>16482.301471135317</v>
      </c>
      <c r="G82" s="62">
        <f t="shared" si="12"/>
        <v>16482.301471135317</v>
      </c>
      <c r="H82" s="62">
        <f t="shared" si="12"/>
        <v>16482.301471135317</v>
      </c>
      <c r="I82" s="62">
        <f t="shared" si="12"/>
        <v>16482.301471135317</v>
      </c>
      <c r="J82" s="62">
        <f t="shared" si="12"/>
        <v>16482.301471135317</v>
      </c>
      <c r="K82" s="62">
        <f t="shared" si="12"/>
        <v>16482.301471135317</v>
      </c>
      <c r="L82" s="62">
        <f t="shared" si="12"/>
        <v>16482.301471135317</v>
      </c>
      <c r="M82" s="62">
        <f t="shared" si="12"/>
        <v>16482.301471135317</v>
      </c>
      <c r="N82" s="64"/>
    </row>
    <row r="83" spans="2:14" x14ac:dyDescent="0.2">
      <c r="B83" s="181" t="s">
        <v>71</v>
      </c>
      <c r="C83" s="182"/>
      <c r="D83" s="11" t="s">
        <v>3</v>
      </c>
      <c r="E83" s="11" t="s">
        <v>9</v>
      </c>
      <c r="F83" s="126">
        <f t="shared" ref="F83:M86" si="13">(F78*F74)/(1-F$34)</f>
        <v>339.94508800000006</v>
      </c>
      <c r="G83" s="18">
        <f t="shared" si="13"/>
        <v>334.3761213333334</v>
      </c>
      <c r="H83" s="18">
        <f t="shared" si="13"/>
        <v>337.91977644444449</v>
      </c>
      <c r="I83" s="18">
        <f t="shared" si="13"/>
        <v>293.51526866666671</v>
      </c>
      <c r="J83" s="18">
        <f t="shared" si="13"/>
        <v>302.80328088888893</v>
      </c>
      <c r="K83" s="18">
        <f t="shared" si="13"/>
        <v>338.05547999999999</v>
      </c>
      <c r="L83" s="18">
        <f t="shared" si="13"/>
        <v>308.11876355555563</v>
      </c>
      <c r="M83" s="18">
        <f t="shared" si="13"/>
        <v>303.71992000000006</v>
      </c>
      <c r="N83" s="64"/>
    </row>
    <row r="84" spans="2:14" x14ac:dyDescent="0.2">
      <c r="B84" s="183"/>
      <c r="C84" s="184"/>
      <c r="D84" s="2" t="s">
        <v>7</v>
      </c>
      <c r="E84" s="11" t="s">
        <v>9</v>
      </c>
      <c r="F84" s="126">
        <f t="shared" si="13"/>
        <v>756.24202864000006</v>
      </c>
      <c r="G84" s="18">
        <f t="shared" si="13"/>
        <v>743.85330234833339</v>
      </c>
      <c r="H84" s="18">
        <f t="shared" si="13"/>
        <v>751.73651944611117</v>
      </c>
      <c r="I84" s="18">
        <f t="shared" si="13"/>
        <v>652.9542271641667</v>
      </c>
      <c r="J84" s="18">
        <f t="shared" si="13"/>
        <v>673.61634423222233</v>
      </c>
      <c r="K84" s="18">
        <f t="shared" si="13"/>
        <v>752.03840565000007</v>
      </c>
      <c r="L84" s="18">
        <f t="shared" si="13"/>
        <v>685.44116987888901</v>
      </c>
      <c r="M84" s="18">
        <f t="shared" si="13"/>
        <v>675.65550010000004</v>
      </c>
      <c r="N84" s="64"/>
    </row>
    <row r="85" spans="2:14" x14ac:dyDescent="0.2">
      <c r="B85" s="183"/>
      <c r="C85" s="184"/>
      <c r="D85" s="2" t="s">
        <v>26</v>
      </c>
      <c r="E85" s="11" t="s">
        <v>9</v>
      </c>
      <c r="F85" s="126">
        <f t="shared" si="13"/>
        <v>58.064093280000002</v>
      </c>
      <c r="G85" s="18">
        <f t="shared" si="13"/>
        <v>58.064093280000002</v>
      </c>
      <c r="H85" s="18">
        <f t="shared" si="13"/>
        <v>57.718161295000002</v>
      </c>
      <c r="I85" s="18">
        <f t="shared" si="13"/>
        <v>58.912523180000001</v>
      </c>
      <c r="J85" s="18">
        <f t="shared" si="13"/>
        <v>68.000344479999995</v>
      </c>
      <c r="K85" s="18">
        <f t="shared" si="13"/>
        <v>57.741340049999998</v>
      </c>
      <c r="L85" s="18">
        <f t="shared" si="13"/>
        <v>52.62801923</v>
      </c>
      <c r="M85" s="18">
        <f t="shared" si="13"/>
        <v>51.876677700000002</v>
      </c>
      <c r="N85" s="64"/>
    </row>
    <row r="86" spans="2:14" x14ac:dyDescent="0.2">
      <c r="B86" s="183"/>
      <c r="C86" s="184"/>
      <c r="D86" s="2" t="s">
        <v>8</v>
      </c>
      <c r="E86" s="11" t="s">
        <v>9</v>
      </c>
      <c r="F86" s="126">
        <f t="shared" si="13"/>
        <v>61.483346590940982</v>
      </c>
      <c r="G86" s="18">
        <f t="shared" si="13"/>
        <v>61.483346590940982</v>
      </c>
      <c r="H86" s="18">
        <f t="shared" si="13"/>
        <v>61.117043512236513</v>
      </c>
      <c r="I86" s="18">
        <f t="shared" si="13"/>
        <v>62.381738465386825</v>
      </c>
      <c r="J86" s="18">
        <f t="shared" si="13"/>
        <v>72.004719471048972</v>
      </c>
      <c r="K86" s="18">
        <f t="shared" si="13"/>
        <v>61.141587207775494</v>
      </c>
      <c r="L86" s="18">
        <f t="shared" si="13"/>
        <v>55.727155354156544</v>
      </c>
      <c r="M86" s="18">
        <f t="shared" si="13"/>
        <v>54.931569147817392</v>
      </c>
      <c r="N86" s="64"/>
    </row>
    <row r="87" spans="2:14" ht="15" x14ac:dyDescent="0.25">
      <c r="B87" s="185"/>
      <c r="C87" s="186"/>
      <c r="D87" s="23" t="s">
        <v>6</v>
      </c>
      <c r="E87" s="23" t="s">
        <v>9</v>
      </c>
      <c r="F87" s="125">
        <f t="shared" ref="F87:M87" si="14">SUM(F83:F86)</f>
        <v>1215.734556510941</v>
      </c>
      <c r="G87" s="62">
        <f t="shared" si="14"/>
        <v>1197.7768635526077</v>
      </c>
      <c r="H87" s="62">
        <f t="shared" si="14"/>
        <v>1208.4915006977922</v>
      </c>
      <c r="I87" s="62">
        <f t="shared" si="14"/>
        <v>1067.7637574762202</v>
      </c>
      <c r="J87" s="62">
        <f t="shared" si="14"/>
        <v>1116.4246890721602</v>
      </c>
      <c r="K87" s="62">
        <f t="shared" si="14"/>
        <v>1208.9768129077756</v>
      </c>
      <c r="L87" s="62">
        <f t="shared" si="14"/>
        <v>1101.9151080186014</v>
      </c>
      <c r="M87" s="62">
        <f t="shared" si="14"/>
        <v>1086.1836669478175</v>
      </c>
      <c r="N87" s="148">
        <f>N81+1</f>
        <v>9</v>
      </c>
    </row>
    <row r="88" spans="2:14" ht="12.75" customHeight="1" x14ac:dyDescent="0.2">
      <c r="B88" s="163" t="s">
        <v>72</v>
      </c>
      <c r="C88" s="164"/>
      <c r="D88" s="11" t="s">
        <v>3</v>
      </c>
      <c r="E88" s="11" t="s">
        <v>9</v>
      </c>
      <c r="F88" s="64"/>
      <c r="G88" s="18">
        <f t="shared" ref="G88:M91" si="15">G83-$F83</f>
        <v>-5.568966666666654</v>
      </c>
      <c r="H88" s="18">
        <f t="shared" si="15"/>
        <v>-2.025311555555561</v>
      </c>
      <c r="I88" s="18">
        <f t="shared" si="15"/>
        <v>-46.429819333333342</v>
      </c>
      <c r="J88" s="18">
        <f t="shared" si="15"/>
        <v>-37.14180711111112</v>
      </c>
      <c r="K88" s="18">
        <f t="shared" si="15"/>
        <v>-1.8896080000000666</v>
      </c>
      <c r="L88" s="18">
        <f t="shared" si="15"/>
        <v>-31.826324444444424</v>
      </c>
      <c r="M88" s="18">
        <f t="shared" si="15"/>
        <v>-36.225167999999996</v>
      </c>
      <c r="N88" s="63"/>
    </row>
    <row r="89" spans="2:14" x14ac:dyDescent="0.2">
      <c r="B89" s="165"/>
      <c r="C89" s="166"/>
      <c r="D89" s="2" t="s">
        <v>7</v>
      </c>
      <c r="E89" s="11" t="s">
        <v>9</v>
      </c>
      <c r="F89" s="64"/>
      <c r="G89" s="18">
        <f t="shared" si="15"/>
        <v>-12.388726291666671</v>
      </c>
      <c r="H89" s="18">
        <f t="shared" si="15"/>
        <v>-4.5055091938888836</v>
      </c>
      <c r="I89" s="18">
        <f t="shared" si="15"/>
        <v>-103.28780147583336</v>
      </c>
      <c r="J89" s="18">
        <f t="shared" si="15"/>
        <v>-82.625684407777726</v>
      </c>
      <c r="K89" s="18">
        <f t="shared" si="15"/>
        <v>-4.2036229899999853</v>
      </c>
      <c r="L89" s="18">
        <f t="shared" si="15"/>
        <v>-70.800858761111044</v>
      </c>
      <c r="M89" s="18">
        <f t="shared" si="15"/>
        <v>-80.586528540000018</v>
      </c>
      <c r="N89" s="64"/>
    </row>
    <row r="90" spans="2:14" x14ac:dyDescent="0.2">
      <c r="B90" s="165"/>
      <c r="C90" s="166"/>
      <c r="D90" s="2" t="s">
        <v>26</v>
      </c>
      <c r="E90" s="11" t="s">
        <v>9</v>
      </c>
      <c r="F90" s="64"/>
      <c r="G90" s="18">
        <f t="shared" si="15"/>
        <v>0</v>
      </c>
      <c r="H90" s="18">
        <f t="shared" si="15"/>
        <v>-0.345931985</v>
      </c>
      <c r="I90" s="18">
        <f t="shared" si="15"/>
        <v>0.84842989999999929</v>
      </c>
      <c r="J90" s="18">
        <f t="shared" si="15"/>
        <v>9.9362511999999938</v>
      </c>
      <c r="K90" s="18">
        <f t="shared" si="15"/>
        <v>-0.32275323000000355</v>
      </c>
      <c r="L90" s="18">
        <f t="shared" si="15"/>
        <v>-5.436074050000002</v>
      </c>
      <c r="M90" s="18">
        <f t="shared" si="15"/>
        <v>-6.1874155799999997</v>
      </c>
      <c r="N90" s="64"/>
    </row>
    <row r="91" spans="2:14" x14ac:dyDescent="0.2">
      <c r="B91" s="165"/>
      <c r="C91" s="166"/>
      <c r="D91" s="2" t="s">
        <v>8</v>
      </c>
      <c r="E91" s="11" t="s">
        <v>9</v>
      </c>
      <c r="F91" s="64"/>
      <c r="G91" s="18">
        <f t="shared" si="15"/>
        <v>0</v>
      </c>
      <c r="H91" s="18">
        <f t="shared" si="15"/>
        <v>-0.36630307870446899</v>
      </c>
      <c r="I91" s="18">
        <f t="shared" si="15"/>
        <v>0.89839187444584212</v>
      </c>
      <c r="J91" s="18">
        <f t="shared" si="15"/>
        <v>10.52137288010799</v>
      </c>
      <c r="K91" s="18">
        <f t="shared" si="15"/>
        <v>-0.34175938316548837</v>
      </c>
      <c r="L91" s="18">
        <f t="shared" si="15"/>
        <v>-5.7561912367844386</v>
      </c>
      <c r="M91" s="18">
        <f t="shared" si="15"/>
        <v>-6.5517774431235907</v>
      </c>
      <c r="N91" s="64"/>
    </row>
    <row r="92" spans="2:14" x14ac:dyDescent="0.2">
      <c r="B92" s="167"/>
      <c r="C92" s="168"/>
      <c r="D92" s="23" t="s">
        <v>6</v>
      </c>
      <c r="E92" s="23" t="s">
        <v>9</v>
      </c>
      <c r="F92" s="105"/>
      <c r="G92" s="62">
        <f t="shared" ref="G92:M92" si="16">SUM(G88:G91)</f>
        <v>-17.957692958333325</v>
      </c>
      <c r="H92" s="62">
        <f t="shared" si="16"/>
        <v>-7.2430558131489136</v>
      </c>
      <c r="I92" s="62">
        <f t="shared" si="16"/>
        <v>-147.97079903472087</v>
      </c>
      <c r="J92" s="62">
        <f t="shared" si="16"/>
        <v>-99.30986743878087</v>
      </c>
      <c r="K92" s="62">
        <f t="shared" si="16"/>
        <v>-6.7577436031655438</v>
      </c>
      <c r="L92" s="62">
        <f t="shared" si="16"/>
        <v>-113.81944849233992</v>
      </c>
      <c r="M92" s="127">
        <f t="shared" si="16"/>
        <v>-129.5508895631236</v>
      </c>
      <c r="N92" s="65"/>
    </row>
    <row r="93" spans="2:14" ht="12.75" customHeight="1" x14ac:dyDescent="0.2">
      <c r="B93" s="163" t="s">
        <v>73</v>
      </c>
      <c r="C93" s="164"/>
      <c r="D93" s="26" t="s">
        <v>3</v>
      </c>
      <c r="E93" s="26" t="s">
        <v>27</v>
      </c>
      <c r="F93" s="63"/>
      <c r="G93" s="54">
        <f t="shared" ref="G93:M97" si="17">IF(G88/$F83=0,"",G88/$F83)</f>
        <v>-1.6381959508315218E-2</v>
      </c>
      <c r="H93" s="54">
        <f t="shared" si="17"/>
        <v>-5.9577609062424833E-3</v>
      </c>
      <c r="I93" s="54">
        <f t="shared" si="17"/>
        <v>-0.13658035068691252</v>
      </c>
      <c r="J93" s="54">
        <f t="shared" si="17"/>
        <v>-0.10925825500120512</v>
      </c>
      <c r="K93" s="54">
        <f t="shared" si="17"/>
        <v>-5.5585683297181996E-3</v>
      </c>
      <c r="L93" s="54">
        <f t="shared" si="17"/>
        <v>-9.3621957098095857E-2</v>
      </c>
      <c r="M93" s="54">
        <f t="shared" si="17"/>
        <v>-0.10656182212581342</v>
      </c>
      <c r="N93" s="64"/>
    </row>
    <row r="94" spans="2:14" x14ac:dyDescent="0.2">
      <c r="B94" s="165"/>
      <c r="C94" s="166"/>
      <c r="D94" s="2" t="s">
        <v>7</v>
      </c>
      <c r="E94" s="11" t="s">
        <v>27</v>
      </c>
      <c r="F94" s="64"/>
      <c r="G94" s="55">
        <f t="shared" si="17"/>
        <v>-1.6381959508315263E-2</v>
      </c>
      <c r="H94" s="55">
        <f t="shared" si="17"/>
        <v>-5.9577609062424607E-3</v>
      </c>
      <c r="I94" s="55">
        <f t="shared" si="17"/>
        <v>-0.13658035068691254</v>
      </c>
      <c r="J94" s="55">
        <f t="shared" si="17"/>
        <v>-0.10925825500120503</v>
      </c>
      <c r="K94" s="55">
        <f t="shared" si="17"/>
        <v>-5.5585683297179845E-3</v>
      </c>
      <c r="L94" s="55">
        <f t="shared" si="17"/>
        <v>-9.3621957098095829E-2</v>
      </c>
      <c r="M94" s="55">
        <f t="shared" si="17"/>
        <v>-0.10656182212581346</v>
      </c>
      <c r="N94" s="64"/>
    </row>
    <row r="95" spans="2:14" x14ac:dyDescent="0.2">
      <c r="B95" s="165"/>
      <c r="C95" s="166"/>
      <c r="D95" s="2" t="s">
        <v>26</v>
      </c>
      <c r="E95" s="11" t="s">
        <v>27</v>
      </c>
      <c r="F95" s="64"/>
      <c r="G95" s="55" t="str">
        <f t="shared" si="17"/>
        <v/>
      </c>
      <c r="H95" s="55">
        <f t="shared" si="17"/>
        <v>-5.9577609062424677E-3</v>
      </c>
      <c r="I95" s="55">
        <f t="shared" si="17"/>
        <v>1.4611954687876584E-2</v>
      </c>
      <c r="J95" s="55">
        <f t="shared" si="17"/>
        <v>0.17112557242709076</v>
      </c>
      <c r="K95" s="55">
        <f t="shared" si="17"/>
        <v>-5.5585683297180652E-3</v>
      </c>
      <c r="L95" s="55">
        <f t="shared" si="17"/>
        <v>-9.3621957098095954E-2</v>
      </c>
      <c r="M95" s="55">
        <f t="shared" si="17"/>
        <v>-0.10656182212581344</v>
      </c>
      <c r="N95" s="64"/>
    </row>
    <row r="96" spans="2:14" x14ac:dyDescent="0.2">
      <c r="B96" s="165"/>
      <c r="C96" s="166"/>
      <c r="D96" s="2" t="s">
        <v>8</v>
      </c>
      <c r="E96" s="11" t="s">
        <v>27</v>
      </c>
      <c r="F96" s="64"/>
      <c r="G96" s="55" t="str">
        <f t="shared" si="17"/>
        <v/>
      </c>
      <c r="H96" s="55">
        <f t="shared" si="17"/>
        <v>-5.957760906242544E-3</v>
      </c>
      <c r="I96" s="55">
        <f t="shared" si="17"/>
        <v>1.4611954687876605E-2</v>
      </c>
      <c r="J96" s="55">
        <f t="shared" si="17"/>
        <v>0.17112557242709067</v>
      </c>
      <c r="K96" s="55">
        <f t="shared" si="17"/>
        <v>-5.5585683297181407E-3</v>
      </c>
      <c r="L96" s="55">
        <f t="shared" si="17"/>
        <v>-9.3621957098095912E-2</v>
      </c>
      <c r="M96" s="55">
        <f t="shared" si="17"/>
        <v>-0.10656182212581343</v>
      </c>
      <c r="N96" s="64"/>
    </row>
    <row r="97" spans="2:14" x14ac:dyDescent="0.2">
      <c r="B97" s="165"/>
      <c r="C97" s="166"/>
      <c r="D97" s="23" t="s">
        <v>6</v>
      </c>
      <c r="E97" s="23" t="s">
        <v>27</v>
      </c>
      <c r="F97" s="105"/>
      <c r="G97" s="128">
        <f t="shared" si="17"/>
        <v>-1.4771064014064417E-2</v>
      </c>
      <c r="H97" s="128">
        <f t="shared" si="17"/>
        <v>-5.957760906242472E-3</v>
      </c>
      <c r="I97" s="128">
        <f t="shared" si="17"/>
        <v>-0.12171308139778883</v>
      </c>
      <c r="J97" s="128">
        <f t="shared" si="17"/>
        <v>-8.1687130555696374E-2</v>
      </c>
      <c r="K97" s="128">
        <f t="shared" si="17"/>
        <v>-5.5585683297180565E-3</v>
      </c>
      <c r="L97" s="128">
        <f t="shared" si="17"/>
        <v>-9.3621957098095857E-2</v>
      </c>
      <c r="M97" s="129">
        <f t="shared" si="17"/>
        <v>-0.10656182212581346</v>
      </c>
      <c r="N97" s="64"/>
    </row>
    <row r="98" spans="2:14" x14ac:dyDescent="0.2">
      <c r="B98" s="22" t="s">
        <v>68</v>
      </c>
      <c r="C98" s="8"/>
      <c r="D98" s="23"/>
      <c r="E98" s="23" t="s">
        <v>69</v>
      </c>
      <c r="F98" s="116">
        <v>5</v>
      </c>
      <c r="G98" s="60">
        <f t="shared" ref="G98:M98" si="18">$F98</f>
        <v>5</v>
      </c>
      <c r="H98" s="60">
        <f t="shared" si="18"/>
        <v>5</v>
      </c>
      <c r="I98" s="60">
        <f t="shared" si="18"/>
        <v>5</v>
      </c>
      <c r="J98" s="60">
        <f t="shared" si="18"/>
        <v>5</v>
      </c>
      <c r="K98" s="60">
        <f t="shared" si="18"/>
        <v>5</v>
      </c>
      <c r="L98" s="60">
        <f t="shared" si="18"/>
        <v>5</v>
      </c>
      <c r="M98" s="60">
        <f t="shared" si="18"/>
        <v>5</v>
      </c>
      <c r="N98" s="105"/>
    </row>
    <row r="99" spans="2:14" x14ac:dyDescent="0.2">
      <c r="B99" s="163" t="s">
        <v>70</v>
      </c>
      <c r="C99" s="164"/>
      <c r="D99" s="26" t="s">
        <v>3</v>
      </c>
      <c r="E99" s="11" t="s">
        <v>9</v>
      </c>
      <c r="F99" s="126">
        <f t="shared" ref="F99:M102" si="19">PV(F74,F$98,-F83)</f>
        <v>1459.2281503764557</v>
      </c>
      <c r="G99" s="18">
        <f t="shared" si="19"/>
        <v>1438.7643533752394</v>
      </c>
      <c r="H99" s="18">
        <f t="shared" si="19"/>
        <v>1451.7976528361853</v>
      </c>
      <c r="I99" s="18">
        <f t="shared" si="19"/>
        <v>1285.4652483548516</v>
      </c>
      <c r="J99" s="18">
        <f t="shared" si="19"/>
        <v>1320.8048296157008</v>
      </c>
      <c r="K99" s="18">
        <f t="shared" si="19"/>
        <v>1452.2959432229256</v>
      </c>
      <c r="L99" s="18">
        <f t="shared" si="19"/>
        <v>1340.8976907356353</v>
      </c>
      <c r="M99" s="18">
        <f t="shared" si="19"/>
        <v>1324.2766056322216</v>
      </c>
      <c r="N99" s="64"/>
    </row>
    <row r="100" spans="2:14" x14ac:dyDescent="0.2">
      <c r="B100" s="165"/>
      <c r="C100" s="166"/>
      <c r="D100" s="2" t="s">
        <v>7</v>
      </c>
      <c r="E100" s="11" t="s">
        <v>9</v>
      </c>
      <c r="F100" s="126">
        <f t="shared" si="19"/>
        <v>3246.1997412043379</v>
      </c>
      <c r="G100" s="18">
        <f t="shared" si="19"/>
        <v>3200.6759672062349</v>
      </c>
      <c r="H100" s="18">
        <f t="shared" si="19"/>
        <v>3229.6698523134041</v>
      </c>
      <c r="I100" s="18">
        <f t="shared" si="19"/>
        <v>2859.6466943569844</v>
      </c>
      <c r="J100" s="18">
        <f t="shared" si="19"/>
        <v>2938.263146152849</v>
      </c>
      <c r="K100" s="18">
        <f t="shared" si="19"/>
        <v>3230.7783493802026</v>
      </c>
      <c r="L100" s="18">
        <f t="shared" si="19"/>
        <v>2982.9617359866306</v>
      </c>
      <c r="M100" s="18">
        <f t="shared" si="19"/>
        <v>2945.9864609774991</v>
      </c>
      <c r="N100" s="64"/>
    </row>
    <row r="101" spans="2:14" x14ac:dyDescent="0.2">
      <c r="B101" s="165"/>
      <c r="C101" s="166"/>
      <c r="D101" s="2" t="s">
        <v>26</v>
      </c>
      <c r="E101" s="11" t="s">
        <v>9</v>
      </c>
      <c r="F101" s="126">
        <f t="shared" si="19"/>
        <v>249.24248777573271</v>
      </c>
      <c r="G101" s="18">
        <f t="shared" si="19"/>
        <v>249.24248777573271</v>
      </c>
      <c r="H101" s="18">
        <f t="shared" si="19"/>
        <v>247.97332661551889</v>
      </c>
      <c r="I101" s="18">
        <f t="shared" si="19"/>
        <v>252.34555379060242</v>
      </c>
      <c r="J101" s="18">
        <f t="shared" si="19"/>
        <v>284.73967019300693</v>
      </c>
      <c r="K101" s="18">
        <f t="shared" si="19"/>
        <v>248.05843677159277</v>
      </c>
      <c r="L101" s="18">
        <f t="shared" si="19"/>
        <v>229.03113279816091</v>
      </c>
      <c r="M101" s="18">
        <f t="shared" si="19"/>
        <v>226.19217947914896</v>
      </c>
      <c r="N101" s="64"/>
    </row>
    <row r="102" spans="2:14" x14ac:dyDescent="0.2">
      <c r="B102" s="165"/>
      <c r="C102" s="166"/>
      <c r="D102" s="2" t="s">
        <v>8</v>
      </c>
      <c r="E102" s="11" t="s">
        <v>9</v>
      </c>
      <c r="F102" s="126">
        <f t="shared" si="19"/>
        <v>263.91977202169005</v>
      </c>
      <c r="G102" s="18">
        <f t="shared" si="19"/>
        <v>263.91977202169005</v>
      </c>
      <c r="H102" s="18">
        <f t="shared" si="19"/>
        <v>262.5758730458308</v>
      </c>
      <c r="I102" s="18">
        <f t="shared" si="19"/>
        <v>267.20557005123612</v>
      </c>
      <c r="J102" s="18">
        <f t="shared" si="19"/>
        <v>301.50729722489302</v>
      </c>
      <c r="K102" s="18">
        <f t="shared" si="19"/>
        <v>262.66599513210986</v>
      </c>
      <c r="L102" s="18">
        <f t="shared" si="19"/>
        <v>242.51821947929258</v>
      </c>
      <c r="M102" s="18">
        <f t="shared" si="19"/>
        <v>239.51208710025765</v>
      </c>
      <c r="N102" s="64"/>
    </row>
    <row r="103" spans="2:14" x14ac:dyDescent="0.2">
      <c r="B103" s="165"/>
      <c r="C103" s="166"/>
      <c r="D103" s="23" t="s">
        <v>6</v>
      </c>
      <c r="E103" s="23" t="s">
        <v>9</v>
      </c>
      <c r="F103" s="125">
        <f t="shared" ref="F103:M103" si="20">SUM(F99:F102)</f>
        <v>5218.5901513782164</v>
      </c>
      <c r="G103" s="62">
        <f t="shared" si="20"/>
        <v>5152.6025803788971</v>
      </c>
      <c r="H103" s="62">
        <f t="shared" si="20"/>
        <v>5192.0167048109397</v>
      </c>
      <c r="I103" s="62">
        <f t="shared" si="20"/>
        <v>4664.6630665536741</v>
      </c>
      <c r="J103" s="62">
        <f t="shared" si="20"/>
        <v>4845.3149431864495</v>
      </c>
      <c r="K103" s="62">
        <f t="shared" si="20"/>
        <v>5193.7987245068307</v>
      </c>
      <c r="L103" s="62">
        <f t="shared" si="20"/>
        <v>4795.4087789997193</v>
      </c>
      <c r="M103" s="62">
        <f t="shared" si="20"/>
        <v>4735.9673331891272</v>
      </c>
      <c r="N103" s="65"/>
    </row>
    <row r="104" spans="2:14" x14ac:dyDescent="0.2">
      <c r="B104" s="163" t="s">
        <v>74</v>
      </c>
      <c r="C104" s="164"/>
      <c r="D104" s="11" t="s">
        <v>3</v>
      </c>
      <c r="E104" s="11" t="s">
        <v>9</v>
      </c>
      <c r="F104" s="64"/>
      <c r="G104" s="18">
        <f t="shared" ref="G104:M107" si="21">G99-$F99</f>
        <v>-20.463797001216335</v>
      </c>
      <c r="H104" s="18">
        <f t="shared" si="21"/>
        <v>-7.4304975402703803</v>
      </c>
      <c r="I104" s="18">
        <f t="shared" si="21"/>
        <v>-173.76290202160408</v>
      </c>
      <c r="J104" s="18">
        <f t="shared" si="21"/>
        <v>-138.4233207607549</v>
      </c>
      <c r="K104" s="18">
        <f t="shared" si="21"/>
        <v>-6.9322071535300438</v>
      </c>
      <c r="L104" s="18">
        <f t="shared" si="21"/>
        <v>-118.33045964082044</v>
      </c>
      <c r="M104" s="18">
        <f t="shared" si="21"/>
        <v>-134.95154474423407</v>
      </c>
      <c r="N104" s="63"/>
    </row>
    <row r="105" spans="2:14" x14ac:dyDescent="0.2">
      <c r="B105" s="165"/>
      <c r="C105" s="166"/>
      <c r="D105" s="2" t="s">
        <v>7</v>
      </c>
      <c r="E105" s="11" t="s">
        <v>9</v>
      </c>
      <c r="F105" s="64"/>
      <c r="G105" s="18">
        <f t="shared" si="21"/>
        <v>-45.523773998103024</v>
      </c>
      <c r="H105" s="18">
        <f t="shared" si="21"/>
        <v>-16.529888890933762</v>
      </c>
      <c r="I105" s="18">
        <f t="shared" si="21"/>
        <v>-386.55304684735347</v>
      </c>
      <c r="J105" s="18">
        <f t="shared" si="21"/>
        <v>-307.93659505148889</v>
      </c>
      <c r="K105" s="18">
        <f t="shared" si="21"/>
        <v>-15.421391824135299</v>
      </c>
      <c r="L105" s="18">
        <f t="shared" si="21"/>
        <v>-263.23800521770727</v>
      </c>
      <c r="M105" s="18">
        <f t="shared" si="21"/>
        <v>-300.21328022683883</v>
      </c>
      <c r="N105" s="64"/>
    </row>
    <row r="106" spans="2:14" x14ac:dyDescent="0.2">
      <c r="B106" s="165"/>
      <c r="C106" s="166"/>
      <c r="D106" s="2" t="s">
        <v>26</v>
      </c>
      <c r="E106" s="11" t="s">
        <v>9</v>
      </c>
      <c r="F106" s="64"/>
      <c r="G106" s="18">
        <f t="shared" si="21"/>
        <v>0</v>
      </c>
      <c r="H106" s="18">
        <f t="shared" si="21"/>
        <v>-1.2691611602138266</v>
      </c>
      <c r="I106" s="18">
        <f t="shared" si="21"/>
        <v>3.1030660148697109</v>
      </c>
      <c r="J106" s="18">
        <f t="shared" si="21"/>
        <v>35.497182417274217</v>
      </c>
      <c r="K106" s="18">
        <f t="shared" si="21"/>
        <v>-1.1840510041399455</v>
      </c>
      <c r="L106" s="18">
        <f t="shared" si="21"/>
        <v>-20.211354977571801</v>
      </c>
      <c r="M106" s="18">
        <f t="shared" si="21"/>
        <v>-23.050308296583751</v>
      </c>
      <c r="N106" s="64"/>
    </row>
    <row r="107" spans="2:14" x14ac:dyDescent="0.2">
      <c r="B107" s="165"/>
      <c r="C107" s="166"/>
      <c r="D107" s="2" t="s">
        <v>8</v>
      </c>
      <c r="E107" s="11" t="s">
        <v>9</v>
      </c>
      <c r="F107" s="64"/>
      <c r="G107" s="18">
        <f t="shared" si="21"/>
        <v>0</v>
      </c>
      <c r="H107" s="18">
        <f t="shared" si="21"/>
        <v>-1.343898975859247</v>
      </c>
      <c r="I107" s="18">
        <f t="shared" si="21"/>
        <v>3.285798029546072</v>
      </c>
      <c r="J107" s="18">
        <f t="shared" si="21"/>
        <v>37.587525203202972</v>
      </c>
      <c r="K107" s="18">
        <f t="shared" si="21"/>
        <v>-1.2537768895801946</v>
      </c>
      <c r="L107" s="18">
        <f t="shared" si="21"/>
        <v>-21.401552542397468</v>
      </c>
      <c r="M107" s="18">
        <f t="shared" si="21"/>
        <v>-24.407684921432406</v>
      </c>
      <c r="N107" s="64"/>
    </row>
    <row r="108" spans="2:14" x14ac:dyDescent="0.2">
      <c r="B108" s="167"/>
      <c r="C108" s="168"/>
      <c r="D108" s="23" t="s">
        <v>6</v>
      </c>
      <c r="E108" s="23" t="s">
        <v>9</v>
      </c>
      <c r="F108" s="105"/>
      <c r="G108" s="62">
        <f t="shared" ref="G108:M108" si="22">SUM(G104:G107)</f>
        <v>-65.98757099931936</v>
      </c>
      <c r="H108" s="62">
        <f t="shared" si="22"/>
        <v>-26.573446567277216</v>
      </c>
      <c r="I108" s="62">
        <f t="shared" si="22"/>
        <v>-553.92708482454179</v>
      </c>
      <c r="J108" s="62">
        <f t="shared" si="22"/>
        <v>-373.27520819176664</v>
      </c>
      <c r="K108" s="62">
        <f t="shared" si="22"/>
        <v>-24.791426871385482</v>
      </c>
      <c r="L108" s="62">
        <f t="shared" si="22"/>
        <v>-423.18137237849692</v>
      </c>
      <c r="M108" s="62">
        <f t="shared" si="22"/>
        <v>-482.62281818908906</v>
      </c>
      <c r="N108" s="65"/>
    </row>
    <row r="109" spans="2:14" x14ac:dyDescent="0.2">
      <c r="B109" s="2"/>
      <c r="C109" s="2"/>
      <c r="D109" s="2"/>
      <c r="E109" s="2"/>
      <c r="F109" s="2"/>
      <c r="G109" s="45"/>
      <c r="H109" s="45"/>
      <c r="I109" s="45"/>
      <c r="J109" s="45"/>
      <c r="K109" s="45"/>
      <c r="L109" s="45"/>
      <c r="M109" s="45"/>
      <c r="N109" s="2"/>
    </row>
    <row r="110" spans="2:14" ht="15" x14ac:dyDescent="0.25">
      <c r="B110" s="7">
        <f>F4</f>
        <v>1</v>
      </c>
      <c r="C110" s="1" t="s">
        <v>49</v>
      </c>
    </row>
    <row r="111" spans="2:14" x14ac:dyDescent="0.2">
      <c r="B111" s="2"/>
      <c r="C111" s="1" t="s">
        <v>48</v>
      </c>
      <c r="D111" s="46" t="s">
        <v>38</v>
      </c>
    </row>
    <row r="112" spans="2:14" x14ac:dyDescent="0.2">
      <c r="B112" s="2"/>
      <c r="C112" s="1"/>
      <c r="D112" s="46"/>
    </row>
    <row r="113" spans="2:4" ht="15" x14ac:dyDescent="0.25">
      <c r="B113" s="7">
        <f>G4</f>
        <v>2</v>
      </c>
      <c r="C113" s="1" t="s">
        <v>61</v>
      </c>
      <c r="D113" s="46"/>
    </row>
    <row r="114" spans="2:4" x14ac:dyDescent="0.2">
      <c r="B114" s="2"/>
      <c r="C114" s="1"/>
      <c r="D114" s="46"/>
    </row>
    <row r="115" spans="2:4" ht="15" x14ac:dyDescent="0.25">
      <c r="B115" s="7">
        <f>I4</f>
        <v>3</v>
      </c>
      <c r="C115" s="1" t="s">
        <v>97</v>
      </c>
    </row>
    <row r="116" spans="2:4" x14ac:dyDescent="0.2">
      <c r="C116" s="1" t="s">
        <v>57</v>
      </c>
    </row>
    <row r="117" spans="2:4" x14ac:dyDescent="0.2">
      <c r="C117" s="1" t="s">
        <v>64</v>
      </c>
    </row>
    <row r="118" spans="2:4" x14ac:dyDescent="0.2">
      <c r="C118" s="1" t="s">
        <v>65</v>
      </c>
    </row>
    <row r="120" spans="2:4" ht="15" x14ac:dyDescent="0.25">
      <c r="B120" s="7">
        <f>N40</f>
        <v>4</v>
      </c>
      <c r="C120" s="49" t="s">
        <v>32</v>
      </c>
    </row>
    <row r="121" spans="2:4" x14ac:dyDescent="0.2">
      <c r="C121" s="49"/>
    </row>
    <row r="122" spans="2:4" ht="15" x14ac:dyDescent="0.25">
      <c r="B122" s="7">
        <f>N78</f>
        <v>5</v>
      </c>
      <c r="C122" s="1" t="s">
        <v>31</v>
      </c>
    </row>
    <row r="123" spans="2:4" x14ac:dyDescent="0.2">
      <c r="C123" s="1"/>
    </row>
    <row r="124" spans="2:4" ht="15" x14ac:dyDescent="0.25">
      <c r="B124" s="7">
        <f>N79</f>
        <v>6</v>
      </c>
      <c r="C124" s="1" t="s">
        <v>86</v>
      </c>
    </row>
    <row r="125" spans="2:4" x14ac:dyDescent="0.2">
      <c r="C125" s="1"/>
    </row>
    <row r="126" spans="2:4" ht="15" x14ac:dyDescent="0.25">
      <c r="B126" s="7">
        <f>N80</f>
        <v>7</v>
      </c>
      <c r="C126" s="1" t="s">
        <v>50</v>
      </c>
    </row>
    <row r="127" spans="2:4" x14ac:dyDescent="0.2">
      <c r="B127" s="2"/>
      <c r="C127" s="1" t="s">
        <v>48</v>
      </c>
      <c r="D127" s="46" t="s">
        <v>33</v>
      </c>
    </row>
    <row r="128" spans="2:4" x14ac:dyDescent="0.2">
      <c r="B128" s="2"/>
      <c r="C128" s="1"/>
      <c r="D128" s="1" t="s">
        <v>101</v>
      </c>
    </row>
    <row r="129" spans="2:6" x14ac:dyDescent="0.2">
      <c r="C129" s="22" t="s">
        <v>4</v>
      </c>
      <c r="D129" s="8"/>
      <c r="E129" s="52" t="s">
        <v>5</v>
      </c>
    </row>
    <row r="130" spans="2:6" x14ac:dyDescent="0.2">
      <c r="C130" s="25" t="s">
        <v>52</v>
      </c>
      <c r="D130" s="20"/>
      <c r="E130" s="66">
        <v>284</v>
      </c>
      <c r="F130" s="68" t="s">
        <v>53</v>
      </c>
    </row>
    <row r="131" spans="2:6" x14ac:dyDescent="0.2">
      <c r="C131" s="28" t="s">
        <v>51</v>
      </c>
      <c r="D131" s="5"/>
      <c r="E131" s="67">
        <f>503203/1000</f>
        <v>503.20299999999997</v>
      </c>
      <c r="F131" s="1" t="s">
        <v>47</v>
      </c>
    </row>
    <row r="132" spans="2:6" x14ac:dyDescent="0.2">
      <c r="C132" s="12" t="s">
        <v>6</v>
      </c>
      <c r="D132" s="8"/>
      <c r="E132" s="51">
        <f>SUM(E130:E131)</f>
        <v>787.20299999999997</v>
      </c>
    </row>
    <row r="133" spans="2:6" x14ac:dyDescent="0.2">
      <c r="C133" s="2"/>
      <c r="D133" s="2"/>
      <c r="E133" s="47"/>
    </row>
    <row r="134" spans="2:6" ht="15" x14ac:dyDescent="0.25">
      <c r="B134" s="7">
        <f>N81</f>
        <v>8</v>
      </c>
      <c r="C134" s="1" t="s">
        <v>37</v>
      </c>
    </row>
    <row r="135" spans="2:6" x14ac:dyDescent="0.2">
      <c r="C135" s="49" t="s">
        <v>48</v>
      </c>
      <c r="D135" s="46" t="s">
        <v>34</v>
      </c>
    </row>
    <row r="136" spans="2:6" x14ac:dyDescent="0.2">
      <c r="C136" s="49"/>
      <c r="D136" s="1" t="s">
        <v>101</v>
      </c>
    </row>
    <row r="137" spans="2:6" x14ac:dyDescent="0.2">
      <c r="C137" s="22" t="s">
        <v>4</v>
      </c>
      <c r="D137" s="8"/>
      <c r="E137" s="52" t="s">
        <v>5</v>
      </c>
    </row>
    <row r="138" spans="2:6" x14ac:dyDescent="0.2">
      <c r="C138" s="21" t="s">
        <v>35</v>
      </c>
      <c r="D138" s="20"/>
      <c r="E138" s="66">
        <f>23020/1000</f>
        <v>23.02</v>
      </c>
    </row>
    <row r="139" spans="2:6" x14ac:dyDescent="0.2">
      <c r="C139" s="9" t="s">
        <v>36</v>
      </c>
      <c r="D139" s="2"/>
      <c r="E139" s="50">
        <v>470</v>
      </c>
    </row>
    <row r="140" spans="2:6" x14ac:dyDescent="0.2">
      <c r="C140" s="4" t="s">
        <v>0</v>
      </c>
      <c r="D140" s="5"/>
      <c r="E140" s="67">
        <f>340539.471135317/1000</f>
        <v>340.539471135317</v>
      </c>
    </row>
    <row r="141" spans="2:6" x14ac:dyDescent="0.2">
      <c r="C141" s="12" t="s">
        <v>6</v>
      </c>
      <c r="D141" s="8"/>
      <c r="E141" s="51">
        <f>SUM(E138:E140)</f>
        <v>833.55947113531693</v>
      </c>
    </row>
    <row r="142" spans="2:6" x14ac:dyDescent="0.2">
      <c r="C142" s="2"/>
      <c r="D142" s="2"/>
      <c r="E142" s="47"/>
    </row>
    <row r="143" spans="2:6" ht="15" x14ac:dyDescent="0.25">
      <c r="B143" s="7">
        <f>N87</f>
        <v>9</v>
      </c>
      <c r="C143" s="14" t="s">
        <v>102</v>
      </c>
    </row>
    <row r="144" spans="2:6" x14ac:dyDescent="0.2">
      <c r="C144" s="14" t="s">
        <v>103</v>
      </c>
    </row>
  </sheetData>
  <mergeCells count="29">
    <mergeCell ref="B93:C97"/>
    <mergeCell ref="B2:C2"/>
    <mergeCell ref="B83:C87"/>
    <mergeCell ref="B88:C92"/>
    <mergeCell ref="B74:C77"/>
    <mergeCell ref="B70:C73"/>
    <mergeCell ref="B66:C69"/>
    <mergeCell ref="B42:C45"/>
    <mergeCell ref="B36:C39"/>
    <mergeCell ref="B58:C61"/>
    <mergeCell ref="B54:C57"/>
    <mergeCell ref="B78:C82"/>
    <mergeCell ref="B62:C65"/>
    <mergeCell ref="B99:C103"/>
    <mergeCell ref="B104:C108"/>
    <mergeCell ref="B6:C6"/>
    <mergeCell ref="B7:C10"/>
    <mergeCell ref="B11:C14"/>
    <mergeCell ref="B15:C18"/>
    <mergeCell ref="B19:C22"/>
    <mergeCell ref="B23:C26"/>
    <mergeCell ref="B27:C30"/>
    <mergeCell ref="B31:C31"/>
    <mergeCell ref="B32:C32"/>
    <mergeCell ref="B33:C33"/>
    <mergeCell ref="B34:C34"/>
    <mergeCell ref="B35:C35"/>
    <mergeCell ref="B50:C53"/>
    <mergeCell ref="B46:C49"/>
  </mergeCells>
  <hyperlinks>
    <hyperlink ref="D127" r:id="rId1"/>
    <hyperlink ref="D135" r:id="rId2"/>
    <hyperlink ref="D111" r:id="rId3"/>
  </hyperlinks>
  <pageMargins left="0.7" right="0.7" top="0.75" bottom="0.75" header="0.3" footer="0.3"/>
  <pageSetup paperSize="9" scale="85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MEUG Report Tables</vt:lpstr>
      <vt:lpstr>MEUG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2016-06-15T01:47:43Z</dcterms:created>
  <dcterms:modified xsi:type="dcterms:W3CDTF">2016-08-25T01:55:00Z</dcterms:modified>
</cp:coreProperties>
</file>