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86D9B42B-6907-43BF-B0CB-65542E9705CE}" xr6:coauthVersionLast="47" xr6:coauthVersionMax="47" xr10:uidLastSave="{00000000-0000-0000-0000-000000000000}"/>
  <bookViews>
    <workbookView xWindow="20544" yWindow="0" windowWidth="20832" windowHeight="16656" tabRatio="697" xr2:uid="{00000000-000D-0000-FFFF-FFFF00000000}"/>
  </bookViews>
  <sheets>
    <sheet name="Pricing CoverSheet" sheetId="33" r:id="rId1"/>
    <sheet name="TOC" sheetId="4" r:id="rId2"/>
    <sheet name="Guidelines" sheetId="3" r:id="rId3"/>
    <sheet name="S18.Total revenue requirement" sheetId="35" r:id="rId4"/>
    <sheet name="S19.Pricing Asset Revenue" sheetId="36" r:id="rId5"/>
    <sheet name="S20.Demand Forecast" sheetId="37" r:id="rId6"/>
    <sheet name="Commentary" sheetId="38" r:id="rId7"/>
  </sheets>
  <definedNames>
    <definedName name="company_name">'Pricing CoverSheet'!$C$8</definedName>
    <definedName name="pp_starting_year">'Pricing CoverSheet'!$C$15</definedName>
    <definedName name="_xlnm.Print_Area" localSheetId="2">Guidelines!$A$1:$A$28</definedName>
    <definedName name="_xlnm.Print_Area" localSheetId="0">'Pricing CoverSheet'!$A$1:$D$19</definedName>
    <definedName name="_xlnm.Print_Area" localSheetId="3">'S18.Total revenue requirement'!$A$1:$L$51,'S18.Total revenue requirement'!$A$54:$J$86,'S18.Total revenue requirement'!$A$89:$J$138,'S18.Total revenue requirement'!$A$141:$P$195</definedName>
    <definedName name="_xlnm.Print_Area" localSheetId="4">'S19.Pricing Asset Revenue'!$A$1:$L$56,'S19.Pricing Asset Revenue'!$A$59:$J$97</definedName>
    <definedName name="_xlnm.Print_Area" localSheetId="5">'S20.Demand Forecast'!$A$1:$O$41</definedName>
    <definedName name="_xlnm.Print_Area" localSheetId="1">TOC!$A$1:$C$8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7" i="35" l="1"/>
  <c r="G136" i="35"/>
  <c r="G135" i="35"/>
  <c r="G134" i="35"/>
  <c r="G133" i="35"/>
  <c r="M159" i="35"/>
  <c r="P154" i="35"/>
  <c r="I145" i="35"/>
  <c r="G169" i="35"/>
  <c r="H176" i="35"/>
  <c r="I190" i="35"/>
  <c r="E104" i="35"/>
  <c r="F104" i="35"/>
  <c r="E97" i="35"/>
  <c r="J71" i="36"/>
  <c r="G71" i="36"/>
  <c r="G73" i="36" s="1"/>
  <c r="H71" i="36"/>
  <c r="I71" i="36"/>
  <c r="F71" i="36"/>
  <c r="A71" i="36"/>
  <c r="A72" i="36"/>
  <c r="A73" i="36"/>
  <c r="B73" i="36"/>
  <c r="B72" i="36"/>
  <c r="J73" i="36"/>
  <c r="I73" i="36"/>
  <c r="H73" i="36"/>
  <c r="F73" i="36"/>
  <c r="B71" i="36"/>
  <c r="A83" i="35"/>
  <c r="A84" i="35"/>
  <c r="A85" i="35"/>
  <c r="B85" i="35"/>
  <c r="B84" i="35"/>
  <c r="B83" i="35"/>
  <c r="F190" i="35" l="1"/>
  <c r="A39" i="36"/>
  <c r="A38" i="36"/>
  <c r="G159" i="35"/>
  <c r="H159" i="35"/>
  <c r="I159" i="35"/>
  <c r="J159" i="35"/>
  <c r="K159" i="35"/>
  <c r="L159" i="35"/>
  <c r="N159" i="35"/>
  <c r="O159" i="35"/>
  <c r="F159" i="35"/>
  <c r="P147" i="35"/>
  <c r="P148" i="35"/>
  <c r="P149" i="35"/>
  <c r="P150" i="35"/>
  <c r="P151" i="35"/>
  <c r="P152" i="35"/>
  <c r="P153" i="35"/>
  <c r="P155" i="35"/>
  <c r="P156" i="35"/>
  <c r="P157" i="35"/>
  <c r="P158" i="35"/>
  <c r="F145" i="35"/>
  <c r="B159" i="35"/>
  <c r="A159" i="35"/>
  <c r="D37" i="36"/>
  <c r="A62" i="35"/>
  <c r="A63" i="35"/>
  <c r="A64" i="35"/>
  <c r="A61" i="35"/>
  <c r="A22" i="36" l="1"/>
  <c r="A23" i="36"/>
  <c r="F64" i="36" l="1"/>
  <c r="G9" i="36" s="1"/>
  <c r="F28" i="36"/>
  <c r="E169" i="35"/>
  <c r="G74" i="35" s="1"/>
  <c r="F135" i="35"/>
  <c r="D46" i="35"/>
  <c r="A1" i="35"/>
  <c r="A7" i="35" l="1"/>
  <c r="A8" i="35"/>
  <c r="A9" i="35"/>
  <c r="A10" i="35"/>
  <c r="A11" i="35"/>
  <c r="A12" i="35"/>
  <c r="A13" i="35"/>
  <c r="A14" i="35"/>
  <c r="A15" i="35"/>
  <c r="A16" i="35"/>
  <c r="A17" i="35"/>
  <c r="A18" i="35"/>
  <c r="A19" i="35"/>
  <c r="A20" i="35"/>
  <c r="A21" i="35"/>
  <c r="A22" i="35"/>
  <c r="A23" i="35"/>
  <c r="A6" i="35"/>
  <c r="F30" i="36" l="1"/>
  <c r="F29" i="36"/>
  <c r="P146" i="35"/>
  <c r="P159" i="35" s="1"/>
  <c r="O145" i="35"/>
  <c r="N134" i="35"/>
  <c r="E137" i="35"/>
  <c r="F137" i="35" s="1"/>
  <c r="H137" i="35" s="1"/>
  <c r="I137" i="35" s="1"/>
  <c r="J137" i="35" s="1"/>
  <c r="A29" i="35"/>
  <c r="A30" i="35"/>
  <c r="A31" i="35"/>
  <c r="A32" i="35"/>
  <c r="A28" i="35"/>
  <c r="F31" i="36" l="1"/>
  <c r="F7" i="36" s="1"/>
  <c r="E40" i="35"/>
  <c r="F38" i="35"/>
  <c r="F39" i="35"/>
  <c r="F37" i="35"/>
  <c r="A7" i="36"/>
  <c r="A8" i="36"/>
  <c r="A9" i="36"/>
  <c r="A10" i="36"/>
  <c r="A11" i="36"/>
  <c r="A12" i="36"/>
  <c r="A13" i="36"/>
  <c r="A14" i="36"/>
  <c r="A15" i="36"/>
  <c r="A16" i="36"/>
  <c r="A17" i="36"/>
  <c r="A18" i="36"/>
  <c r="A19" i="36"/>
  <c r="A20" i="36"/>
  <c r="A21" i="36"/>
  <c r="B21" i="36"/>
  <c r="B22" i="36"/>
  <c r="B23" i="36"/>
  <c r="B21" i="35"/>
  <c r="B22" i="35"/>
  <c r="B23" i="35"/>
  <c r="E21" i="35"/>
  <c r="E22" i="35"/>
  <c r="E23" i="35"/>
  <c r="F40" i="35" l="1"/>
  <c r="F7" i="35" s="1"/>
  <c r="T7" i="35"/>
  <c r="S29" i="35" s="1"/>
  <c r="H34" i="37" l="1"/>
  <c r="F30" i="37"/>
  <c r="F17" i="37"/>
  <c r="F14" i="37"/>
  <c r="E85" i="36"/>
  <c r="T17" i="36"/>
  <c r="T16" i="36"/>
  <c r="T15" i="36"/>
  <c r="T14" i="36"/>
  <c r="T12" i="36"/>
  <c r="T11" i="36"/>
  <c r="T10" i="36"/>
  <c r="T9" i="36"/>
  <c r="T13" i="36"/>
  <c r="T8" i="36"/>
  <c r="G13" i="36"/>
  <c r="H12" i="36"/>
  <c r="I12" i="36"/>
  <c r="J12" i="36"/>
  <c r="K12" i="36"/>
  <c r="G12" i="36"/>
  <c r="H10" i="36"/>
  <c r="H68" i="36" l="1"/>
  <c r="F66" i="36"/>
  <c r="G19" i="36"/>
  <c r="R8" i="36"/>
  <c r="H10" i="35" l="1"/>
  <c r="I10" i="35"/>
  <c r="J10" i="35"/>
  <c r="K10" i="35"/>
  <c r="G10" i="35"/>
  <c r="A158" i="35"/>
  <c r="B158" i="35"/>
  <c r="B23" i="38" l="1"/>
  <c r="B22" i="38"/>
  <c r="B21" i="38"/>
  <c r="B20" i="38"/>
  <c r="B19" i="38"/>
  <c r="B18" i="38"/>
  <c r="B17" i="38"/>
  <c r="B16" i="38"/>
  <c r="B6" i="38"/>
  <c r="B7" i="38"/>
  <c r="B8" i="38"/>
  <c r="B9" i="38"/>
  <c r="B10" i="38"/>
  <c r="B11" i="38"/>
  <c r="B12" i="38"/>
  <c r="B13" i="38"/>
  <c r="B14" i="38"/>
  <c r="B15" i="38"/>
  <c r="B5" i="38"/>
  <c r="A1" i="38"/>
  <c r="A1" i="37"/>
  <c r="A1" i="36"/>
  <c r="E7" i="35" l="1"/>
  <c r="E96" i="36" l="1"/>
  <c r="F90" i="36" s="1"/>
  <c r="F6" i="36" s="1"/>
  <c r="G68" i="36"/>
  <c r="I68" i="36"/>
  <c r="J68" i="36"/>
  <c r="F68" i="36"/>
  <c r="G66" i="36"/>
  <c r="H66" i="36"/>
  <c r="I66" i="36"/>
  <c r="J66" i="36"/>
  <c r="G64" i="36"/>
  <c r="H9" i="36" s="1"/>
  <c r="H19" i="36" s="1"/>
  <c r="U14" i="36" s="1"/>
  <c r="H64" i="36"/>
  <c r="I9" i="36" s="1"/>
  <c r="I19" i="36" s="1"/>
  <c r="U15" i="36" s="1"/>
  <c r="I64" i="36"/>
  <c r="J9" i="36" s="1"/>
  <c r="J19" i="36" s="1"/>
  <c r="U16" i="36" s="1"/>
  <c r="J64" i="36"/>
  <c r="K9" i="36" s="1"/>
  <c r="K19" i="36" s="1"/>
  <c r="U17" i="36" s="1"/>
  <c r="U13" i="36"/>
  <c r="L15" i="36"/>
  <c r="E31" i="36"/>
  <c r="D31" i="36"/>
  <c r="R10" i="36"/>
  <c r="R9" i="36"/>
  <c r="V7" i="35"/>
  <c r="R12" i="36"/>
  <c r="T18" i="36"/>
  <c r="R18" i="36"/>
  <c r="R17" i="36"/>
  <c r="R16" i="36"/>
  <c r="R15" i="36"/>
  <c r="R14" i="36"/>
  <c r="R13" i="36"/>
  <c r="R11" i="36"/>
  <c r="H13" i="36"/>
  <c r="I13" i="36"/>
  <c r="J13" i="36"/>
  <c r="K13" i="36"/>
  <c r="K10" i="36"/>
  <c r="I10" i="36"/>
  <c r="J10" i="36"/>
  <c r="G10" i="36"/>
  <c r="E19" i="35"/>
  <c r="E18" i="35"/>
  <c r="E19" i="36"/>
  <c r="E18" i="36"/>
  <c r="E11" i="36"/>
  <c r="E12" i="36"/>
  <c r="E13" i="36"/>
  <c r="E10" i="36"/>
  <c r="E10" i="35"/>
  <c r="E11" i="35"/>
  <c r="E12" i="35"/>
  <c r="E13" i="35"/>
  <c r="E9" i="36"/>
  <c r="E9" i="35"/>
  <c r="D47" i="36"/>
  <c r="D79" i="36" s="1"/>
  <c r="D56" i="35"/>
  <c r="D91" i="35" s="1"/>
  <c r="D48" i="36"/>
  <c r="E20" i="36"/>
  <c r="B20" i="36"/>
  <c r="B19" i="36"/>
  <c r="B18" i="36"/>
  <c r="B17" i="36"/>
  <c r="E16" i="36"/>
  <c r="B16" i="36"/>
  <c r="E15" i="36"/>
  <c r="B15" i="36"/>
  <c r="E14" i="36"/>
  <c r="B14" i="36"/>
  <c r="B13" i="36"/>
  <c r="B12" i="36"/>
  <c r="B11" i="36"/>
  <c r="B10" i="36"/>
  <c r="B9" i="36"/>
  <c r="B8" i="36"/>
  <c r="B7" i="36"/>
  <c r="B6" i="36"/>
  <c r="A6" i="36"/>
  <c r="E22" i="36" l="1"/>
  <c r="E23" i="36"/>
  <c r="E21" i="36"/>
  <c r="E6" i="36"/>
  <c r="D21" i="36" s="1"/>
  <c r="E77" i="36"/>
  <c r="K18" i="36"/>
  <c r="U12" i="36" s="1"/>
  <c r="G18" i="36"/>
  <c r="U8" i="36" s="1"/>
  <c r="J18" i="36"/>
  <c r="U11" i="36" s="1"/>
  <c r="I18" i="36"/>
  <c r="U10" i="36" s="1"/>
  <c r="F69" i="36"/>
  <c r="J69" i="36"/>
  <c r="I69" i="36"/>
  <c r="H69" i="36"/>
  <c r="G69" i="36"/>
  <c r="F8" i="36"/>
  <c r="F17" i="36" s="1"/>
  <c r="U7" i="36" s="1"/>
  <c r="H18" i="36"/>
  <c r="U9" i="36" s="1"/>
  <c r="F96" i="36"/>
  <c r="E7" i="36"/>
  <c r="E8" i="36"/>
  <c r="E17" i="36"/>
  <c r="R7" i="36"/>
  <c r="T7" i="36"/>
  <c r="G90" i="36" l="1"/>
  <c r="G96" i="36" s="1"/>
  <c r="H90" i="36" s="1"/>
  <c r="H96" i="36" s="1"/>
  <c r="I90" i="36" s="1"/>
  <c r="I96" i="36" s="1"/>
  <c r="J90" i="36" s="1"/>
  <c r="J96" i="36" s="1"/>
  <c r="L14" i="36" s="1"/>
  <c r="L16" i="36" s="1"/>
  <c r="L20" i="36" s="1"/>
  <c r="U18" i="36" s="1"/>
  <c r="F21" i="36" s="1"/>
  <c r="G34" i="37"/>
  <c r="F133" i="35"/>
  <c r="H133" i="35"/>
  <c r="I133" i="35"/>
  <c r="J133" i="35"/>
  <c r="F134" i="35"/>
  <c r="H134" i="35"/>
  <c r="I134" i="35"/>
  <c r="J134" i="35"/>
  <c r="H135" i="35"/>
  <c r="I135" i="35"/>
  <c r="J135" i="35"/>
  <c r="E133" i="35"/>
  <c r="E135" i="35"/>
  <c r="E134" i="35"/>
  <c r="E131" i="35"/>
  <c r="E128" i="35"/>
  <c r="F122" i="35" s="1"/>
  <c r="F128" i="35" s="1"/>
  <c r="G122" i="35" s="1"/>
  <c r="G128" i="35" s="1"/>
  <c r="H122" i="35" s="1"/>
  <c r="H128" i="35" s="1"/>
  <c r="I122" i="35" s="1"/>
  <c r="I128" i="35" s="1"/>
  <c r="J122" i="35" s="1"/>
  <c r="J128" i="35" s="1"/>
  <c r="F117" i="35"/>
  <c r="G117" i="35"/>
  <c r="H117" i="35"/>
  <c r="I117" i="35"/>
  <c r="J117" i="35"/>
  <c r="E117" i="35"/>
  <c r="F22" i="36" l="1"/>
  <c r="F23" i="36" s="1"/>
  <c r="E136" i="35"/>
  <c r="F131" i="35" s="1"/>
  <c r="F136" i="35" s="1"/>
  <c r="G131" i="35" s="1"/>
  <c r="H131" i="35" s="1"/>
  <c r="H136" i="35" s="1"/>
  <c r="I131" i="35" s="1"/>
  <c r="I136" i="35" s="1"/>
  <c r="J131" i="35" s="1"/>
  <c r="J136" i="35" s="1"/>
  <c r="F6" i="35"/>
  <c r="E89" i="35"/>
  <c r="G75" i="35"/>
  <c r="H75" i="35"/>
  <c r="I75" i="35"/>
  <c r="J75" i="35"/>
  <c r="F75" i="35"/>
  <c r="G145" i="35"/>
  <c r="H145" i="35"/>
  <c r="J145" i="35"/>
  <c r="K145" i="35"/>
  <c r="L145" i="35"/>
  <c r="M145" i="35"/>
  <c r="N145" i="35"/>
  <c r="G190" i="35"/>
  <c r="F77" i="35" s="1"/>
  <c r="H190" i="35"/>
  <c r="G104" i="35" s="1"/>
  <c r="G77" i="35" s="1"/>
  <c r="H104" i="35"/>
  <c r="H77" i="35" s="1"/>
  <c r="J190" i="35"/>
  <c r="I104" i="35" s="1"/>
  <c r="I77" i="35" s="1"/>
  <c r="K190" i="35"/>
  <c r="J104" i="35" s="1"/>
  <c r="J77" i="35" s="1"/>
  <c r="E108" i="35"/>
  <c r="F102" i="35" s="1"/>
  <c r="E176" i="35"/>
  <c r="F176" i="35"/>
  <c r="G176" i="35"/>
  <c r="D176" i="35"/>
  <c r="F169" i="35"/>
  <c r="H74" i="35" s="1"/>
  <c r="I74" i="35"/>
  <c r="H169" i="35"/>
  <c r="J74" i="35" s="1"/>
  <c r="D169" i="35"/>
  <c r="F74" i="35" s="1"/>
  <c r="G12" i="35" s="1"/>
  <c r="A167" i="35"/>
  <c r="A168" i="35"/>
  <c r="A169" i="35"/>
  <c r="A166" i="35"/>
  <c r="B166" i="35"/>
  <c r="B169" i="35"/>
  <c r="B168" i="35"/>
  <c r="B167" i="35"/>
  <c r="H73" i="35"/>
  <c r="H83" i="35" s="1"/>
  <c r="H85" i="35" s="1"/>
  <c r="G73" i="35"/>
  <c r="G83" i="35" s="1"/>
  <c r="G85" i="35" s="1"/>
  <c r="I73" i="35"/>
  <c r="I83" i="35" s="1"/>
  <c r="I85" i="35" s="1"/>
  <c r="J73" i="35"/>
  <c r="J83" i="35" s="1"/>
  <c r="J85" i="35" s="1"/>
  <c r="F73" i="35"/>
  <c r="F83" i="35" s="1"/>
  <c r="F85" i="35" s="1"/>
  <c r="H29" i="35"/>
  <c r="D40" i="35"/>
  <c r="T9" i="35"/>
  <c r="U27" i="35" s="1"/>
  <c r="U32" i="35" s="1"/>
  <c r="W29" i="35" s="1"/>
  <c r="T18" i="35"/>
  <c r="T17" i="35"/>
  <c r="T16" i="35"/>
  <c r="T15" i="35"/>
  <c r="T14" i="35"/>
  <c r="T13" i="35"/>
  <c r="T12" i="35"/>
  <c r="AA27" i="35" s="1"/>
  <c r="AA32" i="35" s="1"/>
  <c r="T11" i="35"/>
  <c r="Y27" i="35" s="1"/>
  <c r="Y32" i="35" s="1"/>
  <c r="AA29" i="35" s="1"/>
  <c r="T10" i="35"/>
  <c r="W27" i="35" s="1"/>
  <c r="W32" i="35" s="1"/>
  <c r="Y29" i="35" s="1"/>
  <c r="T8" i="35"/>
  <c r="S27" i="35" s="1"/>
  <c r="S32" i="35" s="1"/>
  <c r="U29" i="35" s="1"/>
  <c r="V18" i="35"/>
  <c r="E20" i="35"/>
  <c r="E17" i="35"/>
  <c r="V17" i="35"/>
  <c r="AA31" i="35" s="1"/>
  <c r="V12" i="35"/>
  <c r="AA30" i="35" s="1"/>
  <c r="V16" i="35"/>
  <c r="Y31" i="35" s="1"/>
  <c r="V11" i="35"/>
  <c r="Y30" i="35" s="1"/>
  <c r="V15" i="35"/>
  <c r="W31" i="35" s="1"/>
  <c r="V10" i="35"/>
  <c r="W30" i="35" s="1"/>
  <c r="V14" i="35"/>
  <c r="U31" i="35" s="1"/>
  <c r="V9" i="35"/>
  <c r="U30" i="35" s="1"/>
  <c r="V13" i="35"/>
  <c r="S31" i="35" s="1"/>
  <c r="V8" i="35"/>
  <c r="S30" i="35" s="1"/>
  <c r="E14" i="35"/>
  <c r="Y46" i="35" l="1"/>
  <c r="AA46" i="35" s="1"/>
  <c r="U42" i="35"/>
  <c r="W42" i="35" s="1"/>
  <c r="Y42" i="35" s="1"/>
  <c r="AA42" i="35" s="1"/>
  <c r="W44" i="35"/>
  <c r="Y44" i="35" s="1"/>
  <c r="AA44" i="35" s="1"/>
  <c r="W45" i="35"/>
  <c r="Y45" i="35" s="1"/>
  <c r="AA45" i="35" s="1"/>
  <c r="Y47" i="35"/>
  <c r="AA47" i="35" s="1"/>
  <c r="AA49" i="35"/>
  <c r="AA37" i="35"/>
  <c r="AA50" i="35" s="1"/>
  <c r="F78" i="35"/>
  <c r="H78" i="35"/>
  <c r="J78" i="35"/>
  <c r="F108" i="35"/>
  <c r="G78" i="35"/>
  <c r="I78" i="35"/>
  <c r="S40" i="35"/>
  <c r="U40" i="35" s="1"/>
  <c r="W40" i="35" s="1"/>
  <c r="Y40" i="35" s="1"/>
  <c r="AA40" i="35" s="1"/>
  <c r="S41" i="35"/>
  <c r="U41" i="35" s="1"/>
  <c r="W41" i="35" s="1"/>
  <c r="Y41" i="35" s="1"/>
  <c r="AA41" i="35" s="1"/>
  <c r="S39" i="35"/>
  <c r="U39" i="35" s="1"/>
  <c r="W39" i="35" s="1"/>
  <c r="Y39" i="35" s="1"/>
  <c r="AA39" i="35" s="1"/>
  <c r="U37" i="35"/>
  <c r="U44" i="35" s="1"/>
  <c r="AA48" i="35"/>
  <c r="U43" i="35"/>
  <c r="W43" i="35" s="1"/>
  <c r="Y43" i="35" s="1"/>
  <c r="AA43" i="35" s="1"/>
  <c r="S37" i="35"/>
  <c r="S42" i="35"/>
  <c r="W37" i="35"/>
  <c r="W46" i="35" s="1"/>
  <c r="Y37" i="35"/>
  <c r="Y48" i="35" s="1"/>
  <c r="G102" i="35" l="1"/>
  <c r="G108" i="35" s="1"/>
  <c r="D28" i="35"/>
  <c r="D30" i="35" s="1"/>
  <c r="T32" i="35" s="1"/>
  <c r="V29" i="35" s="1"/>
  <c r="T42" i="35" l="1"/>
  <c r="H102" i="35"/>
  <c r="H108" i="35" s="1"/>
  <c r="E28" i="35"/>
  <c r="E30" i="35" s="1"/>
  <c r="L15" i="35"/>
  <c r="H13" i="35"/>
  <c r="I13" i="35"/>
  <c r="J13" i="35"/>
  <c r="K13" i="35"/>
  <c r="G13" i="35"/>
  <c r="G18" i="35" s="1"/>
  <c r="H12" i="35"/>
  <c r="I12" i="35"/>
  <c r="J12" i="35"/>
  <c r="K12" i="35"/>
  <c r="J9" i="35"/>
  <c r="J19" i="35" s="1"/>
  <c r="H9" i="35"/>
  <c r="H19" i="35" s="1"/>
  <c r="W14" i="35" s="1"/>
  <c r="V31" i="35" s="1"/>
  <c r="I9" i="35"/>
  <c r="I19" i="35" s="1"/>
  <c r="W15" i="35" s="1"/>
  <c r="X31" i="35" s="1"/>
  <c r="K9" i="35"/>
  <c r="K19" i="35" s="1"/>
  <c r="W17" i="35" s="1"/>
  <c r="G9" i="35"/>
  <c r="E15" i="35"/>
  <c r="B20" i="35"/>
  <c r="B17" i="35"/>
  <c r="W16" i="35" l="1"/>
  <c r="Z31" i="35" s="1"/>
  <c r="AB31" i="35"/>
  <c r="AB49" i="35"/>
  <c r="V32" i="35"/>
  <c r="X29" i="35" s="1"/>
  <c r="V44" i="35"/>
  <c r="G19" i="35"/>
  <c r="W13" i="35" s="1"/>
  <c r="T31" i="35" s="1"/>
  <c r="K18" i="35"/>
  <c r="W12" i="35" s="1"/>
  <c r="I18" i="35"/>
  <c r="H18" i="35"/>
  <c r="I102" i="35"/>
  <c r="I108" i="35" s="1"/>
  <c r="F28" i="35"/>
  <c r="F30" i="35" s="1"/>
  <c r="X32" i="35" s="1"/>
  <c r="Z29" i="35" s="1"/>
  <c r="J18" i="35"/>
  <c r="W11" i="35" s="1"/>
  <c r="Z30" i="35" s="1"/>
  <c r="X45" i="35"/>
  <c r="Z45" i="35" s="1"/>
  <c r="AB45" i="35" s="1"/>
  <c r="V43" i="35"/>
  <c r="X43" i="35" s="1"/>
  <c r="Z43" i="35" s="1"/>
  <c r="AB43" i="35" s="1"/>
  <c r="F8" i="35"/>
  <c r="F17" i="35" s="1"/>
  <c r="T29" i="35" s="1"/>
  <c r="W8" i="35"/>
  <c r="T30" i="35" l="1"/>
  <c r="T34" i="35" s="1"/>
  <c r="Z47" i="35"/>
  <c r="AB47" i="35" s="1"/>
  <c r="AB30" i="35"/>
  <c r="AB48" i="35"/>
  <c r="W7" i="35"/>
  <c r="T41" i="35"/>
  <c r="V41" i="35" s="1"/>
  <c r="X41" i="35" s="1"/>
  <c r="Z41" i="35" s="1"/>
  <c r="AB41" i="35" s="1"/>
  <c r="W9" i="35"/>
  <c r="V30" i="35" s="1"/>
  <c r="W10" i="35"/>
  <c r="X30" i="35" s="1"/>
  <c r="T39" i="35"/>
  <c r="V39" i="35" s="1"/>
  <c r="X39" i="35" s="1"/>
  <c r="Z39" i="35" s="1"/>
  <c r="AB39" i="35" s="1"/>
  <c r="X46" i="35"/>
  <c r="J102" i="35"/>
  <c r="J108" i="35" s="1"/>
  <c r="G28" i="35"/>
  <c r="G30" i="35" s="1"/>
  <c r="T40" i="35"/>
  <c r="V40" i="35" s="1"/>
  <c r="X40" i="35" s="1"/>
  <c r="Z40" i="35" s="1"/>
  <c r="AB40" i="35" s="1"/>
  <c r="Z46" i="35"/>
  <c r="AB46" i="35" s="1"/>
  <c r="Z32" i="35" l="1"/>
  <c r="AB29" i="35" s="1"/>
  <c r="Z48" i="35"/>
  <c r="V42" i="35"/>
  <c r="X42" i="35" s="1"/>
  <c r="Z42" i="35" s="1"/>
  <c r="AB42" i="35" s="1"/>
  <c r="X44" i="35"/>
  <c r="Z44" i="35" s="1"/>
  <c r="AB44" i="35" s="1"/>
  <c r="V34" i="35"/>
  <c r="E31" i="35" s="1"/>
  <c r="X34" i="35"/>
  <c r="F31" i="35" s="1"/>
  <c r="T53" i="35"/>
  <c r="D32" i="35" s="1"/>
  <c r="H28" i="35"/>
  <c r="L14" i="35"/>
  <c r="L16" i="35" s="1"/>
  <c r="L20" i="35" s="1"/>
  <c r="AB50" i="35" s="1"/>
  <c r="D31" i="35"/>
  <c r="H30" i="35" l="1"/>
  <c r="AB32" i="35" s="1"/>
  <c r="AB34" i="35" s="1"/>
  <c r="H31" i="35" s="1"/>
  <c r="W18" i="35"/>
  <c r="F21" i="35" s="1"/>
  <c r="Z34" i="35"/>
  <c r="G31" i="35" s="1"/>
  <c r="AB53" i="35"/>
  <c r="H32" i="35" s="1"/>
  <c r="F22" i="35" l="1"/>
  <c r="F23" i="35" s="1"/>
  <c r="E6" i="35"/>
  <c r="E16" i="35"/>
  <c r="E8" i="35"/>
  <c r="H30" i="37"/>
  <c r="F34" i="37"/>
  <c r="I34" i="37"/>
  <c r="J34" i="37"/>
  <c r="K34" i="37"/>
  <c r="L34" i="37"/>
  <c r="M34" i="37"/>
  <c r="N34" i="37"/>
  <c r="O34" i="37"/>
  <c r="G30" i="37"/>
  <c r="I30" i="37"/>
  <c r="J30" i="37"/>
  <c r="K30" i="37"/>
  <c r="L30" i="37"/>
  <c r="M30" i="37"/>
  <c r="N30" i="37"/>
  <c r="O30" i="37"/>
  <c r="J17" i="37"/>
  <c r="G17" i="37"/>
  <c r="H17" i="37"/>
  <c r="I17" i="37"/>
  <c r="K17" i="37"/>
  <c r="L17" i="37"/>
  <c r="M17" i="37"/>
  <c r="N17" i="37"/>
  <c r="O17" i="37"/>
  <c r="G14" i="37"/>
  <c r="H14" i="37"/>
  <c r="I14" i="37"/>
  <c r="J14" i="37"/>
  <c r="K14" i="37"/>
  <c r="L14" i="37"/>
  <c r="M14" i="37"/>
  <c r="O14" i="37"/>
  <c r="V53" i="35" l="1"/>
  <c r="E32" i="35" s="1"/>
  <c r="N14" i="37"/>
  <c r="X53" i="35" l="1"/>
  <c r="F32" i="35" s="1"/>
  <c r="A38" i="37"/>
  <c r="A39" i="37"/>
  <c r="A40" i="37"/>
  <c r="B38" i="37"/>
  <c r="B39" i="37"/>
  <c r="B40" i="37"/>
  <c r="A25" i="37"/>
  <c r="A26" i="37"/>
  <c r="A27" i="37"/>
  <c r="A28" i="37"/>
  <c r="A29" i="37"/>
  <c r="A30" i="37"/>
  <c r="A31" i="37"/>
  <c r="A32" i="37"/>
  <c r="A33" i="37"/>
  <c r="A34" i="37"/>
  <c r="A35" i="37"/>
  <c r="A36" i="37"/>
  <c r="A37" i="37"/>
  <c r="B37" i="37"/>
  <c r="B36" i="37"/>
  <c r="B35" i="37"/>
  <c r="B34" i="37"/>
  <c r="B33" i="37"/>
  <c r="B32" i="37"/>
  <c r="B31" i="37"/>
  <c r="B30" i="37"/>
  <c r="B29" i="37"/>
  <c r="B28" i="37"/>
  <c r="B27" i="37"/>
  <c r="B26" i="37"/>
  <c r="B25" i="37"/>
  <c r="A18" i="37"/>
  <c r="B18" i="37"/>
  <c r="A15" i="37"/>
  <c r="A16" i="37"/>
  <c r="A17" i="37"/>
  <c r="B15" i="37"/>
  <c r="B16" i="37"/>
  <c r="B17" i="37"/>
  <c r="A13" i="37"/>
  <c r="A14" i="37"/>
  <c r="B13" i="37"/>
  <c r="B14" i="37"/>
  <c r="A6" i="37"/>
  <c r="A7" i="37"/>
  <c r="A8" i="37"/>
  <c r="A9" i="37"/>
  <c r="A10" i="37"/>
  <c r="A11" i="37"/>
  <c r="A12" i="37"/>
  <c r="B6" i="37"/>
  <c r="B7" i="37"/>
  <c r="B8" i="37"/>
  <c r="B9" i="37"/>
  <c r="B10" i="37"/>
  <c r="B11" i="37"/>
  <c r="B12" i="37"/>
  <c r="A90" i="36"/>
  <c r="A91" i="36"/>
  <c r="A92" i="36"/>
  <c r="A93" i="36"/>
  <c r="A94" i="36"/>
  <c r="A95" i="36"/>
  <c r="A96" i="36"/>
  <c r="A79" i="36"/>
  <c r="A80" i="36"/>
  <c r="A81" i="36"/>
  <c r="A82" i="36"/>
  <c r="A83" i="36"/>
  <c r="A84" i="36"/>
  <c r="A85" i="36"/>
  <c r="B96" i="36"/>
  <c r="B95" i="36"/>
  <c r="B94" i="36"/>
  <c r="B93" i="36"/>
  <c r="B92" i="36"/>
  <c r="B91" i="36"/>
  <c r="B90" i="36"/>
  <c r="B85" i="36"/>
  <c r="B84" i="36"/>
  <c r="B83" i="36"/>
  <c r="B82" i="36"/>
  <c r="B81" i="36"/>
  <c r="B80" i="36"/>
  <c r="B79" i="36"/>
  <c r="A61" i="36"/>
  <c r="A62" i="36"/>
  <c r="A63" i="36"/>
  <c r="A64" i="36"/>
  <c r="A65" i="36"/>
  <c r="A66" i="36"/>
  <c r="A67" i="36"/>
  <c r="A68" i="36"/>
  <c r="A69" i="36"/>
  <c r="A70" i="36"/>
  <c r="B70" i="36"/>
  <c r="B69" i="36"/>
  <c r="B68" i="36"/>
  <c r="B67" i="36"/>
  <c r="B66" i="36"/>
  <c r="B65" i="36"/>
  <c r="B64" i="36"/>
  <c r="B63" i="36"/>
  <c r="B62" i="36"/>
  <c r="B61" i="36"/>
  <c r="A52" i="36"/>
  <c r="A53" i="36"/>
  <c r="A54" i="36"/>
  <c r="A55" i="36"/>
  <c r="A47" i="36"/>
  <c r="A48" i="36"/>
  <c r="B55" i="36"/>
  <c r="B54" i="36"/>
  <c r="B53" i="36"/>
  <c r="B52" i="36"/>
  <c r="B48" i="36"/>
  <c r="B47" i="36"/>
  <c r="A37" i="36"/>
  <c r="A40" i="36"/>
  <c r="A41" i="36"/>
  <c r="B41" i="36"/>
  <c r="B40" i="36"/>
  <c r="B39" i="36"/>
  <c r="B38" i="36"/>
  <c r="B37" i="36"/>
  <c r="A28" i="36"/>
  <c r="A29" i="36"/>
  <c r="A30" i="36"/>
  <c r="A31" i="36"/>
  <c r="B31" i="36"/>
  <c r="B30" i="36"/>
  <c r="B29" i="36"/>
  <c r="B28" i="36"/>
  <c r="A181" i="35"/>
  <c r="A182" i="35"/>
  <c r="A183" i="35"/>
  <c r="A184" i="35"/>
  <c r="A185" i="35"/>
  <c r="A186" i="35"/>
  <c r="A187" i="35"/>
  <c r="A188" i="35"/>
  <c r="A189" i="35"/>
  <c r="A190" i="35"/>
  <c r="A191" i="35"/>
  <c r="B191" i="35"/>
  <c r="B190" i="35"/>
  <c r="B189" i="35"/>
  <c r="B188" i="35"/>
  <c r="B187" i="35"/>
  <c r="B186" i="35"/>
  <c r="B185" i="35"/>
  <c r="B184" i="35"/>
  <c r="B183" i="35"/>
  <c r="B182" i="35"/>
  <c r="B181" i="35"/>
  <c r="A175" i="35"/>
  <c r="A176" i="35"/>
  <c r="A174" i="35"/>
  <c r="B176" i="35"/>
  <c r="B175" i="35"/>
  <c r="B174" i="35"/>
  <c r="A143" i="35"/>
  <c r="A144" i="35"/>
  <c r="A145" i="35"/>
  <c r="A146" i="35"/>
  <c r="A147" i="35"/>
  <c r="A148" i="35"/>
  <c r="A149" i="35"/>
  <c r="A150" i="35"/>
  <c r="A151" i="35"/>
  <c r="A152" i="35"/>
  <c r="A153" i="35"/>
  <c r="A154" i="35"/>
  <c r="A155" i="35"/>
  <c r="A156" i="35"/>
  <c r="A157" i="35"/>
  <c r="B157" i="35"/>
  <c r="B156" i="35"/>
  <c r="B155" i="35"/>
  <c r="B154" i="35"/>
  <c r="B153" i="35"/>
  <c r="B152" i="35"/>
  <c r="B151" i="35"/>
  <c r="B150" i="35"/>
  <c r="B149" i="35"/>
  <c r="B148" i="35"/>
  <c r="B147" i="35"/>
  <c r="B146" i="35"/>
  <c r="B145" i="35"/>
  <c r="B144" i="35"/>
  <c r="B143" i="35"/>
  <c r="A126" i="35"/>
  <c r="A127" i="35"/>
  <c r="A128" i="35"/>
  <c r="A129" i="35"/>
  <c r="A130" i="35"/>
  <c r="A131" i="35"/>
  <c r="A132" i="35"/>
  <c r="A133" i="35"/>
  <c r="A134" i="35"/>
  <c r="A135" i="35"/>
  <c r="A136" i="35"/>
  <c r="A137" i="35"/>
  <c r="B126" i="35"/>
  <c r="B127" i="35"/>
  <c r="B128" i="35"/>
  <c r="B129" i="35"/>
  <c r="B130" i="35"/>
  <c r="B131" i="35"/>
  <c r="B132" i="35"/>
  <c r="B133" i="35"/>
  <c r="B134" i="35"/>
  <c r="B135" i="35"/>
  <c r="B136" i="35"/>
  <c r="B137" i="35"/>
  <c r="A122" i="35"/>
  <c r="A123" i="35"/>
  <c r="A124" i="35"/>
  <c r="A125" i="35"/>
  <c r="B125" i="35"/>
  <c r="B124" i="35"/>
  <c r="B123" i="35"/>
  <c r="B122" i="35"/>
  <c r="A114" i="35"/>
  <c r="A115" i="35"/>
  <c r="A116" i="35"/>
  <c r="A117" i="35"/>
  <c r="B117" i="35"/>
  <c r="B116" i="35"/>
  <c r="B115" i="35"/>
  <c r="B114" i="35"/>
  <c r="A103" i="35"/>
  <c r="A104" i="35"/>
  <c r="A105" i="35"/>
  <c r="A106" i="35"/>
  <c r="A107" i="35"/>
  <c r="A108" i="35"/>
  <c r="A102" i="35"/>
  <c r="B108" i="35"/>
  <c r="B107" i="35"/>
  <c r="B106" i="35"/>
  <c r="B105" i="35"/>
  <c r="B104" i="35"/>
  <c r="B103" i="35"/>
  <c r="B102" i="35"/>
  <c r="A91" i="35"/>
  <c r="A92" i="35"/>
  <c r="A93" i="35"/>
  <c r="A94" i="35"/>
  <c r="A95" i="35"/>
  <c r="A96" i="35"/>
  <c r="A97" i="35"/>
  <c r="B94" i="35"/>
  <c r="B95" i="35"/>
  <c r="B96" i="35"/>
  <c r="B97" i="35"/>
  <c r="Z53" i="35" l="1"/>
  <c r="G32" i="35" s="1"/>
  <c r="B93" i="35"/>
  <c r="B92" i="35"/>
  <c r="B91" i="35"/>
  <c r="A70" i="35" l="1"/>
  <c r="A79" i="35"/>
  <c r="A80" i="35"/>
  <c r="A81" i="35"/>
  <c r="A82" i="35"/>
  <c r="B79" i="35"/>
  <c r="B80" i="35"/>
  <c r="B81" i="35"/>
  <c r="B82" i="35"/>
  <c r="A75" i="35"/>
  <c r="A76" i="35"/>
  <c r="A77" i="35"/>
  <c r="A78" i="35"/>
  <c r="B75" i="35"/>
  <c r="B76" i="35"/>
  <c r="B77" i="35"/>
  <c r="B78" i="35"/>
  <c r="A71" i="35"/>
  <c r="A72" i="35"/>
  <c r="A73" i="35"/>
  <c r="A74" i="35"/>
  <c r="B74" i="35"/>
  <c r="B73" i="35"/>
  <c r="B72" i="35"/>
  <c r="B71" i="35"/>
  <c r="B70" i="35"/>
  <c r="B64" i="35"/>
  <c r="B62" i="35"/>
  <c r="B61" i="35"/>
  <c r="A56" i="35"/>
  <c r="A57" i="35"/>
  <c r="B63" i="35"/>
  <c r="B57" i="35"/>
  <c r="B56" i="35"/>
  <c r="A46" i="35"/>
  <c r="B46" i="35"/>
  <c r="A47" i="35"/>
  <c r="A48" i="35"/>
  <c r="A49" i="35"/>
  <c r="A50" i="35"/>
  <c r="B50" i="35"/>
  <c r="B49" i="35"/>
  <c r="B48" i="35"/>
  <c r="B47" i="35"/>
  <c r="A38" i="35"/>
  <c r="A39" i="35"/>
  <c r="A40" i="35"/>
  <c r="A37" i="35"/>
  <c r="B40" i="35"/>
  <c r="B39" i="35"/>
  <c r="B38" i="35"/>
  <c r="B37" i="35"/>
  <c r="B32" i="35"/>
  <c r="B31" i="35"/>
  <c r="B30" i="35"/>
  <c r="B29" i="35"/>
  <c r="B28" i="35"/>
  <c r="B18" i="35" l="1"/>
  <c r="B6" i="35" l="1"/>
  <c r="B19" i="35"/>
  <c r="B16" i="35"/>
  <c r="B15" i="35"/>
  <c r="B14" i="35"/>
  <c r="B12" i="35"/>
  <c r="B11" i="35"/>
  <c r="B10" i="35"/>
  <c r="B9" i="35"/>
  <c r="B8" i="35"/>
  <c r="B13" i="35"/>
  <c r="B7" i="35"/>
</calcChain>
</file>

<file path=xl/sharedStrings.xml><?xml version="1.0" encoding="utf-8"?>
<sst xmlns="http://schemas.openxmlformats.org/spreadsheetml/2006/main" count="805" uniqueCount="307">
  <si>
    <t xml:space="preserve"> </t>
  </si>
  <si>
    <t>Specified Airport Services Information Disclosure Requirements</t>
  </si>
  <si>
    <t>Information Templates</t>
  </si>
  <si>
    <t>for</t>
  </si>
  <si>
    <t>Schedules 18–20</t>
  </si>
  <si>
    <t>Company Name</t>
  </si>
  <si>
    <t>[select name of the airport]</t>
  </si>
  <si>
    <t>Disclosure Date</t>
  </si>
  <si>
    <t>Pricing Period Starting Year (year ended)</t>
  </si>
  <si>
    <t>Templates for Schedules 18–20 (Disclosure Following a Price Setting Event)</t>
  </si>
  <si>
    <t>Table of Contents</t>
  </si>
  <si>
    <t>Schedule</t>
  </si>
  <si>
    <t>Schedule name</t>
  </si>
  <si>
    <t>Sheet name</t>
  </si>
  <si>
    <t>18</t>
  </si>
  <si>
    <t>REPORT ON THE FORECAST TOTAL ASSET BASE REVENUE REQUIREMENTS</t>
  </si>
  <si>
    <t>S18.Total revenue requirement</t>
  </si>
  <si>
    <t>19</t>
  </si>
  <si>
    <t>REPORT ON THE FORECAST PRICING ASSET BASE REVENUE REQUIREMENTS</t>
  </si>
  <si>
    <t>REPORT ON DEMAND FORECASTS</t>
  </si>
  <si>
    <t>S20.Demand Forecast</t>
  </si>
  <si>
    <t>COMMENTARY</t>
  </si>
  <si>
    <t>Data Entry Cells and Calculated Cells</t>
  </si>
  <si>
    <t>Data entered into this workbook may be entered only into the data entry cells inside excel table objects. Data entry cells are the bordered, shaded areas (light yellow cells) in each Schedule.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</si>
  <si>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</si>
  <si>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</si>
  <si>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These checks are applied to keyboard entries only and not, for example, to entries made using Excel’s copy and paste facility.</t>
  </si>
  <si>
    <t>Inserting Additional Rows</t>
  </si>
  <si>
    <t>The templates for some Schedules may require additional rows to be inserted in tables marked 'include additional rows if needed' or similar. When inserting rows do so from within the table and the 'Row" column should prepopulate with the row number.</t>
  </si>
  <si>
    <t>Additional rows must not be inserted directly above the first row or below the last row of a table. This is to ensure that entries made in the new row are included in the totals.</t>
  </si>
  <si>
    <t>Schedule References</t>
  </si>
  <si>
    <t>The column labelled "Row "of each table can be used to reference individual rows of the schedule. It may be useful to refer to this row number when writing explanatory notes about a specific data point.</t>
  </si>
  <si>
    <t>Cell colouring</t>
  </si>
  <si>
    <t>1. Light yellow: Data entry</t>
  </si>
  <si>
    <t xml:space="preserve">2. Light grey: Formula </t>
  </si>
  <si>
    <t>3. Dark grey: Blank/ empty columns</t>
  </si>
  <si>
    <t>SCHEDULE 18: REPORT ON THE FORECAST TOTAL ASSET BASE REVENUE REQUIREMENTS</t>
  </si>
  <si>
    <t>18(i): Forecast Internal Rate of Return: Components</t>
  </si>
  <si>
    <t>Section</t>
  </si>
  <si>
    <t>Row</t>
  </si>
  <si>
    <t>Context</t>
  </si>
  <si>
    <t>Category1</t>
  </si>
  <si>
    <t>Category 2 |
Cash flow date</t>
  </si>
  <si>
    <t>First Day of Pricing Period |
$000</t>
  </si>
  <si>
    <t>Pricing Period Starting Year |
$000</t>
  </si>
  <si>
    <t>Pricing Period Starting Year + 1 |
$000</t>
  </si>
  <si>
    <t>Pricing Period Starting Year + 2 |
$000</t>
  </si>
  <si>
    <t>Pricing Period Starting Year + 3 |
$000</t>
  </si>
  <si>
    <t>Pricing Period Starting Year + 4 |
$000</t>
  </si>
  <si>
    <t>Last Day of Pricing Period |
$000</t>
  </si>
  <si>
    <t xml:space="preserve">Calcuation - IRR - Pricing period </t>
  </si>
  <si>
    <t>Opening RAB</t>
  </si>
  <si>
    <t>Pricing period start date</t>
  </si>
  <si>
    <t>Cashflow date</t>
  </si>
  <si>
    <t>Cashflow</t>
  </si>
  <si>
    <t>Forecast opening carry forward adjustment</t>
  </si>
  <si>
    <t>First Day of Pricing Period</t>
  </si>
  <si>
    <t>Opening investment value</t>
  </si>
  <si>
    <t>Pricing Period Starting Year</t>
  </si>
  <si>
    <t>plus</t>
  </si>
  <si>
    <t>Forecast total revenue requirement</t>
  </si>
  <si>
    <t>Pricing Period Starting Year + 1</t>
  </si>
  <si>
    <t>less</t>
  </si>
  <si>
    <t>Forecast assets commissioned</t>
  </si>
  <si>
    <t>Pricing Period Starting Year + 2</t>
  </si>
  <si>
    <t>Forecast cash flow from asset disposals</t>
  </si>
  <si>
    <t>Pricing Period Starting Year + 3</t>
  </si>
  <si>
    <t xml:space="preserve">Forecast operational expenditure </t>
  </si>
  <si>
    <t>Pricing Period Starting Year + 4</t>
  </si>
  <si>
    <t>Forecast unlevered tax</t>
  </si>
  <si>
    <t>Cashflow date (Revenue)</t>
  </si>
  <si>
    <t>Forecast closing asset base</t>
  </si>
  <si>
    <t>Forecast closing carry forward adjustment</t>
  </si>
  <si>
    <t>Forecast closing investment value</t>
  </si>
  <si>
    <t>Forecast net cash flows</t>
  </si>
  <si>
    <t>Last Day of Pricing Period</t>
  </si>
  <si>
    <t>Forecast post-tax IRR</t>
  </si>
  <si>
    <t>NPV value</t>
  </si>
  <si>
    <t>NPV check</t>
  </si>
  <si>
    <t xml:space="preserve">Calculation - Annual IRR </t>
  </si>
  <si>
    <t>18(ii): Forecast Internal Rate of Return - Annual and Period to Date</t>
  </si>
  <si>
    <t>Date</t>
  </si>
  <si>
    <t>Cash flow</t>
  </si>
  <si>
    <t xml:space="preserve">Forecast post-tax IRR - annual </t>
  </si>
  <si>
    <t>Forecast post-tax IRR - period to date</t>
  </si>
  <si>
    <t>Forecast post-tax IRR - annual</t>
  </si>
  <si>
    <t>18(iii): Forecast opening carry forward adjustment</t>
  </si>
  <si>
    <t>Forecast closing carry forward adjustment from previous pricing period |
$000</t>
  </si>
  <si>
    <t>Opening carry forward adjustments from current price setting event |
$000</t>
  </si>
  <si>
    <t>Forecast opening carry forward adjustment |
$000</t>
  </si>
  <si>
    <t>Please explain each adjustment and how this has been calculated</t>
  </si>
  <si>
    <t>Calculation - period to date</t>
  </si>
  <si>
    <t>Default revaluation gain/loss adjustment</t>
  </si>
  <si>
    <t>Risk allocation adjustment</t>
  </si>
  <si>
    <t>Other carry forward adjustments</t>
  </si>
  <si>
    <t xml:space="preserve">Go to Commentary tab: Provide a summary of any views expressed by substantial customers about the pricing approaches reflected in the opening carry forward adjustment </t>
  </si>
  <si>
    <t>18(iv): Forecast closing carry forward adjustment</t>
  </si>
  <si>
    <t>Category1 |
Description of closing carry forward adjustment</t>
  </si>
  <si>
    <t>Forecast closing carry forward adjustment |
$000</t>
  </si>
  <si>
    <t>Total forecast closing carry forward adjustment</t>
  </si>
  <si>
    <t>Go to Commentary tab: Explain how the closing investment value provides a good indication of the remaining capital expected to be recovered by the airport in future pricing periods and provide a summary of substantial customer views on any closing carry forward adjustments.</t>
  </si>
  <si>
    <t>18(v): Cash flow timing assumptions</t>
  </si>
  <si>
    <t xml:space="preserve">Category1 </t>
  </si>
  <si>
    <t>Year of most recent annual disclosure (year ended)</t>
  </si>
  <si>
    <t>First day of pricing period</t>
  </si>
  <si>
    <t>18(v): Cash flow timing assumptions: Days from year end</t>
  </si>
  <si>
    <t>Category2</t>
  </si>
  <si>
    <t>Days from year end</t>
  </si>
  <si>
    <t>Cash flow timing - revenues</t>
  </si>
  <si>
    <t>Airport assumption</t>
  </si>
  <si>
    <t>Default assumption</t>
  </si>
  <si>
    <t>Cash flow timing - expenditure</t>
  </si>
  <si>
    <t xml:space="preserve">Cash flow timing - expenditure  </t>
  </si>
  <si>
    <t>Go to Commentary tab: Explanation and evidence if airport assumption is different from default.</t>
  </si>
  <si>
    <t>18(vi): Total Revenue Requirement</t>
  </si>
  <si>
    <t>Forecast revenue for services applicable to the price setting event (excluding forecast assets held for future use revenue)</t>
  </si>
  <si>
    <t>Forecast lease, rental and concession income (not applicable to the price setting event)</t>
  </si>
  <si>
    <t>Forecast other operating revenue (not applicable to the price setting event)</t>
  </si>
  <si>
    <t>Forecast total revenue requirement (excluding assets held for future use revenue)</t>
  </si>
  <si>
    <t>Forecast depreciation</t>
  </si>
  <si>
    <t>Forecast revaluations</t>
  </si>
  <si>
    <t>Forecast regulatory profit / (loss)</t>
  </si>
  <si>
    <t>Forecast cost of capital</t>
  </si>
  <si>
    <t xml:space="preserve">Post-tax WACC at price setting event </t>
  </si>
  <si>
    <t>WACC percentile equivalent for forecast cost of capital (optional)</t>
  </si>
  <si>
    <t>WACC percentile equivalent for the post-tax IRR (optional)</t>
  </si>
  <si>
    <t xml:space="preserve">Forecast assets held for future use revenue </t>
  </si>
  <si>
    <t>Forecast total revenue requirement (including forecast assets held for future use revenue)</t>
  </si>
  <si>
    <t>Go to Commentary tab: Provide a summary of any views expressed by substantial customers about the pricing approaches reflected in the opening carry forward adjustment.</t>
  </si>
  <si>
    <t>18(vii): Opening Regulatory Asset Base</t>
  </si>
  <si>
    <t>($000)</t>
  </si>
  <si>
    <t>Assets commissioned</t>
  </si>
  <si>
    <t xml:space="preserve">less </t>
  </si>
  <si>
    <t>Asset disposals</t>
  </si>
  <si>
    <t>plus (less)</t>
  </si>
  <si>
    <t>Forecast adjustment resulting from cost allocation</t>
  </si>
  <si>
    <t>Estimate of regulatory asset base at start of price setting event</t>
  </si>
  <si>
    <t>18(viii): Forecast Asset Base</t>
  </si>
  <si>
    <t>Pricing Period Starting Year - 1 |
$000</t>
  </si>
  <si>
    <t>Forecast asset base—previous year</t>
  </si>
  <si>
    <t>Go to Commentary tab: Description of any other factors that are considered in determining the forecast total revenue requirement.</t>
  </si>
  <si>
    <t>18(ix): Forecast Works Under Construction</t>
  </si>
  <si>
    <t>Works under construction—previous year</t>
  </si>
  <si>
    <t>Capital expenditure</t>
  </si>
  <si>
    <t>Works under construction</t>
  </si>
  <si>
    <t>18(x): Assets held for future use cost and base value</t>
  </si>
  <si>
    <t>Assets held for future use opening cost—previous year</t>
  </si>
  <si>
    <t>Forecast holding costs</t>
  </si>
  <si>
    <t>Forecast assets held for future use net revenue</t>
  </si>
  <si>
    <t>Forecast assets held for future use additions</t>
  </si>
  <si>
    <t>Forecast assets held for future use disposals</t>
  </si>
  <si>
    <t>Forecast transfers to works under construction</t>
  </si>
  <si>
    <t>Assets held for future use closing cost</t>
  </si>
  <si>
    <t>Initial base value</t>
  </si>
  <si>
    <t>Opening tracking revaluations</t>
  </si>
  <si>
    <t>Opening base value</t>
  </si>
  <si>
    <t xml:space="preserve">Forecast assets held for future use revaluations </t>
  </si>
  <si>
    <t>Closing base value</t>
  </si>
  <si>
    <t>Tracking revaluations</t>
  </si>
  <si>
    <t>Go to Commentary tab: Assumptions and explanations of any assets held for future use revenues</t>
  </si>
  <si>
    <t>18(xi): Forecast Capital Expenditure</t>
  </si>
  <si>
    <t>Category 2</t>
  </si>
  <si>
    <t>Key Capital Expenditure Project</t>
  </si>
  <si>
    <t>Pricing Period Starting Year + 5 |
$000</t>
  </si>
  <si>
    <t>Pricing Period Starting Year + 6 |
$000</t>
  </si>
  <si>
    <t>Pricing Period Starting Year + 7 |
$000</t>
  </si>
  <si>
    <t>Pricing Period Starting Year + 8 |
$000</t>
  </si>
  <si>
    <t>Pricing Period Starting Year + 9 |
$000</t>
  </si>
  <si>
    <t>Total |
$000</t>
  </si>
  <si>
    <t>Capital Expenditure by Category</t>
  </si>
  <si>
    <t>Capacity growth</t>
  </si>
  <si>
    <t>Asset replacement and renewal</t>
  </si>
  <si>
    <t>Total capital expenditure</t>
  </si>
  <si>
    <t>Capital Expenditure by Key Capital Expenditure Project</t>
  </si>
  <si>
    <t>[Project 1]</t>
  </si>
  <si>
    <t>[Project 2]</t>
  </si>
  <si>
    <t>[Project 3]</t>
  </si>
  <si>
    <t>[Project 4]</t>
  </si>
  <si>
    <t>[Project 5]</t>
  </si>
  <si>
    <t>[Project 6]</t>
  </si>
  <si>
    <t>[Project 7]</t>
  </si>
  <si>
    <t>[Project 8]</t>
  </si>
  <si>
    <t>[Project 9]</t>
  </si>
  <si>
    <t>[Project 10]</t>
  </si>
  <si>
    <t>[Project 11]</t>
  </si>
  <si>
    <t>[Project 12]</t>
  </si>
  <si>
    <t>Other capital expenditure</t>
  </si>
  <si>
    <t xml:space="preserve">*Add additional rows for more projects if needed. </t>
  </si>
  <si>
    <t>Go to Commentary tab: Basis for Cost Allocation. Additionally, Key Capital Expenditure Projects—Consumer Demands Assessment.</t>
  </si>
  <si>
    <t>18(xii) Forecast operational expenditure</t>
  </si>
  <si>
    <t>Corporate overheads</t>
  </si>
  <si>
    <t>Asset management and airport operations</t>
  </si>
  <si>
    <t>Asset maintenance</t>
  </si>
  <si>
    <t>Forecast operational expenditure</t>
  </si>
  <si>
    <t>18(xiii) Forecast financial incentives</t>
  </si>
  <si>
    <t>Forecast pricing incentives</t>
  </si>
  <si>
    <t>Forecast other incentives</t>
  </si>
  <si>
    <t>Forecast total financial incentives</t>
  </si>
  <si>
    <t>18(xiv) Forecast revaluations</t>
  </si>
  <si>
    <t>Pricing Period Starting Year - 1</t>
  </si>
  <si>
    <t>Forecast CPI used to set prices</t>
  </si>
  <si>
    <t>Forecast pricing CPI (%)</t>
  </si>
  <si>
    <t>%</t>
  </si>
  <si>
    <t>Asset category revaluation rates</t>
  </si>
  <si>
    <t xml:space="preserve">Land </t>
  </si>
  <si>
    <t>Sealed Surfaces</t>
  </si>
  <si>
    <t xml:space="preserve">Infrastructure and buildings </t>
  </si>
  <si>
    <t>Vehicles, plant and equipment</t>
  </si>
  <si>
    <t>Revaluations</t>
  </si>
  <si>
    <t>$000</t>
  </si>
  <si>
    <t>Total forecast revaluations</t>
  </si>
  <si>
    <t>Value of any forecast revaluations not consistent with IMs</t>
  </si>
  <si>
    <t>18(xv) Alternative methodologies with equivalent effect</t>
  </si>
  <si>
    <t>Go to Commentary tab: Description of and explanation for any alternative methodologies with equivalent effect that have been applied and which components they have been applied to (including evidence to support that it is likely to have equivalent effect).</t>
  </si>
  <si>
    <t xml:space="preserve">SCHEDULE 19: REPORT ON THE FORECAST PRICING ASSET BASE REVENUE REQUIREMENTS </t>
  </si>
  <si>
    <t>19(i): Forecast Internal Rate of Return</t>
  </si>
  <si>
    <t>Opening asset base (applicable to price setting)</t>
  </si>
  <si>
    <t>Forecast revenue for services applicable to price setting event</t>
  </si>
  <si>
    <t>19(ii): Opening carry forward adjustment</t>
  </si>
  <si>
    <t>Forecast closing carry forward from previous price setting event |
$000</t>
  </si>
  <si>
    <t>Total opening carry forward adjustment |
$000</t>
  </si>
  <si>
    <t>19(iii): Forecast closing carry forward adjustment</t>
  </si>
  <si>
    <t>Total closing carry forward adjustment |
$000</t>
  </si>
  <si>
    <t>19(iv): Cash flow timing assumptions</t>
  </si>
  <si>
    <t>19(iv): Cash flow timing assumptions: Days from year end</t>
  </si>
  <si>
    <t>19(v): Total Revenue Requirement for Pricing Assets</t>
  </si>
  <si>
    <t>Forecast revenue from airport activity charges applicable to the price setting event</t>
  </si>
  <si>
    <t>Forecast lease, rental and concession income (applicable to the price setting event)</t>
  </si>
  <si>
    <t>Forecast other operating revenue (applicable to the price setting event)</t>
  </si>
  <si>
    <t>Forecast pricing revenue for services applicable to the price setting event pricing revenue requirement (excluding assets held for future use revenue)</t>
  </si>
  <si>
    <t>Forecast pricing revenue requirement (excluding forecast revenue from assets held for future use revenues)</t>
  </si>
  <si>
    <t xml:space="preserve">Forecast revenues from assets held for future use charges </t>
  </si>
  <si>
    <t>Forecast pricing revenue requirement from airport charges (including forecast revenue from assets held for future use charges)</t>
  </si>
  <si>
    <t>19(vi): Opening Regulated Asset Base (applicable to price setting)</t>
  </si>
  <si>
    <t>Estimate of regulated asset base (applicable to price setting) at start of price setting event</t>
  </si>
  <si>
    <t>19(vii): Forecast Asset Base (applicable to price setting)</t>
  </si>
  <si>
    <t>Forecast pricing asset base—previous year</t>
  </si>
  <si>
    <t>Forecast pricing asset base</t>
  </si>
  <si>
    <t>Go to Commentary tab: Description and explanation of the depreciation methodology applied.</t>
  </si>
  <si>
    <t>SCHEDULE 20: REPORT ON DEMAND FORECASTS</t>
  </si>
  <si>
    <t>20a: Passenger terminal demand</t>
  </si>
  <si>
    <t>Category 3</t>
  </si>
  <si>
    <t>Pricing Period Starting Year + 5</t>
  </si>
  <si>
    <t>Pricing Period Starting Year + 6</t>
  </si>
  <si>
    <t>Pricing Period Starting Year + 7</t>
  </si>
  <si>
    <t>Pricing Period Starting Year + 8</t>
  </si>
  <si>
    <t>Pricing Period Starting Year + 9</t>
  </si>
  <si>
    <t>Busy hour passenger numbers</t>
  </si>
  <si>
    <t>Inbound passengers</t>
  </si>
  <si>
    <t>Domestic</t>
  </si>
  <si>
    <t>International</t>
  </si>
  <si>
    <t>Combined *</t>
  </si>
  <si>
    <t>Outbound passengers</t>
  </si>
  <si>
    <t>Number of passengers during year</t>
  </si>
  <si>
    <t>Total</t>
  </si>
  <si>
    <t>International transit and transfer passengers†</t>
  </si>
  <si>
    <t>* No disclosure of combined terminal forecasts is required for airports with no shared passenger terminal functional components.</t>
  </si>
  <si>
    <t>† NB. Forecasts of international transit and transfer passenger numbers relate only to airports with extant or planned international transit and transfer facilities</t>
  </si>
  <si>
    <t>20b: Aircraft Runway Movements</t>
  </si>
  <si>
    <t>Movements during busy period (total number of aircraft)</t>
  </si>
  <si>
    <t>During the runway busy hour</t>
  </si>
  <si>
    <t>During the runway busy day</t>
  </si>
  <si>
    <t>Landings during year (total number of aircraft)</t>
  </si>
  <si>
    <t>Aircraft 30 tonnes MCTOW or more</t>
  </si>
  <si>
    <t>Aircraft 3 tonnes or more but less than 30 tonnes MCTOW</t>
  </si>
  <si>
    <t>Aircraft less than 3 tonnes MCTOW</t>
  </si>
  <si>
    <t>Landings during year (total MCTOW in tonnes)</t>
  </si>
  <si>
    <t>Air passenger services—international</t>
  </si>
  <si>
    <t>Air passenger services—domestic</t>
  </si>
  <si>
    <t>Other aircraft</t>
  </si>
  <si>
    <t>Go to Commentary tab: Description of the basis for forecasts, and/or assumptions made in forecasting.</t>
  </si>
  <si>
    <t>Category2 | Description</t>
  </si>
  <si>
    <t>Commentary</t>
  </si>
  <si>
    <t xml:space="preserve">Provide a summary of any views expressed by substantial customers about the pricing approaches reflected in the opening carry forward adjustment </t>
  </si>
  <si>
    <t>Explain how the closing investment value provides a good indication of the remaining capital expected to be recovered by the airport in future pricing periods and provide a summary of substantial customer views on any closing carry forward adjustments</t>
  </si>
  <si>
    <t>Explanation and evidence if airport assumption is different from default</t>
  </si>
  <si>
    <t>Overview of the methodology used to determine the revenue requirement</t>
  </si>
  <si>
    <t>Explain the differences between the post-tax IRR and the forecast cost of capital, and the post-tax WACC at price setting event  and the forecast cost of capital (including reasons)</t>
  </si>
  <si>
    <t>Description of any other factors that are considered in determining the forecast total revenue requirement</t>
  </si>
  <si>
    <t>Description and explanation of the depreciation methodology applied</t>
  </si>
  <si>
    <t>Assumptions and explanations of any assets held for future use revenues</t>
  </si>
  <si>
    <t>Basis for Cost Allocation</t>
  </si>
  <si>
    <t>An explanation of where and why disclosures differ from the cost-allocation Input Methodology and/or, where costs are shared between regulated and non-regulated assets, an explanation of the basis for that allocation.</t>
  </si>
  <si>
    <t>Key Capital Expenditure Projects—Consumer Demands Assessment.</t>
  </si>
  <si>
    <t xml:space="preserve">An explanation of how consumer demands have been assessed and incorporated for each reported project and the degree to which consumers agree with project scope, timing and cost. </t>
  </si>
  <si>
    <t>Description of and explanation for any alternative methodologies with equivalent effect that have been applied and which components they have been applied to (including evidence to support that it is likely to have equivalent effect)</t>
  </si>
  <si>
    <t>Provide a summary of any views expressed by substantial customers about the pricing approaches reflected in the opening carry forward adjustment</t>
  </si>
  <si>
    <t>Overview of the methodology used to determine the revenue requirement for pricing assets</t>
  </si>
  <si>
    <t>Explain any difference between the post-tax IRR on the pricing asset base and the post-tax IRR on the regulated asset base</t>
  </si>
  <si>
    <t>20b: Aircraft Runway Movements: Basis and assumptions for forecast</t>
  </si>
  <si>
    <t xml:space="preserve">Description of the basis for forecasts, and/or assumptions made in forecasting </t>
  </si>
  <si>
    <t>Forecast pricing revenue requirement from airport charges (including assets held for future use charges)</t>
  </si>
  <si>
    <t>Revenue Requirement for Pricing Assets</t>
  </si>
  <si>
    <t>Go to Commentary tab: Provide an overview of the methodology used to determine the revenue requirement. Additionally, explain the differences between the post-tax IRR and the forecast cost of capital, and the post-tax WACC at price setting event  and the forecast cost of capital (including reasons). Additionally, Provide a summary of any views expressed by substantial customers about the pricing approaches reflected in the opening carry forward adjustment.</t>
  </si>
  <si>
    <t>Go to Commentary tab: Provide an overview of the methodology used to determine the revenue requirement for pricing assets. Additionally, explain any difference between the post-tax IRR on the pricing asset base and the post-tax IRR on the regulated asset base. Additionally, provide a description of any other factors that are considered in determining the forecast total revenue requirement.</t>
  </si>
  <si>
    <t xml:space="preserve">The templates contained in this workbook are intended to reflect the specified airport disclosure requirements set out in Schedules 18–20 of  Commerce Commission decision 715  (Commerce Act (Specified Airport Services Information Disclosure) Determination 2010). </t>
  </si>
  <si>
    <t xml:space="preserve">Disclosure Template Guidelines for Information Entry </t>
  </si>
  <si>
    <t>Suggested File Naming</t>
  </si>
  <si>
    <t>For better consistency and improved data management, we recommend that filenames follow the format below:</t>
  </si>
  <si>
    <t>where the {provider} code should be "AKL" for Auckland Airport, "CHCH" for Christchurch Airport, and "WLG" for Wellington Airport.</t>
  </si>
  <si>
    <t>{provider}_Airport_ID_pricing_DY{xx}_{ddmmyyyy}.xlsx</t>
  </si>
  <si>
    <t>Example: For an Auckland Airport ID submission for Disclosure Year 2026, with a disclosure date of 30 November 2026, the filename should be "AKL_Airport_ID_pricing_DY26_30112026.xlsx".</t>
  </si>
  <si>
    <t>Disclosure year of most recent annual disclosure (year ended)</t>
  </si>
  <si>
    <t>Category 3| Units</t>
  </si>
  <si>
    <t>S19.Pricing Asset Revenue</t>
  </si>
  <si>
    <t>Draft Templates Prepared April 2026</t>
  </si>
  <si>
    <t>Airport_ID_pricing__V2026_04_draft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</si>
</sst>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quot;$&quot;#,##0_);[Red]\(&quot;$&quot;#,##0\)"/>
    <numFmt numFmtId="165" formatCode="_(* #,##0.00_);_(* \(#,##0.00\);_(* &quot;-&quot;??_);_(@_)"/>
    <numFmt numFmtId="166" formatCode="_(@_)"/>
    <numFmt numFmtId="167" formatCode="_(* 0000_);_(* \(0000\);_(* &quot;–&quot;??_);_(@_)"/>
    <numFmt numFmtId="168" formatCode="_([$-1409]d\ mmmm\ yyyy;_(@"/>
    <numFmt numFmtId="169" formatCode="[$-1409]d\ mmm\ yy;@"/>
    <numFmt numFmtId="170" formatCode="_(* #,##0.00%_);_(* \(#,##0.00%\);_(* &quot;–&quot;???_);_(* @_)"/>
    <numFmt numFmtId="171" formatCode="_(* #,##0_);_(* \(#,##0\);_(* &quot;–&quot;??_);_(* @_)"/>
    <numFmt numFmtId="172" formatCode="_(* @_)"/>
    <numFmt numFmtId="173" formatCode="_(* #,##0.0,,_);_(* \(#,##0.0,,\);_(* &quot;-&quot;??_);_(@_)"/>
    <numFmt numFmtId="174" formatCode="_(* #,##0_);_(* \(#,##0\);_(* &quot;-&quot;??_);_(@_)"/>
    <numFmt numFmtId="175" formatCode="#,##0;\(#,##0\);\-"/>
    <numFmt numFmtId="176" formatCode="#,##0\ ;\(#,##0\);\-"/>
    <numFmt numFmtId="177" formatCode="_(* #,##0.00_);_(* \(#,##0.00\);_(* &quot;–&quot;??_);_(* @_)"/>
    <numFmt numFmtId="178" formatCode="[$-1409]d\ mmm\ yyyy;@"/>
    <numFmt numFmtId="179" formatCode="_([$-1409]d\ mmm\ yyyy;_(@"/>
  </numFmts>
  <fonts count="55" x14ac:knownFonts="1">
    <font>
      <sz val="10"/>
      <color theme="1"/>
      <name val="Arial"/>
      <family val="4"/>
      <scheme val="minor"/>
    </font>
    <font>
      <sz val="8"/>
      <name val="Arial"/>
      <family val="2"/>
    </font>
    <font>
      <sz val="12"/>
      <name val="Arial"/>
      <family val="2"/>
    </font>
    <font>
      <sz val="10"/>
      <color theme="1"/>
      <name val="Arial"/>
      <family val="4"/>
      <scheme val="minor"/>
    </font>
    <font>
      <sz val="10"/>
      <color theme="1"/>
      <name val="Arial"/>
      <family val="1"/>
      <scheme val="maj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sz val="10"/>
      <color theme="1"/>
      <name val="Arial"/>
      <family val="2"/>
      <scheme val="min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sz val="10"/>
      <name val="Calibri"/>
      <family val="2"/>
    </font>
    <font>
      <i/>
      <sz val="10"/>
      <name val="Arial"/>
      <family val="2"/>
      <scheme val="minor"/>
    </font>
    <font>
      <b/>
      <sz val="18"/>
      <name val="Arial"/>
      <family val="2"/>
      <scheme val="minor"/>
    </font>
    <font>
      <b/>
      <sz val="18"/>
      <name val="Calibri"/>
      <family val="2"/>
    </font>
    <font>
      <b/>
      <sz val="16"/>
      <name val="Calibri"/>
      <family val="2"/>
    </font>
    <font>
      <sz val="11"/>
      <name val="Arial"/>
      <family val="2"/>
      <scheme val="minor"/>
    </font>
    <font>
      <b/>
      <sz val="12"/>
      <color theme="0"/>
      <name val="Arial"/>
      <family val="2"/>
      <scheme val="minor"/>
    </font>
    <font>
      <sz val="8"/>
      <name val="Arial"/>
      <family val="4"/>
      <scheme val="minor"/>
    </font>
    <font>
      <sz val="10"/>
      <color theme="1"/>
      <name val="Calibri"/>
      <family val="2"/>
    </font>
    <font>
      <i/>
      <sz val="10"/>
      <name val="Calibri"/>
      <family val="2"/>
    </font>
    <font>
      <i/>
      <sz val="10"/>
      <color theme="1"/>
      <name val="Calibri"/>
      <family val="2"/>
    </font>
    <font>
      <b/>
      <sz val="12"/>
      <color theme="1"/>
      <name val="Calibri"/>
      <family val="2"/>
    </font>
    <font>
      <sz val="10"/>
      <color indexed="8"/>
      <name val="Calibri"/>
      <family val="2"/>
    </font>
    <font>
      <b/>
      <i/>
      <sz val="12"/>
      <color theme="1"/>
      <name val="Arial"/>
      <family val="2"/>
      <scheme val="minor"/>
    </font>
    <font>
      <b/>
      <sz val="11"/>
      <color theme="0"/>
      <name val="Calibri"/>
      <family val="2"/>
    </font>
    <font>
      <b/>
      <u/>
      <sz val="10"/>
      <color theme="1"/>
      <name val="Calibri"/>
      <family val="2"/>
    </font>
    <font>
      <sz val="11"/>
      <name val="Calibri"/>
      <family val="2"/>
    </font>
    <font>
      <i/>
      <sz val="11"/>
      <name val="Calibri"/>
      <family val="2"/>
    </font>
    <font>
      <sz val="11"/>
      <color theme="1"/>
      <name val="Calibri"/>
      <family val="2"/>
    </font>
    <font>
      <b/>
      <sz val="11"/>
      <name val="Calibri"/>
      <family val="2"/>
    </font>
    <font>
      <i/>
      <sz val="11"/>
      <color theme="1"/>
      <name val="Calibri"/>
      <family val="2"/>
    </font>
    <font>
      <b/>
      <sz val="10"/>
      <name val="Calibri"/>
      <family val="2"/>
    </font>
    <font>
      <b/>
      <sz val="18"/>
      <color theme="1"/>
      <name val="Calibri"/>
      <family val="2"/>
    </font>
    <font>
      <b/>
      <sz val="10"/>
      <color theme="1"/>
      <name val="Calibri"/>
      <family val="2"/>
    </font>
    <font>
      <i/>
      <sz val="8"/>
      <color indexed="8"/>
      <name val="Calibri"/>
      <family val="2"/>
    </font>
    <font>
      <b/>
      <sz val="10"/>
      <color theme="1"/>
      <name val="Calibri Light"/>
      <family val="2"/>
    </font>
    <font>
      <sz val="10"/>
      <color theme="1"/>
      <name val="Calibri Light"/>
      <family val="2"/>
    </font>
    <font>
      <b/>
      <sz val="18"/>
      <color theme="1"/>
      <name val="Arial"/>
      <family val="2"/>
      <scheme val="major"/>
    </font>
    <font>
      <b/>
      <sz val="11"/>
      <color theme="1"/>
      <name val="Calibri"/>
      <family val="2"/>
    </font>
    <font>
      <b/>
      <sz val="11"/>
      <name val="Arial"/>
      <family val="2"/>
      <scheme val="minor"/>
    </font>
  </fonts>
  <fills count="43">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2E666C"/>
        <bgColor rgb="FF2E666C"/>
      </patternFill>
    </fill>
    <fill>
      <patternFill patternType="solid">
        <fgColor theme="0" tint="-0.14996795556505021"/>
        <bgColor indexed="64"/>
      </patternFill>
    </fill>
    <fill>
      <patternFill patternType="solid">
        <fgColor theme="1" tint="0.499984740745262"/>
        <bgColor indexed="64"/>
      </patternFill>
    </fill>
    <fill>
      <patternFill patternType="solid">
        <fgColor rgb="FFCCE7EA"/>
        <bgColor rgb="FFCCE7EA"/>
      </patternFill>
    </fill>
    <fill>
      <patternFill patternType="solid">
        <fgColor rgb="FFFFF2CC"/>
        <bgColor indexed="64"/>
      </patternFill>
    </fill>
    <fill>
      <patternFill patternType="solid">
        <fgColor theme="4"/>
        <bgColor theme="4"/>
      </patternFill>
    </fill>
  </fills>
  <borders count="30">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68B7BF"/>
      </top>
      <bottom style="thin">
        <color rgb="FF68B7BF"/>
      </bottom>
      <diagonal/>
    </border>
    <border>
      <left/>
      <right/>
      <top/>
      <bottom style="thin">
        <color rgb="FF68B7BF"/>
      </bottom>
      <diagonal/>
    </border>
    <border>
      <left/>
      <right style="thin">
        <color rgb="FF68B7BF"/>
      </right>
      <top/>
      <bottom style="thin">
        <color rgb="FF68B7BF"/>
      </bottom>
      <diagonal/>
    </border>
    <border>
      <left/>
      <right/>
      <top/>
      <bottom style="thin">
        <color theme="4" tint="0.39997558519241921"/>
      </bottom>
      <diagonal/>
    </border>
    <border>
      <left/>
      <right/>
      <top style="thin">
        <color rgb="FF68B7BF"/>
      </top>
      <bottom/>
      <diagonal/>
    </border>
    <border>
      <left style="thin">
        <color rgb="FF68B7BF"/>
      </left>
      <right/>
      <top/>
      <bottom style="thin">
        <color rgb="FF68B7B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62">
    <xf numFmtId="0" fontId="0" fillId="0" borderId="0"/>
    <xf numFmtId="171" fontId="4" fillId="0" borderId="0" applyFont="0" applyFill="0" applyBorder="0" applyAlignment="0" applyProtection="0">
      <alignment horizontal="left"/>
      <protection locked="0"/>
    </xf>
    <xf numFmtId="0" fontId="3" fillId="41" borderId="0" applyNumberFormat="0"/>
    <xf numFmtId="49" fontId="5" fillId="0" borderId="0" applyFill="0" applyProtection="0">
      <alignment horizontal="left" indent="1"/>
    </xf>
    <xf numFmtId="0" fontId="6" fillId="0" borderId="0" applyNumberFormat="0" applyFill="0" applyBorder="0" applyAlignment="0" applyProtection="0">
      <alignment vertical="top"/>
      <protection locked="0"/>
    </xf>
    <xf numFmtId="0" fontId="7" fillId="0" borderId="0" applyNumberFormat="0" applyFill="0" applyAlignment="0"/>
    <xf numFmtId="0" fontId="8" fillId="0" borderId="0" applyNumberFormat="0" applyFill="0" applyAlignment="0"/>
    <xf numFmtId="49" fontId="9" fillId="2" borderId="0" applyFill="0" applyBorder="0">
      <alignment horizontal="left"/>
    </xf>
    <xf numFmtId="0" fontId="4" fillId="2" borderId="0" applyFill="0" applyBorder="0">
      <alignment wrapText="1"/>
    </xf>
    <xf numFmtId="0" fontId="10" fillId="0" borderId="0" applyNumberFormat="0" applyFill="0" applyBorder="0" applyAlignment="0" applyProtection="0">
      <alignment vertical="top"/>
      <protection locked="0"/>
    </xf>
    <xf numFmtId="9" fontId="4" fillId="0" borderId="0" applyFont="0" applyFill="0" applyBorder="0" applyAlignment="0" applyProtection="0"/>
    <xf numFmtId="166" fontId="4" fillId="0" borderId="0" applyFont="0" applyFill="0" applyBorder="0" applyAlignment="0" applyProtection="0">
      <alignment horizontal="left"/>
      <protection locked="0"/>
    </xf>
    <xf numFmtId="167" fontId="4" fillId="0" borderId="0" applyFont="0" applyFill="0" applyBorder="0" applyAlignment="0" applyProtection="0">
      <alignment horizontal="left"/>
      <protection locked="0"/>
    </xf>
    <xf numFmtId="0" fontId="12" fillId="0" borderId="0" applyNumberFormat="0" applyFill="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9" applyNumberFormat="0" applyAlignment="0" applyProtection="0"/>
    <xf numFmtId="0" fontId="17" fillId="9" borderId="10" applyNumberFormat="0" applyAlignment="0" applyProtection="0"/>
    <xf numFmtId="0" fontId="18" fillId="9" borderId="9" applyNumberFormat="0" applyAlignment="0" applyProtection="0"/>
    <xf numFmtId="0" fontId="19" fillId="0" borderId="11" applyNumberFormat="0" applyFill="0" applyAlignment="0" applyProtection="0"/>
    <xf numFmtId="0" fontId="20" fillId="10" borderId="12" applyNumberFormat="0" applyAlignment="0" applyProtection="0"/>
    <xf numFmtId="0" fontId="21" fillId="0" borderId="0" applyNumberFormat="0" applyFill="0" applyBorder="0" applyAlignment="0" applyProtection="0"/>
    <xf numFmtId="0" fontId="3" fillId="11" borderId="13" applyNumberFormat="0" applyFont="0" applyAlignment="0" applyProtection="0"/>
    <xf numFmtId="0" fontId="22" fillId="0" borderId="14" applyNumberFormat="0" applyFill="0" applyAlignment="0" applyProtection="0"/>
    <xf numFmtId="0" fontId="23"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35" borderId="0" applyNumberFormat="0" applyBorder="0" applyAlignment="0" applyProtection="0"/>
    <xf numFmtId="0" fontId="26" fillId="36" borderId="0" applyNumberFormat="0" applyFill="0" applyBorder="0" applyProtection="0">
      <alignment horizontal="right"/>
    </xf>
    <xf numFmtId="0" fontId="27" fillId="0" borderId="0" applyFill="0" applyProtection="0">
      <alignment horizontal="left" vertical="center"/>
    </xf>
    <xf numFmtId="173" fontId="30" fillId="38" borderId="0" applyNumberFormat="0" applyBorder="0"/>
    <xf numFmtId="0" fontId="31" fillId="0" borderId="18" applyNumberFormat="0">
      <alignment horizontal="center" vertical="center" wrapText="1"/>
    </xf>
    <xf numFmtId="0" fontId="30" fillId="39" borderId="0" applyNumberFormat="0" applyBorder="0"/>
    <xf numFmtId="0" fontId="35" fillId="4" borderId="22" applyFill="0" applyBorder="0" applyProtection="0">
      <alignment horizontal="right"/>
    </xf>
    <xf numFmtId="0" fontId="36" fillId="0" borderId="0" applyFill="0" applyProtection="0">
      <alignment horizontal="center" vertical="center"/>
    </xf>
    <xf numFmtId="49" fontId="33" fillId="4" borderId="21" applyFill="0">
      <alignment horizontal="center" vertical="center" wrapText="1"/>
    </xf>
    <xf numFmtId="0" fontId="31" fillId="42" borderId="18" applyNumberFormat="0" applyFill="0">
      <alignment horizontal="center" vertical="center" wrapText="1"/>
    </xf>
    <xf numFmtId="165" fontId="3" fillId="0" borderId="0" applyFont="0" applyFill="0" applyBorder="0" applyAlignment="0" applyProtection="0"/>
    <xf numFmtId="49" fontId="33" fillId="0" borderId="0" applyFill="0" applyBorder="0">
      <alignment horizontal="center" vertical="center" wrapText="1"/>
    </xf>
    <xf numFmtId="0" fontId="7" fillId="0" borderId="0" applyNumberFormat="0" applyFill="0" applyAlignment="0"/>
    <xf numFmtId="0" fontId="3" fillId="0" borderId="0"/>
  </cellStyleXfs>
  <cellXfs count="176">
    <xf numFmtId="0" fontId="0" fillId="0" borderId="0" xfId="0"/>
    <xf numFmtId="174" fontId="33" fillId="0" borderId="0" xfId="0" applyNumberFormat="1" applyFont="1"/>
    <xf numFmtId="14" fontId="33" fillId="0" borderId="0" xfId="0" applyNumberFormat="1" applyFont="1"/>
    <xf numFmtId="49" fontId="43" fillId="0" borderId="0" xfId="0" applyNumberFormat="1" applyFont="1"/>
    <xf numFmtId="0" fontId="25" fillId="0" borderId="19" xfId="0" applyFont="1" applyBorder="1"/>
    <xf numFmtId="0" fontId="33" fillId="0" borderId="8" xfId="0" applyFont="1" applyBorder="1"/>
    <xf numFmtId="0" fontId="33" fillId="0" borderId="7" xfId="0" applyFont="1" applyBorder="1"/>
    <xf numFmtId="0" fontId="33" fillId="0" borderId="6" xfId="0" applyFont="1" applyBorder="1"/>
    <xf numFmtId="0" fontId="42" fillId="0" borderId="19" xfId="51" applyNumberFormat="1" applyFont="1" applyFill="1" applyBorder="1"/>
    <xf numFmtId="177" fontId="41" fillId="0" borderId="19" xfId="51" applyNumberFormat="1" applyFont="1" applyFill="1" applyBorder="1"/>
    <xf numFmtId="171" fontId="33" fillId="0" borderId="1" xfId="0" applyNumberFormat="1" applyFont="1" applyBorder="1"/>
    <xf numFmtId="0" fontId="33" fillId="0" borderId="1" xfId="0" applyFont="1" applyBorder="1" applyAlignment="1">
      <alignment horizontal="right"/>
    </xf>
    <xf numFmtId="0" fontId="33" fillId="0" borderId="1" xfId="0" applyFont="1" applyBorder="1"/>
    <xf numFmtId="171" fontId="35" fillId="0" borderId="0" xfId="2" applyNumberFormat="1" applyFont="1" applyFill="1"/>
    <xf numFmtId="0" fontId="25" fillId="0" borderId="15" xfId="0" applyFont="1" applyBorder="1"/>
    <xf numFmtId="168" fontId="41" fillId="38" borderId="15" xfId="51" applyNumberFormat="1" applyFont="1" applyBorder="1"/>
    <xf numFmtId="0" fontId="42" fillId="0" borderId="19" xfId="0" applyFont="1" applyBorder="1" applyAlignment="1">
      <alignment horizontal="right"/>
    </xf>
    <xf numFmtId="0" fontId="34" fillId="0" borderId="19" xfId="0" applyFont="1" applyBorder="1"/>
    <xf numFmtId="0" fontId="39" fillId="37" borderId="17" xfId="0" applyFont="1" applyFill="1" applyBorder="1" applyAlignment="1">
      <alignment horizontal="center" vertical="center" wrapText="1"/>
    </xf>
    <xf numFmtId="0" fontId="41" fillId="39" borderId="0" xfId="53" applyNumberFormat="1" applyFont="1"/>
    <xf numFmtId="0" fontId="41" fillId="0" borderId="15" xfId="0" applyFont="1" applyBorder="1" applyAlignment="1">
      <alignment horizontal="right"/>
    </xf>
    <xf numFmtId="0" fontId="39" fillId="37" borderId="16" xfId="0" applyFont="1" applyFill="1" applyBorder="1" applyAlignment="1">
      <alignment horizontal="center" vertical="center"/>
    </xf>
    <xf numFmtId="170" fontId="44" fillId="38" borderId="23" xfId="10" applyNumberFormat="1" applyFont="1" applyFill="1" applyBorder="1"/>
    <xf numFmtId="0" fontId="39" fillId="0" borderId="17" xfId="0" applyFont="1" applyBorder="1" applyAlignment="1">
      <alignment horizontal="center" vertical="center" wrapText="1"/>
    </xf>
    <xf numFmtId="0" fontId="41" fillId="38" borderId="0" xfId="51" applyNumberFormat="1" applyFont="1" applyBorder="1"/>
    <xf numFmtId="0" fontId="33" fillId="0" borderId="4" xfId="0" applyFont="1" applyBorder="1"/>
    <xf numFmtId="171" fontId="41" fillId="38" borderId="0" xfId="51" applyNumberFormat="1" applyFont="1"/>
    <xf numFmtId="0" fontId="40" fillId="0" borderId="2" xfId="0" applyFont="1" applyBorder="1"/>
    <xf numFmtId="0" fontId="33" fillId="0" borderId="5" xfId="0" applyFont="1" applyBorder="1"/>
    <xf numFmtId="0" fontId="41" fillId="39" borderId="0" xfId="53" applyFont="1" applyBorder="1"/>
    <xf numFmtId="0" fontId="40" fillId="0" borderId="3" xfId="0" applyFont="1" applyBorder="1"/>
    <xf numFmtId="14" fontId="33" fillId="0" borderId="4" xfId="0" applyNumberFormat="1" applyFont="1" applyBorder="1"/>
    <xf numFmtId="171" fontId="43" fillId="41" borderId="0" xfId="2" applyNumberFormat="1" applyFont="1"/>
    <xf numFmtId="0" fontId="41" fillId="0" borderId="15" xfId="53" applyFont="1" applyFill="1" applyBorder="1"/>
    <xf numFmtId="0" fontId="34" fillId="0" borderId="19" xfId="0" applyFont="1" applyBorder="1" applyAlignment="1">
      <alignment vertical="top"/>
    </xf>
    <xf numFmtId="0" fontId="42" fillId="0" borderId="19" xfId="53" applyFont="1" applyFill="1" applyBorder="1"/>
    <xf numFmtId="0" fontId="41" fillId="0" borderId="19" xfId="0" applyFont="1" applyBorder="1"/>
    <xf numFmtId="0" fontId="41" fillId="0" borderId="16" xfId="53" applyFont="1" applyFill="1" applyBorder="1" applyAlignment="1">
      <alignment wrapText="1"/>
    </xf>
    <xf numFmtId="0" fontId="35" fillId="0" borderId="0" xfId="0" applyFont="1"/>
    <xf numFmtId="0" fontId="41" fillId="40" borderId="15" xfId="0" applyFont="1" applyFill="1" applyBorder="1"/>
    <xf numFmtId="0" fontId="33" fillId="0" borderId="0" xfId="0" applyFont="1"/>
    <xf numFmtId="0" fontId="42" fillId="0" borderId="0" xfId="51" applyNumberFormat="1" applyFont="1" applyFill="1" applyBorder="1"/>
    <xf numFmtId="171" fontId="44" fillId="38" borderId="25" xfId="51" applyNumberFormat="1" applyFont="1" applyBorder="1"/>
    <xf numFmtId="164" fontId="39" fillId="37" borderId="16" xfId="0" quotePrefix="1" applyNumberFormat="1" applyFont="1" applyFill="1" applyBorder="1" applyAlignment="1">
      <alignment horizontal="center" vertical="center" wrapText="1"/>
    </xf>
    <xf numFmtId="168" fontId="33" fillId="0" borderId="0" xfId="0" applyNumberFormat="1" applyFont="1" applyAlignment="1">
      <alignment horizontal="center"/>
    </xf>
    <xf numFmtId="0" fontId="41" fillId="0" borderId="16" xfId="53" applyFont="1" applyFill="1" applyBorder="1"/>
    <xf numFmtId="0" fontId="41" fillId="0" borderId="19" xfId="51" applyNumberFormat="1" applyFont="1" applyFill="1" applyBorder="1"/>
    <xf numFmtId="170" fontId="43" fillId="41" borderId="0" xfId="10" applyNumberFormat="1" applyFont="1" applyFill="1"/>
    <xf numFmtId="0" fontId="41" fillId="0" borderId="19" xfId="53" applyFont="1" applyFill="1" applyBorder="1"/>
    <xf numFmtId="0" fontId="45" fillId="0" borderId="0" xfId="0" applyFont="1" applyAlignment="1">
      <alignment horizontal="right"/>
    </xf>
    <xf numFmtId="168" fontId="43" fillId="41" borderId="0" xfId="2" applyNumberFormat="1" applyFont="1"/>
    <xf numFmtId="0" fontId="39" fillId="37" borderId="20" xfId="0" applyFont="1" applyFill="1" applyBorder="1" applyAlignment="1">
      <alignment horizontal="center" vertical="center"/>
    </xf>
    <xf numFmtId="0" fontId="43" fillId="41" borderId="0" xfId="2" applyNumberFormat="1" applyFont="1" applyAlignment="1">
      <alignment wrapText="1"/>
    </xf>
    <xf numFmtId="10" fontId="33" fillId="0" borderId="21" xfId="10" applyNumberFormat="1" applyFont="1" applyBorder="1"/>
    <xf numFmtId="0" fontId="44" fillId="0" borderId="15" xfId="0" applyFont="1" applyBorder="1"/>
    <xf numFmtId="174" fontId="41" fillId="39" borderId="0" xfId="53" applyNumberFormat="1" applyFont="1"/>
    <xf numFmtId="0" fontId="42" fillId="0" borderId="15" xfId="0" applyFont="1" applyBorder="1" applyAlignment="1">
      <alignment horizontal="right"/>
    </xf>
    <xf numFmtId="171" fontId="33" fillId="0" borderId="0" xfId="0" applyNumberFormat="1" applyFont="1"/>
    <xf numFmtId="0" fontId="39" fillId="0" borderId="16" xfId="0" applyFont="1" applyBorder="1" applyAlignment="1">
      <alignment horizontal="center" vertical="center"/>
    </xf>
    <xf numFmtId="171" fontId="44" fillId="38" borderId="24" xfId="51" applyNumberFormat="1" applyFont="1" applyBorder="1"/>
    <xf numFmtId="0" fontId="41" fillId="0" borderId="15" xfId="0" applyFont="1" applyBorder="1" applyAlignment="1">
      <alignment vertical="top" wrapText="1"/>
    </xf>
    <xf numFmtId="170" fontId="41" fillId="38" borderId="0" xfId="10" applyNumberFormat="1" applyFont="1" applyFill="1"/>
    <xf numFmtId="0" fontId="41" fillId="0" borderId="19" xfId="0" applyFont="1" applyBorder="1" applyAlignment="1">
      <alignment horizontal="right"/>
    </xf>
    <xf numFmtId="0" fontId="41" fillId="0" borderId="15" xfId="0" applyFont="1" applyBorder="1"/>
    <xf numFmtId="0" fontId="39" fillId="37" borderId="16" xfId="0" applyFont="1" applyFill="1" applyBorder="1" applyAlignment="1">
      <alignment horizontal="center" vertical="center" wrapText="1"/>
    </xf>
    <xf numFmtId="169" fontId="33" fillId="0" borderId="0" xfId="0" applyNumberFormat="1" applyFont="1"/>
    <xf numFmtId="171" fontId="41" fillId="38" borderId="15" xfId="51" applyNumberFormat="1" applyFont="1" applyBorder="1"/>
    <xf numFmtId="168" fontId="41" fillId="38" borderId="15" xfId="51" applyNumberFormat="1" applyFont="1" applyBorder="1" applyAlignment="1">
      <alignment horizontal="right"/>
    </xf>
    <xf numFmtId="0" fontId="43" fillId="0" borderId="0" xfId="0" applyFont="1"/>
    <xf numFmtId="0" fontId="33" fillId="0" borderId="0" xfId="0" applyFont="1" applyAlignment="1">
      <alignment horizontal="right"/>
    </xf>
    <xf numFmtId="0" fontId="33" fillId="0" borderId="2" xfId="0" applyFont="1" applyBorder="1"/>
    <xf numFmtId="0" fontId="41" fillId="39" borderId="0" xfId="53" applyFont="1"/>
    <xf numFmtId="0" fontId="39" fillId="0" borderId="16" xfId="0" applyFont="1" applyBorder="1" applyAlignment="1">
      <alignment horizontal="center" vertical="center" wrapText="1"/>
    </xf>
    <xf numFmtId="0" fontId="2" fillId="0" borderId="0" xfId="0" applyFont="1"/>
    <xf numFmtId="0" fontId="11" fillId="3" borderId="0" xfId="0" applyFont="1" applyFill="1"/>
    <xf numFmtId="49" fontId="4" fillId="3" borderId="0" xfId="0" applyNumberFormat="1" applyFont="1" applyFill="1"/>
    <xf numFmtId="0" fontId="0" fillId="0" borderId="3" xfId="0" applyBorder="1"/>
    <xf numFmtId="0" fontId="0" fillId="0" borderId="4" xfId="0" applyBorder="1"/>
    <xf numFmtId="0" fontId="0" fillId="0" borderId="5" xfId="0" applyBorder="1"/>
    <xf numFmtId="0" fontId="11" fillId="3" borderId="2" xfId="0" applyFont="1" applyFill="1" applyBorder="1"/>
    <xf numFmtId="0" fontId="11" fillId="3" borderId="1" xfId="0" applyFont="1" applyFill="1" applyBorder="1"/>
    <xf numFmtId="166" fontId="10" fillId="3" borderId="0" xfId="11" applyFont="1" applyFill="1" applyBorder="1" applyAlignment="1" applyProtection="1"/>
    <xf numFmtId="166" fontId="10" fillId="3" borderId="0" xfId="9" applyNumberFormat="1" applyFill="1" applyBorder="1" applyAlignment="1" applyProtection="1"/>
    <xf numFmtId="0" fontId="11" fillId="3" borderId="4" xfId="0" applyFont="1" applyFill="1" applyBorder="1"/>
    <xf numFmtId="0" fontId="28" fillId="0" borderId="0" xfId="50" applyFont="1" applyProtection="1">
      <alignment horizontal="left" vertical="center"/>
      <protection locked="0"/>
    </xf>
    <xf numFmtId="0" fontId="29" fillId="0" borderId="0" xfId="0" applyFont="1" applyProtection="1">
      <protection locked="0"/>
    </xf>
    <xf numFmtId="0" fontId="25" fillId="39" borderId="15" xfId="53" applyNumberFormat="1" applyFont="1" applyBorder="1" applyAlignment="1">
      <alignment horizontal="left"/>
    </xf>
    <xf numFmtId="0" fontId="25" fillId="38" borderId="15" xfId="51" applyNumberFormat="1" applyFont="1" applyBorder="1" applyAlignment="1">
      <alignment horizontal="left"/>
    </xf>
    <xf numFmtId="0" fontId="25" fillId="41" borderId="15" xfId="2" applyFont="1" applyBorder="1" applyAlignment="1">
      <alignment horizontal="left"/>
    </xf>
    <xf numFmtId="0" fontId="31" fillId="0" borderId="0" xfId="57" applyFill="1" applyBorder="1">
      <alignment horizontal="center" vertical="center" wrapText="1"/>
    </xf>
    <xf numFmtId="49" fontId="30" fillId="0" borderId="0" xfId="0" applyNumberFormat="1" applyFont="1" applyAlignment="1">
      <alignment horizontal="center" vertical="center"/>
    </xf>
    <xf numFmtId="0" fontId="33" fillId="3" borderId="22" xfId="0" applyFont="1" applyFill="1" applyBorder="1" applyAlignment="1">
      <alignment vertical="top" wrapText="1"/>
    </xf>
    <xf numFmtId="0" fontId="38" fillId="3" borderId="22" xfId="0" applyFont="1" applyFill="1" applyBorder="1" applyAlignment="1">
      <alignment horizontal="left" vertical="top"/>
    </xf>
    <xf numFmtId="0" fontId="37" fillId="3" borderId="22" xfId="0" applyFont="1" applyFill="1" applyBorder="1" applyAlignment="1">
      <alignment horizontal="left" vertical="top" wrapText="1"/>
    </xf>
    <xf numFmtId="0" fontId="33" fillId="3" borderId="22" xfId="0" applyFont="1" applyFill="1" applyBorder="1" applyAlignment="1">
      <alignment horizontal="left" vertical="top" wrapText="1"/>
    </xf>
    <xf numFmtId="177" fontId="41" fillId="38" borderId="15" xfId="51" applyNumberFormat="1" applyFont="1" applyBorder="1"/>
    <xf numFmtId="174" fontId="33" fillId="0" borderId="1" xfId="0" applyNumberFormat="1" applyFont="1" applyBorder="1"/>
    <xf numFmtId="171" fontId="41" fillId="38" borderId="16" xfId="51" applyNumberFormat="1" applyFont="1" applyBorder="1"/>
    <xf numFmtId="0" fontId="43" fillId="41" borderId="0" xfId="2" applyNumberFormat="1" applyFont="1" applyAlignment="1">
      <alignment vertical="top" wrapText="1"/>
    </xf>
    <xf numFmtId="0" fontId="34" fillId="0" borderId="19" xfId="51" applyNumberFormat="1" applyFont="1" applyFill="1" applyBorder="1"/>
    <xf numFmtId="0" fontId="41" fillId="0" borderId="15" xfId="53" applyFont="1" applyFill="1" applyBorder="1" applyAlignment="1">
      <alignment wrapText="1"/>
    </xf>
    <xf numFmtId="170" fontId="43" fillId="41" borderId="0" xfId="2" applyNumberFormat="1" applyFont="1"/>
    <xf numFmtId="14" fontId="33" fillId="0" borderId="0" xfId="0" applyNumberFormat="1" applyFont="1" applyAlignment="1">
      <alignment horizontal="center"/>
    </xf>
    <xf numFmtId="0" fontId="43" fillId="0" borderId="0" xfId="2" applyFont="1" applyFill="1"/>
    <xf numFmtId="0" fontId="41" fillId="0" borderId="19" xfId="0" applyFont="1" applyBorder="1" applyAlignment="1">
      <alignment vertical="top" wrapText="1"/>
    </xf>
    <xf numFmtId="0" fontId="28" fillId="41" borderId="0" xfId="50" applyFont="1" applyFill="1">
      <alignment horizontal="left" vertical="center"/>
    </xf>
    <xf numFmtId="0" fontId="33" fillId="0" borderId="0" xfId="0" applyFont="1" applyAlignment="1">
      <alignment wrapText="1"/>
    </xf>
    <xf numFmtId="0" fontId="39" fillId="37" borderId="15" xfId="0" applyFont="1" applyFill="1" applyBorder="1" applyAlignment="1">
      <alignment horizontal="center" vertical="center"/>
    </xf>
    <xf numFmtId="0" fontId="39" fillId="37" borderId="15" xfId="0" applyFont="1" applyFill="1" applyBorder="1" applyAlignment="1">
      <alignment horizontal="center" vertical="center" wrapText="1"/>
    </xf>
    <xf numFmtId="49" fontId="39" fillId="0" borderId="19" xfId="0" applyNumberFormat="1" applyFont="1" applyBorder="1" applyAlignment="1">
      <alignment horizontal="center" vertical="center" wrapText="1"/>
    </xf>
    <xf numFmtId="0" fontId="43" fillId="0" borderId="0" xfId="0" applyFont="1" applyAlignment="1">
      <alignment horizontal="right"/>
    </xf>
    <xf numFmtId="175" fontId="41" fillId="0" borderId="0" xfId="51" applyNumberFormat="1" applyFont="1" applyFill="1" applyAlignment="1">
      <alignment wrapText="1"/>
    </xf>
    <xf numFmtId="176" fontId="41" fillId="0" borderId="0" xfId="51" applyNumberFormat="1" applyFont="1" applyFill="1" applyAlignment="1">
      <alignment wrapText="1"/>
    </xf>
    <xf numFmtId="0" fontId="43" fillId="41" borderId="0" xfId="2" applyNumberFormat="1" applyFont="1"/>
    <xf numFmtId="0" fontId="43" fillId="0" borderId="0" xfId="0" applyFont="1" applyAlignment="1">
      <alignment wrapText="1"/>
    </xf>
    <xf numFmtId="0" fontId="47" fillId="3" borderId="2" xfId="0" applyFont="1" applyFill="1" applyBorder="1" applyAlignment="1">
      <alignment horizontal="centerContinuous"/>
    </xf>
    <xf numFmtId="0" fontId="33" fillId="3" borderId="0" xfId="0" applyFont="1" applyFill="1" applyAlignment="1">
      <alignment horizontal="centerContinuous"/>
    </xf>
    <xf numFmtId="0" fontId="33" fillId="3" borderId="1" xfId="0" applyFont="1" applyFill="1" applyBorder="1" applyAlignment="1">
      <alignment horizontal="centerContinuous"/>
    </xf>
    <xf numFmtId="0" fontId="29" fillId="3" borderId="2" xfId="0" applyFont="1" applyFill="1" applyBorder="1" applyAlignment="1">
      <alignment horizontal="centerContinuous"/>
    </xf>
    <xf numFmtId="0" fontId="33" fillId="3" borderId="2" xfId="0" applyFont="1" applyFill="1" applyBorder="1"/>
    <xf numFmtId="0" fontId="33" fillId="3" borderId="0" xfId="0" applyFont="1" applyFill="1"/>
    <xf numFmtId="0" fontId="33" fillId="3" borderId="1" xfId="0" applyFont="1" applyFill="1" applyBorder="1"/>
    <xf numFmtId="172" fontId="33" fillId="41" borderId="21" xfId="2" applyNumberFormat="1" applyFont="1" applyBorder="1"/>
    <xf numFmtId="168" fontId="33" fillId="41" borderId="21" xfId="2" applyNumberFormat="1" applyFont="1" applyBorder="1">
      <extLst>
        <ext xmlns:xfpb="http://schemas.microsoft.com/office/spreadsheetml/2022/featurepropertybag" uri="{C7286773-470A-42A8-94C5-96B5CB345126}">
          <xfpb:xfComplement i="0"/>
        </ext>
      </extLst>
    </xf>
    <xf numFmtId="168" fontId="33" fillId="41" borderId="21" xfId="2" applyNumberFormat="1" applyFont="1" applyBorder="1"/>
    <xf numFmtId="49" fontId="49" fillId="3" borderId="0" xfId="3" applyFont="1" applyFill="1">
      <alignment horizontal="left" indent="1"/>
    </xf>
    <xf numFmtId="0" fontId="46" fillId="3" borderId="2" xfId="0" applyFont="1" applyFill="1" applyBorder="1" applyAlignment="1">
      <alignment horizontal="centerContinuous"/>
    </xf>
    <xf numFmtId="0" fontId="48" fillId="3" borderId="2" xfId="0" applyFont="1" applyFill="1" applyBorder="1" applyAlignment="1">
      <alignment horizontal="centerContinuous"/>
    </xf>
    <xf numFmtId="0" fontId="33" fillId="3" borderId="6" xfId="0" applyFont="1" applyFill="1" applyBorder="1"/>
    <xf numFmtId="0" fontId="33" fillId="3" borderId="7" xfId="0" applyFont="1" applyFill="1" applyBorder="1"/>
    <xf numFmtId="0" fontId="33" fillId="3" borderId="8" xfId="0" applyFont="1" applyFill="1" applyBorder="1"/>
    <xf numFmtId="0" fontId="50" fillId="3" borderId="0" xfId="0" applyFont="1" applyFill="1" applyAlignment="1">
      <alignment horizontal="left" vertical="top" indent="1"/>
    </xf>
    <xf numFmtId="0" fontId="51" fillId="3" borderId="0" xfId="0" applyFont="1" applyFill="1"/>
    <xf numFmtId="171" fontId="30" fillId="39" borderId="0" xfId="53" applyNumberFormat="1" applyBorder="1"/>
    <xf numFmtId="0" fontId="30" fillId="39" borderId="0" xfId="53" applyNumberFormat="1"/>
    <xf numFmtId="171" fontId="3" fillId="41" borderId="0" xfId="2" applyNumberFormat="1"/>
    <xf numFmtId="0" fontId="41" fillId="0" borderId="0" xfId="51" applyNumberFormat="1" applyFont="1" applyFill="1" applyBorder="1"/>
    <xf numFmtId="171" fontId="41" fillId="38" borderId="19" xfId="51" applyNumberFormat="1" applyFont="1" applyBorder="1"/>
    <xf numFmtId="171" fontId="41" fillId="38" borderId="23" xfId="51" applyNumberFormat="1" applyFont="1" applyBorder="1"/>
    <xf numFmtId="0" fontId="41" fillId="0" borderId="0" xfId="53" applyFont="1" applyFill="1" applyBorder="1"/>
    <xf numFmtId="0" fontId="41" fillId="0" borderId="19" xfId="53" applyNumberFormat="1" applyFont="1" applyFill="1" applyBorder="1"/>
    <xf numFmtId="0" fontId="34" fillId="0" borderId="0" xfId="0" applyFont="1"/>
    <xf numFmtId="0" fontId="25" fillId="0" borderId="0" xfId="0" applyFont="1"/>
    <xf numFmtId="0" fontId="41" fillId="0" borderId="0" xfId="53" applyNumberFormat="1" applyFont="1" applyFill="1" applyBorder="1"/>
    <xf numFmtId="0" fontId="41" fillId="0" borderId="19" xfId="53" applyNumberFormat="1" applyFont="1" applyFill="1" applyBorder="1" applyAlignment="1">
      <alignment wrapText="1"/>
    </xf>
    <xf numFmtId="0" fontId="34" fillId="0" borderId="0" xfId="51" applyNumberFormat="1" applyFont="1" applyFill="1" applyBorder="1"/>
    <xf numFmtId="0" fontId="42" fillId="0" borderId="0" xfId="51" applyNumberFormat="1" applyFont="1" applyFill="1" applyBorder="1" applyAlignment="1">
      <alignment horizontal="right"/>
    </xf>
    <xf numFmtId="171" fontId="41" fillId="38" borderId="26" xfId="51" applyNumberFormat="1" applyFont="1" applyBorder="1"/>
    <xf numFmtId="171" fontId="41" fillId="38" borderId="27" xfId="51" applyNumberFormat="1" applyFont="1" applyBorder="1"/>
    <xf numFmtId="171" fontId="41" fillId="38" borderId="28" xfId="51" applyNumberFormat="1" applyFont="1" applyBorder="1"/>
    <xf numFmtId="174" fontId="42" fillId="0" borderId="0" xfId="51" applyNumberFormat="1" applyFont="1" applyFill="1" applyBorder="1"/>
    <xf numFmtId="49" fontId="47" fillId="3" borderId="29" xfId="59" applyFont="1" applyFill="1" applyBorder="1" applyAlignment="1"/>
    <xf numFmtId="49" fontId="47" fillId="3" borderId="22" xfId="59" applyFont="1" applyFill="1" applyBorder="1" applyAlignment="1"/>
    <xf numFmtId="0" fontId="38" fillId="3" borderId="22" xfId="60" applyFont="1" applyFill="1" applyBorder="1" applyAlignment="1">
      <alignment horizontal="left" vertical="top"/>
    </xf>
    <xf numFmtId="0" fontId="33" fillId="3" borderId="22" xfId="0" applyFont="1" applyFill="1" applyBorder="1" applyAlignment="1">
      <alignment horizontal="left" vertical="top" wrapText="1" indent="2"/>
    </xf>
    <xf numFmtId="0" fontId="33" fillId="3" borderId="22" xfId="0" applyFont="1" applyFill="1" applyBorder="1" applyAlignment="1">
      <alignment horizontal="left" vertical="top"/>
    </xf>
    <xf numFmtId="1" fontId="41" fillId="0" borderId="0" xfId="61" applyNumberFormat="1" applyFont="1" applyAlignment="1">
      <alignment horizontal="center" vertical="center"/>
    </xf>
    <xf numFmtId="0" fontId="41" fillId="0" borderId="0" xfId="61" applyFont="1" applyAlignment="1">
      <alignment horizontal="left" vertical="center" wrapText="1"/>
    </xf>
    <xf numFmtId="0" fontId="52" fillId="3" borderId="0" xfId="5" applyFont="1" applyFill="1" applyAlignment="1"/>
    <xf numFmtId="178" fontId="41" fillId="38" borderId="15" xfId="51" applyNumberFormat="1" applyFont="1" applyBorder="1" applyAlignment="1">
      <alignment horizontal="right"/>
    </xf>
    <xf numFmtId="178" fontId="44" fillId="38" borderId="15" xfId="51" applyNumberFormat="1" applyFont="1" applyBorder="1" applyAlignment="1">
      <alignment horizontal="right"/>
    </xf>
    <xf numFmtId="179" fontId="41" fillId="38" borderId="15" xfId="51" applyNumberFormat="1" applyFont="1" applyBorder="1" applyAlignment="1">
      <alignment horizontal="right"/>
    </xf>
    <xf numFmtId="179" fontId="44" fillId="38" borderId="15" xfId="51" applyNumberFormat="1" applyFont="1" applyBorder="1" applyAlignment="1">
      <alignment horizontal="right"/>
    </xf>
    <xf numFmtId="0" fontId="39" fillId="0" borderId="0" xfId="0" applyFont="1" applyAlignment="1">
      <alignment horizontal="center" vertical="center" wrapText="1"/>
    </xf>
    <xf numFmtId="0" fontId="39" fillId="37" borderId="0" xfId="0" applyFont="1" applyFill="1" applyAlignment="1">
      <alignment horizontal="center" vertical="center" wrapText="1"/>
    </xf>
    <xf numFmtId="49" fontId="39" fillId="37" borderId="16" xfId="0" applyNumberFormat="1" applyFont="1" applyFill="1" applyBorder="1" applyAlignment="1">
      <alignment horizontal="center" vertical="center" wrapText="1"/>
    </xf>
    <xf numFmtId="0" fontId="53" fillId="0" borderId="0" xfId="0" applyFont="1"/>
    <xf numFmtId="0" fontId="54" fillId="39" borderId="0" xfId="53" applyNumberFormat="1" applyFont="1" applyBorder="1"/>
    <xf numFmtId="171" fontId="44" fillId="38" borderId="26" xfId="51" applyNumberFormat="1" applyFont="1" applyBorder="1"/>
    <xf numFmtId="171" fontId="44" fillId="38" borderId="27" xfId="51" applyNumberFormat="1" applyFont="1" applyBorder="1"/>
    <xf numFmtId="171" fontId="44" fillId="38" borderId="23" xfId="51" applyNumberFormat="1" applyFont="1" applyBorder="1"/>
    <xf numFmtId="0" fontId="34" fillId="0" borderId="0" xfId="0" applyFont="1" applyAlignment="1">
      <alignment vertical="top"/>
    </xf>
    <xf numFmtId="0" fontId="53" fillId="0" borderId="0" xfId="2" applyFont="1" applyFill="1"/>
    <xf numFmtId="171" fontId="44" fillId="38" borderId="28" xfId="51" applyNumberFormat="1" applyFont="1" applyBorder="1"/>
    <xf numFmtId="0" fontId="50" fillId="3" borderId="0" xfId="0" applyFont="1" applyFill="1" applyAlignment="1">
      <alignment horizontal="left" vertical="top" wrapText="1" indent="1"/>
    </xf>
    <xf numFmtId="0" fontId="51" fillId="0" borderId="0" xfId="0" applyFont="1" applyAlignment="1">
      <alignment horizontal="left" vertical="top" wrapText="1" indent="1"/>
    </xf>
  </cellXfs>
  <cellStyles count="62">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5" builtinId="27" hidden="1"/>
    <cellStyle name="Blank" xfId="53" xr:uid="{E12AEAFA-5BEF-40B0-B98E-AD2DE062DBFB}"/>
    <cellStyle name="Calculation" xfId="19" builtinId="22" hidden="1"/>
    <cellStyle name="Check Cell" xfId="21" builtinId="23" hidden="1"/>
    <cellStyle name="Comma" xfId="58" builtinId="3" hidden="1"/>
    <cellStyle name="Comma [0]" xfId="1" builtinId="6" hidden="1" customBuiltin="1"/>
    <cellStyle name="data_entry" xfId="2" xr:uid="{00000000-0005-0000-0000-000021000000}"/>
    <cellStyle name="Explanatory text" xfId="3" xr:uid="{00000000-0005-0000-0000-000028000000}"/>
    <cellStyle name="Followed Hyperlink" xfId="4" builtinId="9" customBuiltin="1"/>
    <cellStyle name="Formula" xfId="51" xr:uid="{8896982D-B2DF-410A-9893-9F7E2A520C0F}"/>
    <cellStyle name="Good" xfId="14" builtinId="26" hidden="1"/>
    <cellStyle name="Heading (guidelines)" xfId="60" xr:uid="{04859418-EBBD-44CF-9B35-9F7744220A41}"/>
    <cellStyle name="Heading 1" xfId="5" builtinId="16" customBuiltin="1"/>
    <cellStyle name="Heading 2" xfId="6" builtinId="17" hidden="1" customBuiltin="1"/>
    <cellStyle name="Heading 3" xfId="7" builtinId="18" hidden="1" customBuiltin="1"/>
    <cellStyle name="Heading 4" xfId="8" builtinId="19" hidden="1" customBuiltin="1"/>
    <cellStyle name="Hyperlink" xfId="9" builtinId="8" customBuiltin="1"/>
    <cellStyle name="Input" xfId="17" builtinId="20" hidden="1"/>
    <cellStyle name="Label 2b merged" xfId="59" xr:uid="{0E450110-F36B-4CD4-AE5D-473EE991154E}"/>
    <cellStyle name="Linked Cell" xfId="20" builtinId="24" hidden="1"/>
    <cellStyle name="Neutral" xfId="16" builtinId="28" hidden="1"/>
    <cellStyle name="Normal" xfId="0" builtinId="0" customBuiltin="1"/>
    <cellStyle name="Normal 2" xfId="61" xr:uid="{F5BC973F-5DC6-42E2-B8C3-2CF4B6017A1A}"/>
    <cellStyle name="Note" xfId="23" builtinId="10" hidden="1"/>
    <cellStyle name="Output" xfId="18" builtinId="21" hidden="1"/>
    <cellStyle name="Percent" xfId="10" builtinId="5" customBuiltin="1"/>
    <cellStyle name="plus/less" xfId="49" xr:uid="{00000000-0005-0000-0000-000048000000}"/>
    <cellStyle name="Row Ref" xfId="54" xr:uid="{55CB185E-19C4-4978-8404-30C579DED35C}"/>
    <cellStyle name="Sch_TItle" xfId="50" xr:uid="{36A354F1-32CC-40B0-967C-663C257D8B26}"/>
    <cellStyle name="Sub Heading 2" xfId="55" xr:uid="{39EAB08A-5EAE-4E67-AF3F-264156D7782F}"/>
    <cellStyle name="Table Heading Centred" xfId="56" xr:uid="{C0B04A30-4C11-433C-B968-9020197C5AE4}"/>
    <cellStyle name="table_headers" xfId="52" xr:uid="{D1A73497-8E94-4FE2-9354-05A6AFE1577F}"/>
    <cellStyle name="table_headers 2" xfId="57" xr:uid="{C7EE253E-B9BB-4831-AB0E-E4009A7A7AC4}"/>
    <cellStyle name="Text" xfId="11" xr:uid="{00000000-0005-0000-0000-00004B000000}"/>
    <cellStyle name="Title" xfId="13" builtinId="15" hidden="1"/>
    <cellStyle name="Total" xfId="24" builtinId="25" hidden="1"/>
    <cellStyle name="Warning Text" xfId="22" builtinId="11" hidden="1"/>
    <cellStyle name="Year" xfId="12" xr:uid="{00000000-0005-0000-0000-000053000000}"/>
  </cellStyles>
  <dxfs count="352">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176" formatCode="#,##0\ ;\(#,##0\);\-"/>
      <fill>
        <patternFill patternType="none">
          <fgColor indexed="64"/>
          <bgColor auto="1"/>
        </patternFill>
      </fill>
      <alignment textRotation="0" wrapText="1" indent="0" justifyLastLine="0" shrinkToFit="0" readingOrder="0"/>
    </dxf>
    <dxf>
      <font>
        <strike val="0"/>
        <outline val="0"/>
        <shadow val="0"/>
        <u val="none"/>
        <vertAlign val="baseline"/>
        <sz val="11"/>
        <name val="Calibri"/>
        <family val="2"/>
        <scheme val="none"/>
      </font>
      <fill>
        <patternFill patternType="none">
          <fgColor indexed="64"/>
          <bgColor auto="1"/>
        </patternFill>
      </fill>
      <alignment textRotation="0" wrapText="1" indent="0" justifyLastLine="0" shrinkToFit="0" readingOrder="0"/>
    </dxf>
    <dxf>
      <font>
        <strike val="0"/>
        <outline val="0"/>
        <shadow val="0"/>
        <u val="none"/>
        <vertAlign val="baseline"/>
        <sz val="11"/>
        <name val="Calibri"/>
        <family val="2"/>
        <scheme val="none"/>
      </font>
      <alignment horizontal="right" vertical="bottom" textRotation="0" wrapText="0" indent="0" justifyLastLine="0" shrinkToFit="0" readingOrder="0"/>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74" formatCode="_(* #,##0_);_(* \(#,##0\);_(* &quot;-&quot;??_);_(@_)"/>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74" formatCode="_(* #,##0_);_(* \(#,##0\);_(* &quot;-&quot;??_);_(@_)"/>
    </dxf>
    <dxf>
      <font>
        <b val="0"/>
        <i val="0"/>
        <strike val="0"/>
        <condense val="0"/>
        <extend val="0"/>
        <outline val="0"/>
        <shadow val="0"/>
        <u val="none"/>
        <vertAlign val="baseline"/>
        <sz val="11"/>
        <color auto="1"/>
        <name val="Calibri"/>
        <family val="2"/>
        <scheme val="none"/>
      </font>
      <numFmt numFmtId="168" formatCode="_([$-1409]d\ mmmm\ yyyy;_(@"/>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border outline="0">
        <left style="thin">
          <color rgb="FF68B7BF"/>
        </left>
        <top style="thin">
          <color rgb="FF68B7BF"/>
        </top>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i/>
        <strike val="0"/>
        <outline val="0"/>
        <shadow val="0"/>
        <u val="none"/>
        <vertAlign val="baseline"/>
        <sz val="11"/>
        <name val="Calibri"/>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rgb="FF68B7BF"/>
        </top>
        <bottom style="thin">
          <color rgb="FF68B7BF"/>
        </bottom>
      </border>
    </dxf>
    <dxf>
      <font>
        <i/>
        <strike val="0"/>
        <outline val="0"/>
        <shadow val="0"/>
        <u val="none"/>
        <vertAlign val="baseline"/>
        <sz val="11"/>
        <name val="Calibri"/>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numFmt numFmtId="171" formatCode="_(* #,##0_);_(* \(#,##0\);_(* &quot;–&quot;??_);_(* @_)"/>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168" formatCode="_([$-1409]d\ mmmm\ yyyy;_(@"/>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color auto="1"/>
        <name val="Calibri"/>
        <family val="2"/>
        <scheme val="none"/>
      </font>
    </dxf>
    <dxf>
      <border outline="0">
        <bottom style="thin">
          <color rgb="FF68B7BF"/>
        </bottom>
      </border>
    </dxf>
    <dxf>
      <font>
        <strike val="0"/>
        <outline val="0"/>
        <shadow val="0"/>
        <vertAlign val="baseline"/>
        <name val="Calibri"/>
        <family val="2"/>
        <scheme val="none"/>
      </font>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rgb="FFCCE7EA"/>
          <bgColor rgb="FFCCE7EA"/>
        </patternFill>
      </fill>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theme="1"/>
        <name val="Calibri"/>
        <family val="2"/>
        <scheme val="none"/>
      </font>
      <numFmt numFmtId="171" formatCode="_(* #,##0_);_(* \(#,##0\);_(* &quot;–&quot;??_);_(* @_)"/>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30" formatCode="@"/>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i/>
        <strike val="0"/>
        <outline val="0"/>
        <shadow val="0"/>
        <u val="none"/>
        <vertAlign val="baseline"/>
        <sz val="11"/>
        <name val="Calibri"/>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left/>
        <right/>
        <top style="thin">
          <color rgb="FF68B7BF"/>
        </top>
        <bottom style="thin">
          <color rgb="FF68B7BF"/>
        </bottom>
        <vertical/>
        <horizontal/>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i/>
        <strike val="0"/>
        <outline val="0"/>
        <shadow val="0"/>
        <u val="none"/>
        <vertAlign val="baseline"/>
        <sz val="11"/>
        <name val="Calibri"/>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numFmt numFmtId="168" formatCode="_([$-1409]d\ mmmm\ yyyy;_(@"/>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strike val="0"/>
        <outline val="0"/>
        <shadow val="0"/>
        <vertAlign val="baseline"/>
        <name val="Calibri"/>
        <family val="2"/>
        <scheme val="none"/>
      </font>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4" formatCode="_(* #,##0_);_(* \(#,##0\);_(* &quot;-&quot;??_);_(@_)"/>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4" formatCode="_(* #,##0_);_(* \(#,##0\);_(* &quot;-&quot;??_);_(@_)"/>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74" formatCode="_(* #,##0_);_(* \(#,##0\);_(* &quot;-&quot;??_);_(@_)"/>
    </dxf>
    <dxf>
      <font>
        <b val="0"/>
        <i val="0"/>
        <strike val="0"/>
        <condense val="0"/>
        <extend val="0"/>
        <outline val="0"/>
        <shadow val="0"/>
        <u val="none"/>
        <vertAlign val="baseline"/>
        <sz val="11"/>
        <color auto="1"/>
        <name val="Calibri"/>
        <family val="2"/>
        <scheme val="none"/>
      </font>
      <numFmt numFmtId="168" formatCode="_([$-1409]d\ mmmm\ yyyy;_(@"/>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border outline="0">
        <left style="thin">
          <color rgb="FF68B7BF"/>
        </left>
        <top style="thin">
          <color rgb="FF68B7BF"/>
        </top>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condense val="0"/>
        <extend val="0"/>
        <outline val="0"/>
        <shadow val="0"/>
        <u/>
        <vertAlign val="baseline"/>
        <sz val="11"/>
        <color theme="4"/>
        <name val="Calibri"/>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minor"/>
      </font>
      <numFmt numFmtId="30" formatCode="@"/>
      <alignment horizontal="center" vertical="center" textRotation="0" wrapText="0" indent="0" justifyLastLine="0" shrinkToFit="0" readingOrder="0"/>
    </dxf>
    <dxf>
      <border outline="0">
        <left style="thin">
          <color theme="1"/>
        </left>
        <top style="thin">
          <color theme="1"/>
        </top>
      </border>
    </dxf>
    <dxf>
      <fill>
        <patternFill patternType="none">
          <fgColor indexed="64"/>
          <bgColor indexed="65"/>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2" defaultTableStyle="TableStyleMedium9" defaultPivotStyle="PivotStyleLight16">
    <tableStyle name="cc_TableStyle" pivot="0" count="7" xr9:uid="{ED07D96A-894F-44D8-9320-AB33861AC17C}">
      <tableStyleElement type="wholeTable" dxfId="351"/>
      <tableStyleElement type="headerRow" dxfId="350"/>
      <tableStyleElement type="totalRow" dxfId="349"/>
      <tableStyleElement type="firstColumn" dxfId="348"/>
      <tableStyleElement type="lastColumn" dxfId="347"/>
      <tableStyleElement type="firstRowStripe" dxfId="346"/>
      <tableStyleElement type="firstColumnStripe" dxfId="345"/>
    </tableStyle>
    <tableStyle name="TableStyleMedium_mod" pivot="0" count="7" xr9:uid="{88083553-4276-482E-8E67-A49F3DA5BE26}">
      <tableStyleElement type="wholeTable" dxfId="344"/>
      <tableStyleElement type="headerRow" dxfId="343"/>
      <tableStyleElement type="totalRow" dxfId="342"/>
      <tableStyleElement type="firstColumn" dxfId="341"/>
      <tableStyleElement type="lastColumn" dxfId="340"/>
      <tableStyleElement type="firstRowStripe" dxfId="339"/>
      <tableStyleElement type="firstColumnStripe" dxfId="338"/>
    </tableStyle>
  </tableStyles>
  <colors>
    <mruColors>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1630680</xdr:colOff>
      <xdr:row>1</xdr:row>
      <xdr:rowOff>723900</xdr:rowOff>
    </xdr:to>
    <xdr:pic>
      <xdr:nvPicPr>
        <xdr:cNvPr id="30659" name="Picture 5" descr="ComComNZ colour.jpg">
          <a:extLst>
            <a:ext uri="{FF2B5EF4-FFF2-40B4-BE49-F238E27FC236}">
              <a16:creationId xmlns:a16="http://schemas.microsoft.com/office/drawing/2014/main" id="{00000000-0008-0000-0000-0000C37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F2CF1C7F-DA20-484B-A705-B19D93AC0434}" name="tb_00_toc" displayName="tb_00_toc" ref="A3:C7" totalsRowShown="0" headerRowDxfId="337" tableBorderDxfId="336" headerRowCellStyle="table_headers 2">
  <autoFilter ref="A3:C7" xr:uid="{F2CF1C7F-DA20-484B-A705-B19D93AC0434}"/>
  <tableColumns count="3">
    <tableColumn id="1" xr3:uid="{B6052A98-86DD-40F2-B8BC-312E148E01B6}" name="Schedule" dataDxfId="335"/>
    <tableColumn id="2" xr3:uid="{E5058D55-A190-46DB-B674-09E3EA505899}" name="Schedule name" dataDxfId="334"/>
    <tableColumn id="3" xr3:uid="{574B9200-06E2-4A82-8695-889D6928D8C4}" name="Sheet name" dataDxfId="333" dataCellStyle="Normal 2"/>
  </tableColumns>
  <tableStyleInfo name="cc_Table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1E220D3-1348-4BA4-8ADB-8D381FF47FC8}" name="tb_s18_18ix_1__forecast_WUC" displayName="tb_s18_18ix_1__forecast_WUC" ref="A113:J117" totalsRowShown="0" headerRowDxfId="236" dataDxfId="234" headerRowBorderDxfId="235" tableBorderDxfId="233" totalsRowBorderDxfId="232">
  <autoFilter ref="A113:J117" xr:uid="{F1E220D3-1348-4BA4-8ADB-8D381FF47FC8}"/>
  <tableColumns count="10">
    <tableColumn id="1" xr3:uid="{3386DD36-F290-4779-A164-5701CCB221B9}" name="Section" dataDxfId="231">
      <calculatedColumnFormula>$A$112</calculatedColumnFormula>
    </tableColumn>
    <tableColumn id="2" xr3:uid="{F712AE41-B8F1-43A6-BD1B-2112E7EE9E1B}" name="Row" dataDxfId="230">
      <calculatedColumnFormula>ROW()</calculatedColumnFormula>
    </tableColumn>
    <tableColumn id="3" xr3:uid="{43874955-B0E7-44CF-AB14-BBDB6A11E019}" name="Context" dataDxfId="229"/>
    <tableColumn id="4" xr3:uid="{4A6C28BC-D4DC-480E-BF09-31CA838C082D}" name="Category1" dataDxfId="228" dataCellStyle="Blank"/>
    <tableColumn id="10" xr3:uid="{B5CA3E84-A6BB-4ACB-AEB8-87C0423EE48D}" name="Pricing Period Starting Year - 1 |_x000a_$000" dataDxfId="227"/>
    <tableColumn id="5" xr3:uid="{4E4E2CEB-BE91-4BB3-82A5-7B7EE4FC638D}" name="Pricing Period Starting Year |_x000a_$000" dataDxfId="226"/>
    <tableColumn id="6" xr3:uid="{2756BE2C-CF8F-48B6-B588-8503D43F1A4D}" name="Pricing Period Starting Year + 1 |_x000a_$000" dataDxfId="225"/>
    <tableColumn id="7" xr3:uid="{7E2B10C0-CCA3-4485-9429-9284014FC1F3}" name="Pricing Period Starting Year + 2 |_x000a_$000" dataDxfId="224"/>
    <tableColumn id="8" xr3:uid="{3301F570-DE12-45B1-BE45-01C894BBC994}" name="Pricing Period Starting Year + 3 |_x000a_$000" dataDxfId="223"/>
    <tableColumn id="9" xr3:uid="{684102E8-A3EB-4876-AF49-C1093299D738}" name="Pricing Period Starting Year + 4 |_x000a_$000" dataDxfId="222"/>
  </tableColumns>
  <tableStyleInfo name="cc_TableSty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1242DC1-2086-41B8-82A3-A63330C0931B}" name="tb_s18_18x_1__assets_held" displayName="tb_s18_18x_1__assets_held" ref="A121:J137" totalsRowShown="0" headerRowDxfId="221" dataDxfId="219" headerRowBorderDxfId="220" tableBorderDxfId="218" totalsRowBorderDxfId="217">
  <autoFilter ref="A121:J137" xr:uid="{61242DC1-2086-41B8-82A3-A63330C0931B}"/>
  <tableColumns count="10">
    <tableColumn id="1" xr3:uid="{353878B2-ACC2-4457-A421-5C22FBEC6CD2}" name="Section" dataDxfId="216">
      <calculatedColumnFormula>$A$120</calculatedColumnFormula>
    </tableColumn>
    <tableColumn id="2" xr3:uid="{A5B1019A-52DE-49A3-8D49-32EA7D53082A}" name="Row" dataDxfId="215">
      <calculatedColumnFormula>ROW()</calculatedColumnFormula>
    </tableColumn>
    <tableColumn id="3" xr3:uid="{2F2AED24-CE5E-46B0-BEA8-8F460BDD78AC}" name="Context" dataDxfId="214"/>
    <tableColumn id="4" xr3:uid="{743B0FD6-4E56-4B77-85F4-04A60EC33777}" name="Category1" dataDxfId="213" dataCellStyle="Blank"/>
    <tableColumn id="10" xr3:uid="{358E02EA-544B-4FE5-8E60-432F2C592EC4}" name="Pricing Period Starting Year - 1 |_x000a_$000" dataDxfId="212"/>
    <tableColumn id="5" xr3:uid="{0C883441-C689-429C-81D7-9284930A88C7}" name="Pricing Period Starting Year |_x000a_$000" dataDxfId="211"/>
    <tableColumn id="6" xr3:uid="{AEEE631F-70CC-4FB2-B58B-CCEC44D90BEA}" name="Pricing Period Starting Year + 1 |_x000a_$000" dataDxfId="210"/>
    <tableColumn id="7" xr3:uid="{0E47ED52-ED52-4494-A380-40D66DAB5CD1}" name="Pricing Period Starting Year + 2 |_x000a_$000" dataDxfId="209"/>
    <tableColumn id="8" xr3:uid="{A040E584-B652-43EF-821B-39F917241E4A}" name="Pricing Period Starting Year + 3 |_x000a_$000" dataDxfId="208"/>
    <tableColumn id="9" xr3:uid="{6DA7C3B7-43A1-4E08-8562-26FF857C2A92}" name="Pricing Period Starting Year + 4 |_x000a_$000" dataDxfId="207"/>
  </tableColumns>
  <tableStyleInfo name="cc_TableSty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ECDC6C6-EFC0-4268-A76F-968353CFA973}" name="tb_s18_18xi_1__forecast_capex" displayName="tb_s18_18xi_1__forecast_capex" ref="A142:P159" totalsRowShown="0" headerRowDxfId="206" dataDxfId="204" headerRowBorderDxfId="205" tableBorderDxfId="203" totalsRowBorderDxfId="202">
  <autoFilter ref="A142:P159" xr:uid="{0ECDC6C6-EFC0-4268-A76F-968353CFA973}"/>
  <tableColumns count="16">
    <tableColumn id="1" xr3:uid="{9E9C6227-7AF1-4654-AE1B-05B6C2EF4BA2}" name="Section" dataDxfId="201">
      <calculatedColumnFormula>$A$141</calculatedColumnFormula>
    </tableColumn>
    <tableColumn id="2" xr3:uid="{586CA6FD-EF75-4582-852E-BD00276C2E56}" name="Row" dataDxfId="200">
      <calculatedColumnFormula>ROW()</calculatedColumnFormula>
    </tableColumn>
    <tableColumn id="4" xr3:uid="{D4FBFDE5-7886-4B3B-9C7A-5304DA5FD6F1}" name="Category1" dataDxfId="199" dataCellStyle="Blank"/>
    <tableColumn id="10" xr3:uid="{684973F3-9FDE-44B9-953D-FA072B87C12E}" name="Category 2" dataDxfId="198"/>
    <tableColumn id="5" xr3:uid="{CE44CEB4-B5FF-4A33-B803-A98EAD275091}" name="Key Capital Expenditure Project" dataDxfId="197" dataCellStyle="Formula"/>
    <tableColumn id="6" xr3:uid="{88E74F49-B1B2-4902-8FD8-ED33737C1F68}" name="Pricing Period Starting Year |_x000a_$000" dataDxfId="196" dataCellStyle="Formula"/>
    <tableColumn id="7" xr3:uid="{E2481C91-50C2-4453-A4F3-58FABF9062B0}" name="Pricing Period Starting Year + 1 |_x000a_$000" dataDxfId="195" dataCellStyle="Formula"/>
    <tableColumn id="8" xr3:uid="{4CAD2DDE-D1B7-4664-8295-EC5C09668DE0}" name="Pricing Period Starting Year + 2 |_x000a_$000" dataDxfId="194" dataCellStyle="Formula"/>
    <tableColumn id="9" xr3:uid="{ACBAA90B-61E6-4AE3-A939-539B363E2CC0}" name="Pricing Period Starting Year + 3 |_x000a_$000" dataDxfId="193" dataCellStyle="Formula"/>
    <tableColumn id="11" xr3:uid="{BDA75506-8E45-4961-A445-E9ABBBAF9C63}" name="Pricing Period Starting Year + 4 |_x000a_$000" dataDxfId="192" dataCellStyle="Formula"/>
    <tableColumn id="12" xr3:uid="{07F6D8D1-F48C-44B8-8C6B-D04E97918B31}" name="Pricing Period Starting Year + 5 |_x000a_$000" dataDxfId="191" dataCellStyle="Formula"/>
    <tableColumn id="13" xr3:uid="{2F68E837-2290-4E94-B35C-612E79A1D0B0}" name="Pricing Period Starting Year + 6 |_x000a_$000" dataDxfId="190" dataCellStyle="Formula"/>
    <tableColumn id="14" xr3:uid="{B60CB9BB-F345-45F9-BF9F-B6389D81AEE7}" name="Pricing Period Starting Year + 7 |_x000a_$000" dataDxfId="189" dataCellStyle="Formula"/>
    <tableColumn id="15" xr3:uid="{BB9AC6EC-EE9C-4D09-A6CD-382252FE7429}" name="Pricing Period Starting Year + 8 |_x000a_$000" dataDxfId="188" dataCellStyle="Formula"/>
    <tableColumn id="16" xr3:uid="{C7235C08-D97B-44FC-ABE1-E389A9F2F9BC}" name="Pricing Period Starting Year + 9 |_x000a_$000" dataDxfId="187" dataCellStyle="Formula"/>
    <tableColumn id="17" xr3:uid="{D87AFB14-1E97-48D1-A135-D17045B94BCF}" name="Total |_x000a_$000" dataDxfId="186" dataCellStyle="Formula"/>
  </tableColumns>
  <tableStyleInfo name="cc_TableSty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FB8DB4C-5C91-4232-946B-D3CA212D4D77}" name="tb_s18_18xiii_1__forecast_financial_incentives" displayName="tb_s18_18xiii_1__forecast_financial_incentives" ref="A173:H176" totalsRowShown="0" headerRowDxfId="185" dataDxfId="183" headerRowBorderDxfId="184" tableBorderDxfId="182" dataCellStyle="Blank">
  <autoFilter ref="A173:H176" xr:uid="{1FB8DB4C-5C91-4232-946B-D3CA212D4D77}"/>
  <tableColumns count="8">
    <tableColumn id="1" xr3:uid="{FA346922-05B4-4E1D-B04C-276ECC5E4073}" name="Section" dataDxfId="181">
      <calculatedColumnFormula>$A$172</calculatedColumnFormula>
    </tableColumn>
    <tableColumn id="2" xr3:uid="{76906743-F0C7-4590-9D20-66C08FCEAAE7}" name="Row" dataDxfId="180">
      <calculatedColumnFormula>ROW()</calculatedColumnFormula>
    </tableColumn>
    <tableColumn id="4" xr3:uid="{4FEB07FA-DB1C-4246-9439-19B81953C74C}" name="Category1" dataDxfId="179" dataCellStyle="Blank"/>
    <tableColumn id="5" xr3:uid="{78B44D20-DD25-43D3-A85E-26C2197A810C}" name="Pricing Period Starting Year |_x000a_$000" dataDxfId="178" dataCellStyle="Formula"/>
    <tableColumn id="6" xr3:uid="{C62F2058-4606-4FC2-9E4D-58D7E4EEAF92}" name="Pricing Period Starting Year + 1 |_x000a_$000" dataDxfId="177" dataCellStyle="Formula"/>
    <tableColumn id="7" xr3:uid="{9C4B50D5-7B57-48EC-A370-100406B8F949}" name="Pricing Period Starting Year + 2 |_x000a_$000" dataDxfId="176" dataCellStyle="Formula"/>
    <tableColumn id="8" xr3:uid="{C10B95B2-2F36-4C42-84D1-A20FC471D4E3}" name="Pricing Period Starting Year + 3 |_x000a_$000" dataDxfId="175" dataCellStyle="Formula"/>
    <tableColumn id="9" xr3:uid="{9596C742-88C9-4EC1-B9E1-5DF390E0575F}" name="Pricing Period Starting Year + 4 |_x000a_$000" dataDxfId="174" dataCellStyle="Blank"/>
  </tableColumns>
  <tableStyleInfo name="cc_TableSty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7D66B9D-8745-491B-BC7C-45B6706F62E6}" name="tb_s18_18xiv_1__forecast_revaluations" displayName="tb_s18_18xiv_1__forecast_revaluations" ref="A180:K191" totalsRowShown="0" headerRowDxfId="173" dataDxfId="171" headerRowBorderDxfId="172" tableBorderDxfId="170" totalsRowBorderDxfId="169">
  <autoFilter ref="A180:K191" xr:uid="{D7D66B9D-8745-491B-BC7C-45B6706F62E6}"/>
  <tableColumns count="11">
    <tableColumn id="1" xr3:uid="{4745415D-4E16-4906-9C9C-477B44B16AD6}" name="Section" dataDxfId="168">
      <calculatedColumnFormula>$A$179</calculatedColumnFormula>
    </tableColumn>
    <tableColumn id="2" xr3:uid="{49A6B946-B5F3-4E7B-91FF-B3365A7FD8DC}" name="Row" dataDxfId="167">
      <calculatedColumnFormula>ROW()</calculatedColumnFormula>
    </tableColumn>
    <tableColumn id="4" xr3:uid="{DC049C07-4745-484C-B221-A7F06B0A7C70}" name="Category1" dataDxfId="166" dataCellStyle="Blank"/>
    <tableColumn id="11" xr3:uid="{8850B962-9D9D-458F-B167-844CD11F93BD}" name="Category2" dataDxfId="165"/>
    <tableColumn id="12" xr3:uid="{B7AA6813-C006-4790-87B0-DC5E9EF79EDC}" name="Category 3| Units" dataDxfId="164"/>
    <tableColumn id="10" xr3:uid="{2A5EEEA4-39A8-4685-9AAC-FADEDADBDEE7}" name="Pricing Period Starting Year - 1" dataDxfId="163"/>
    <tableColumn id="5" xr3:uid="{3C6A4EF1-16D1-46D1-BDFF-1E9C705E8555}" name="Pricing Period Starting Year" dataDxfId="162"/>
    <tableColumn id="6" xr3:uid="{4F1FA160-F9F2-4CB9-9B47-14E40F41B34D}" name="Pricing Period Starting Year + 1" dataDxfId="161"/>
    <tableColumn id="7" xr3:uid="{8891BAC7-28A1-46A4-9AFB-759B38486770}" name="Pricing Period Starting Year + 2" dataDxfId="160"/>
    <tableColumn id="8" xr3:uid="{B8ABF1E4-A987-47B2-AAF9-EF5DCC3C2EA7}" name="Pricing Period Starting Year + 3" dataDxfId="159"/>
    <tableColumn id="9" xr3:uid="{33119B89-2EF0-433A-A34C-DC680444C56E}" name="Pricing Period Starting Year + 4" dataDxfId="158"/>
  </tableColumns>
  <tableStyleInfo name="cc_TableSty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7B622E8-163C-43FB-B102-89E516A103FE}" name="tb_s18_18v_2__cashflow_assumptions" displayName="tb_s18_18v_2__cashflow_assumptions" ref="A60:E64" totalsRowShown="0" headerRowDxfId="157" dataDxfId="155" headerRowBorderDxfId="156" tableBorderDxfId="154">
  <autoFilter ref="A60:E64" xr:uid="{B7B622E8-163C-43FB-B102-89E516A103FE}"/>
  <tableColumns count="5">
    <tableColumn id="1" xr3:uid="{0C5C15A6-6101-4B0F-B90C-E1C397FDC400}" name="Section" dataDxfId="153">
      <calculatedColumnFormula>$A$59</calculatedColumnFormula>
    </tableColumn>
    <tableColumn id="2" xr3:uid="{A8C1E0AD-EFCC-4E2C-B383-4D983F5CD5A4}" name="Row" dataDxfId="152">
      <calculatedColumnFormula>ROW()</calculatedColumnFormula>
    </tableColumn>
    <tableColumn id="3" xr3:uid="{5850BD47-EF93-4E65-A7AE-00143A8A4881}" name="Category1 " dataDxfId="151"/>
    <tableColumn id="4" xr3:uid="{826D54E5-B997-4EFB-BC85-8290094E0835}" name="Category2" dataDxfId="150"/>
    <tableColumn id="5" xr3:uid="{4C330D9F-86C7-46DD-BD5E-5578CBD4EC3D}" name="Days from year end" dataDxfId="149" dataCellStyle="data_entry"/>
  </tableColumns>
  <tableStyleInfo name="cc_TableSty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2F835BB-6B8A-40F8-9A4E-FDB2E243E5BB}" name="tb_s18_18xii_1__forecast_opex" displayName="tb_s18_18xii_1__forecast_opex" ref="A165:H169" totalsRowShown="0" headerRowDxfId="148" dataDxfId="146" headerRowBorderDxfId="147" tableBorderDxfId="145" dataCellStyle="Blank">
  <autoFilter ref="A165:H169" xr:uid="{52F835BB-6B8A-40F8-9A4E-FDB2E243E5BB}"/>
  <tableColumns count="8">
    <tableColumn id="1" xr3:uid="{B0FDBA9A-9F0C-44E5-8F6A-A7319B3E14D5}" name="Section" dataDxfId="144">
      <calculatedColumnFormula>$A$164</calculatedColumnFormula>
    </tableColumn>
    <tableColumn id="2" xr3:uid="{300668A1-AF3C-47CC-BEE5-726D47454C13}" name="Row" dataDxfId="143">
      <calculatedColumnFormula>ROW()</calculatedColumnFormula>
    </tableColumn>
    <tableColumn id="4" xr3:uid="{1D5BDC7B-0C9A-4E7A-ABB2-6164B46CA221}" name="Category1" dataDxfId="142" dataCellStyle="Blank"/>
    <tableColumn id="5" xr3:uid="{4AD062F7-4547-4C94-AE09-1FEDAA5A32CD}" name="Pricing Period Starting Year |_x000a_$000" dataDxfId="141" dataCellStyle="Formula"/>
    <tableColumn id="6" xr3:uid="{44F7E414-173D-445F-9EAA-9BA5B0AC2B2F}" name="Pricing Period Starting Year + 1 |_x000a_$000" dataDxfId="140" dataCellStyle="Formula"/>
    <tableColumn id="7" xr3:uid="{44E37008-0BA9-4820-84E2-E3AC9FC1CAA1}" name="Pricing Period Starting Year + 2 |_x000a_$000" dataDxfId="139" dataCellStyle="Formula"/>
    <tableColumn id="8" xr3:uid="{224603E8-ED2D-42A6-86BC-3E01ACE6569F}" name="Pricing Period Starting Year + 3 |_x000a_$000" dataDxfId="138" dataCellStyle="Formula"/>
    <tableColumn id="9" xr3:uid="{E38609CD-BF15-452A-9DFF-B7738F8A908C}" name="Pricing Period Starting Year + 4 |_x000a_$000" dataDxfId="137" dataCellStyle="Blank"/>
  </tableColumns>
  <tableStyleInfo name="cc_TableSty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44C4BD1-D26A-47C0-9949-5AE9FCC505C9}" name="tb_s19_19ii_1__opening_adjustment" displayName="tb_s19_19ii_1__opening_adjustment" ref="A27:G31" totalsRowShown="0" headerRowDxfId="136" dataDxfId="134" headerRowBorderDxfId="135" tableBorderDxfId="133" totalsRowBorderDxfId="132" dataCellStyle="Formula">
  <autoFilter ref="A27:G31" xr:uid="{C44C4BD1-D26A-47C0-9949-5AE9FCC505C9}"/>
  <tableColumns count="7">
    <tableColumn id="1" xr3:uid="{46A8E306-F146-48E6-9799-6FCEE69CBC1C}" name="Section" dataDxfId="131">
      <calculatedColumnFormula>$A$26</calculatedColumnFormula>
    </tableColumn>
    <tableColumn id="2" xr3:uid="{0265697D-AB77-4AA8-AF05-9AB2925D02F6}" name="Row" dataDxfId="130">
      <calculatedColumnFormula>ROW()</calculatedColumnFormula>
    </tableColumn>
    <tableColumn id="3" xr3:uid="{1A6027FC-9856-4923-A321-32D16E32EDB6}" name="Category1" dataDxfId="129"/>
    <tableColumn id="4" xr3:uid="{61A75F52-1195-4E7A-97CD-46B99D9E4BE8}" name="Forecast closing carry forward from previous price setting event |_x000a_$000" dataDxfId="128" dataCellStyle="Formula"/>
    <tableColumn id="5" xr3:uid="{75B0E05B-36EC-47BB-A6E1-227A12B2BD73}" name="Opening carry forward adjustments from current price setting event |_x000a_$000" dataDxfId="127" dataCellStyle="Formula"/>
    <tableColumn id="6" xr3:uid="{716138C5-C299-423B-9F99-351F4634C959}" name="Total opening carry forward adjustment |_x000a_$000" dataDxfId="126" dataCellStyle="Formula">
      <calculatedColumnFormula>tb_s19_19ii_1__opening_adjustment[[#This Row],[Forecast closing carry forward from previous price setting event |
$000]]+tb_s19_19ii_1__opening_adjustment[[#This Row],[Opening carry forward adjustments from current price setting event |
$000]]</calculatedColumnFormula>
    </tableColumn>
    <tableColumn id="7" xr3:uid="{3B746EE5-8BF9-4190-90B5-254A483F8A7E}" name="Please explain each adjustment and how this has been calculated" dataDxfId="125" dataCellStyle="Formula"/>
  </tableColumns>
  <tableStyleInfo name="cc_TableSty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DBB7610-4CFD-46DC-899B-FD72C2EBD1FF}" name="tb_s19_19iii_1__closing_adjustment" displayName="tb_s19_19iii_1__closing_adjustment" ref="A36:E41" totalsRowShown="0" headerRowDxfId="124" dataDxfId="122" headerRowBorderDxfId="123" tableBorderDxfId="121" totalsRowBorderDxfId="120" dataCellStyle="Formula">
  <autoFilter ref="A36:E41" xr:uid="{DDBB7610-4CFD-46DC-899B-FD72C2EBD1FF}"/>
  <tableColumns count="5">
    <tableColumn id="1" xr3:uid="{5C7A94AB-4ED7-40BF-842B-C9CFC0C57A8B}" name="Section" dataDxfId="119">
      <calculatedColumnFormula>$A$35</calculatedColumnFormula>
    </tableColumn>
    <tableColumn id="2" xr3:uid="{7261ABE5-7CAD-4818-A0D1-18687B520BC1}" name="Row" dataDxfId="118">
      <calculatedColumnFormula>ROW()</calculatedColumnFormula>
    </tableColumn>
    <tableColumn id="4" xr3:uid="{A1CB6101-53A6-4222-A0D0-E112F24E4CBF}" name="Category1 |_x000a_Description of closing carry forward adjustment" dataDxfId="117" dataCellStyle="data_entry"/>
    <tableColumn id="5" xr3:uid="{E70C265A-674B-470F-8D00-AB0E27F614D7}" name="Total closing carry forward adjustment |_x000a_$000" dataDxfId="116" dataCellStyle="data_entry"/>
    <tableColumn id="7" xr3:uid="{08ADF63B-2767-4C8B-9155-DA68ACEC30C5}" name="Please explain each adjustment and how this has been calculated" dataDxfId="115" dataCellStyle="data_entry"/>
  </tableColumns>
  <tableStyleInfo name="cc_TableSty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F516CC-085D-4456-9873-D1FC26BE8513}" name="tb_s19_19iv_1__cashflow_assumptions" displayName="tb_s19_19iv_1__cashflow_assumptions" ref="A46:D48" totalsRowShown="0" headerRowDxfId="114" dataDxfId="112" headerRowBorderDxfId="113" tableBorderDxfId="111">
  <autoFilter ref="A46:D48" xr:uid="{72F516CC-085D-4456-9873-D1FC26BE8513}"/>
  <tableColumns count="4">
    <tableColumn id="1" xr3:uid="{60D03251-EA5A-43DC-A2FB-4A5F5F62364E}" name="Section" dataDxfId="110">
      <calculatedColumnFormula>$A$45</calculatedColumnFormula>
    </tableColumn>
    <tableColumn id="2" xr3:uid="{6C6F46E7-6225-4493-9297-DCCAF3C438AE}" name="Row" dataDxfId="109">
      <calculatedColumnFormula>ROW()</calculatedColumnFormula>
    </tableColumn>
    <tableColumn id="3" xr3:uid="{6B641265-B8E0-4FE7-BB18-332EB628B4EC}" name="Category1 " dataDxfId="108"/>
    <tableColumn id="4" xr3:uid="{153CCB8E-F4DC-41DB-BA7D-3D20264E7964}" name="Date" dataDxfId="107" dataCellStyle="Formula"/>
  </tableColumns>
  <tableStyleInfo name="cc_Table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F24C6D-1FD4-4E1D-940D-67C597AE8C26}" name="tb_s18_18i_1__forecast_IRR" displayName="tb_s18_18i_1__forecast_IRR" ref="A5:L23" totalsRowShown="0" headerRowDxfId="332" dataDxfId="330" headerRowBorderDxfId="331" tableBorderDxfId="329">
  <autoFilter ref="A5:L23" xr:uid="{1AF24C6D-1FD4-4E1D-940D-67C597AE8C26}"/>
  <tableColumns count="12">
    <tableColumn id="1" xr3:uid="{34751BCF-E432-4CF2-B677-5965CB4B11C9}" name="Section" dataDxfId="328">
      <calculatedColumnFormula>$A$4</calculatedColumnFormula>
    </tableColumn>
    <tableColumn id="2" xr3:uid="{5C89FB01-6A91-4A97-8F2B-340E6108F177}" name="Row" dataDxfId="327"/>
    <tableColumn id="3" xr3:uid="{07F89FA9-F925-4706-8BB7-193899B32B1B}" name="Context" dataDxfId="326"/>
    <tableColumn id="4" xr3:uid="{5626E3E9-54EF-4E77-B6C7-4FB407EC8E7B}" name="Category1" dataDxfId="325"/>
    <tableColumn id="12" xr3:uid="{E80FEC0B-FE71-49B0-8A30-601CB806C18E}" name="Category 2 |_x000a_Cash flow date" dataDxfId="324" dataCellStyle="Formula">
      <calculatedColumnFormula>$D$57</calculatedColumnFormula>
    </tableColumn>
    <tableColumn id="5" xr3:uid="{25FD4456-137B-49C7-B651-94173970FE6F}" name="First Day of Pricing Period |_x000a_$000" dataDxfId="323">
      <calculatedColumnFormula>$E$97</calculatedColumnFormula>
    </tableColumn>
    <tableColumn id="6" xr3:uid="{15E4B66C-CE41-4282-8B03-1CECCC496EBD}" name="Pricing Period Starting Year |_x000a_$000" dataDxfId="322"/>
    <tableColumn id="7" xr3:uid="{EFE18A7F-BF0B-4E90-98A8-B41A85600E5F}" name="Pricing Period Starting Year + 1 |_x000a_$000" dataDxfId="321"/>
    <tableColumn id="8" xr3:uid="{65CF60F7-28EB-4ABC-9F2D-BB6EA92CCCD4}" name="Pricing Period Starting Year + 2 |_x000a_$000" dataDxfId="320"/>
    <tableColumn id="9" xr3:uid="{976CF018-D8E5-49EF-AB99-6C8EAE5359D0}" name="Pricing Period Starting Year + 3 |_x000a_$000" dataDxfId="319"/>
    <tableColumn id="10" xr3:uid="{44BB89D6-1E1B-4E1E-94AA-49DE986254FD}" name="Pricing Period Starting Year + 4 |_x000a_$000" dataDxfId="318"/>
    <tableColumn id="11" xr3:uid="{B6F575EA-424B-4F3A-8BAA-377E81650AFD}" name="Last Day of Pricing Period |_x000a_$000" dataDxfId="317"/>
  </tableColumns>
  <tableStyleInfo name="cc_TableSty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829FBFE-446F-4E4C-8F31-B76AA4398B6D}" name="tb_s19_19iv_2__cashflow_assumptions" displayName="tb_s19_19iv_2__cashflow_assumptions" ref="A51:E55" totalsRowShown="0" headerRowDxfId="106" dataDxfId="104" headerRowBorderDxfId="105" tableBorderDxfId="103">
  <autoFilter ref="A51:E55" xr:uid="{1829FBFE-446F-4E4C-8F31-B76AA4398B6D}"/>
  <tableColumns count="5">
    <tableColumn id="1" xr3:uid="{7917B9BC-E4A8-405F-97BA-01B32F942BFA}" name="Section" dataDxfId="102">
      <calculatedColumnFormula>$A$50</calculatedColumnFormula>
    </tableColumn>
    <tableColumn id="2" xr3:uid="{7AB538E3-9878-465F-B6B3-8F09703D27DE}" name="Row" dataDxfId="101">
      <calculatedColumnFormula>ROW()</calculatedColumnFormula>
    </tableColumn>
    <tableColumn id="3" xr3:uid="{8B1E2CAC-6861-458B-94C6-830E4A1C3E9E}" name="Category1 " dataDxfId="100"/>
    <tableColumn id="4" xr3:uid="{6773E3A6-FBD6-42D0-B44A-2C82F88569A7}" name="Category2" dataDxfId="99"/>
    <tableColumn id="5" xr3:uid="{E99DD334-41CC-4D15-B34D-832A35467933}" name="Days from year end" dataDxfId="98" dataCellStyle="data_entry"/>
  </tableColumns>
  <tableStyleInfo name="cc_TableSty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FB478D7-0C1A-4E94-B9BF-D4FCF2C5DB57}" name="tb_s19_19v_1__total_revenue_req" displayName="tb_s19_19v_1__total_revenue_req" ref="A60:J73" totalsRowShown="0" headerRowDxfId="97" dataDxfId="95" headerRowBorderDxfId="96" tableBorderDxfId="94" dataCellStyle="Blank">
  <autoFilter ref="A60:J73" xr:uid="{DFB478D7-0C1A-4E94-B9BF-D4FCF2C5DB57}"/>
  <tableColumns count="10">
    <tableColumn id="1" xr3:uid="{E64D2778-DB11-4FF7-97BA-CB66515E1367}" name="Section" dataDxfId="93">
      <calculatedColumnFormula>$A$59</calculatedColumnFormula>
    </tableColumn>
    <tableColumn id="2" xr3:uid="{2D29A37A-75FE-4517-8C88-42525A8577F4}" name="Row" dataDxfId="92">
      <calculatedColumnFormula>ROW()</calculatedColumnFormula>
    </tableColumn>
    <tableColumn id="3" xr3:uid="{E01B681F-3A90-4B59-B31E-E8877706FADB}" name="Context" dataDxfId="91"/>
    <tableColumn id="4" xr3:uid="{D4D70370-D3E8-4748-B54A-ECF7FC017651}" name="Category1" dataDxfId="90" dataCellStyle="Blank"/>
    <tableColumn id="10" xr3:uid="{37377250-16C2-4AE4-8D8A-90DF31A0198B}" name="Category2" dataDxfId="89" dataCellStyle="Blank"/>
    <tableColumn id="5" xr3:uid="{3C25B9E6-E959-4827-8687-93C748A91DB4}" name="Pricing Period Starting Year |_x000a_$000" dataDxfId="88" dataCellStyle="Formula"/>
    <tableColumn id="6" xr3:uid="{B12E863A-5F4C-40E1-9810-039CB5E6FCB6}" name="Pricing Period Starting Year + 1 |_x000a_$000" dataDxfId="87" dataCellStyle="Formula"/>
    <tableColumn id="7" xr3:uid="{BBA11793-2869-4B52-94AB-F2033E9739A6}" name="Pricing Period Starting Year + 2 |_x000a_$000" dataDxfId="86" dataCellStyle="Formula"/>
    <tableColumn id="8" xr3:uid="{68A817BB-E19F-4845-93FD-729B7EDB6F41}" name="Pricing Period Starting Year + 3 |_x000a_$000" dataDxfId="85" dataCellStyle="Formula"/>
    <tableColumn id="9" xr3:uid="{6E1B57C0-6493-439D-9FAE-6B3257C6D6D8}" name="Pricing Period Starting Year + 4 |_x000a_$000" dataDxfId="84" dataCellStyle="Blank"/>
  </tableColumns>
  <tableStyleInfo name="cc_TableSty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C8310CC-F460-4342-9B9D-EC0FD3E7E92B}" name="tb_s19_19vi_1__opening_RAB" displayName="tb_s19_19vi_1__opening_RAB" ref="A78:E85" totalsRowShown="0" headerRowDxfId="83" dataDxfId="81" headerRowBorderDxfId="82" tableBorderDxfId="80">
  <autoFilter ref="A78:E85" xr:uid="{DC8310CC-F460-4342-9B9D-EC0FD3E7E92B}"/>
  <tableColumns count="5">
    <tableColumn id="1" xr3:uid="{63B14951-3CEF-46F7-A897-D62F2BF596EF}" name="Section" dataDxfId="79">
      <calculatedColumnFormula>$A$77</calculatedColumnFormula>
    </tableColumn>
    <tableColumn id="2" xr3:uid="{B2F14F93-5D75-4A51-A52F-C36B33A0C58F}" name="Row" dataDxfId="78">
      <calculatedColumnFormula>ROW()</calculatedColumnFormula>
    </tableColumn>
    <tableColumn id="3" xr3:uid="{C34167A5-2FBF-4364-B800-81D6C68A5585}" name="Context" dataDxfId="77"/>
    <tableColumn id="4" xr3:uid="{FA22E4A6-E40F-419B-9C35-B7A1C82D4FB9}" name="Category1" dataDxfId="76" dataCellStyle="Blank"/>
    <tableColumn id="5" xr3:uid="{077D1D44-71D5-49B6-8A34-304D95AC49C3}" name="($000)" dataDxfId="75"/>
  </tableColumns>
  <tableStyleInfo name="cc_TableStyl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533DEEC-B9C9-4899-9D7C-731D13CE8DCB}" name="tb_s19_19vii_1__forecast_asset_base" displayName="tb_s19_19vii_1__forecast_asset_base" ref="A89:J96" totalsRowShown="0" headerRowDxfId="74" dataDxfId="72" headerRowBorderDxfId="73" tableBorderDxfId="71" totalsRowBorderDxfId="70">
  <autoFilter ref="A89:J96" xr:uid="{2533DEEC-B9C9-4899-9D7C-731D13CE8DCB}"/>
  <tableColumns count="10">
    <tableColumn id="1" xr3:uid="{853648EF-FF3D-4406-B139-3FE94DAA0589}" name="Section" dataDxfId="69">
      <calculatedColumnFormula>$A$88</calculatedColumnFormula>
    </tableColumn>
    <tableColumn id="2" xr3:uid="{6749F592-3285-45B6-BF08-75C8051CFD05}" name="Row" dataDxfId="68">
      <calculatedColumnFormula>ROW()</calculatedColumnFormula>
    </tableColumn>
    <tableColumn id="3" xr3:uid="{7A75A2A8-DA1F-4952-A73E-A3AED373B3E8}" name="Context" dataDxfId="67"/>
    <tableColumn id="4" xr3:uid="{7078040F-CDC6-4703-8A8A-B469EF9BFCBB}" name="Category1" dataDxfId="66" dataCellStyle="Blank"/>
    <tableColumn id="10" xr3:uid="{4998DBA0-C7DE-4773-8569-BF63F785C5FD}" name="Pricing Period Starting Year - 1 |_x000a_$000" dataDxfId="65"/>
    <tableColumn id="5" xr3:uid="{1DA635CC-BEE8-48B1-9281-996B9761C341}" name="Pricing Period Starting Year |_x000a_$000" dataDxfId="64"/>
    <tableColumn id="6" xr3:uid="{95F98507-DF4F-437E-8246-E5154C03BBA1}" name="Pricing Period Starting Year + 1 |_x000a_$000" dataDxfId="63"/>
    <tableColumn id="7" xr3:uid="{A828CDAF-320F-447A-A3D1-1D18A8CF52F5}" name="Pricing Period Starting Year + 2 |_x000a_$000" dataDxfId="62"/>
    <tableColumn id="8" xr3:uid="{2699CDD4-4C98-45D0-8E39-550B54E8BACD}" name="Pricing Period Starting Year + 3 |_x000a_$000" dataDxfId="61"/>
    <tableColumn id="9" xr3:uid="{540CCDEB-0EF1-4CC7-A49D-6CE9013FBAC7}" name="Pricing Period Starting Year + 4 |_x000a_$000" dataDxfId="60"/>
  </tableColumns>
  <tableStyleInfo name="cc_TableStyl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5390BF8-6F33-4078-8B7E-6BEFCF4B7B1A}" name="tb_s19_19i_1__forecast_IRR" displayName="tb_s19_19i_1__forecast_IRR" ref="A5:L23" totalsRowShown="0" headerRowDxfId="59" dataDxfId="57" headerRowBorderDxfId="58" tableBorderDxfId="56">
  <autoFilter ref="A5:L23" xr:uid="{25390BF8-6F33-4078-8B7E-6BEFCF4B7B1A}"/>
  <tableColumns count="12">
    <tableColumn id="1" xr3:uid="{0BE6065C-FB80-42A4-A166-BF6A7FC8B0CA}" name="Section" dataDxfId="55">
      <calculatedColumnFormula>$A$4</calculatedColumnFormula>
    </tableColumn>
    <tableColumn id="2" xr3:uid="{7909EB9F-C2E2-4C14-8F34-E33683D2BB6A}" name="Row" dataDxfId="54">
      <calculatedColumnFormula>ROW()</calculatedColumnFormula>
    </tableColumn>
    <tableColumn id="3" xr3:uid="{5BB78211-487C-4117-9AE7-0AC6B5EB49EF}" name="Context" dataDxfId="53"/>
    <tableColumn id="4" xr3:uid="{AE06A145-9426-4E8C-AC81-35B66977D5BA}" name="Category1" dataDxfId="52"/>
    <tableColumn id="12" xr3:uid="{131A3AF4-CF4B-4C08-A1E4-B153550625EE}" name="Category 2 |_x000a_Cash flow date" dataDxfId="51" dataCellStyle="Formula">
      <calculatedColumnFormula>#REF!</calculatedColumnFormula>
    </tableColumn>
    <tableColumn id="5" xr3:uid="{FAF24E99-709C-40B4-BA67-000F9B8EC704}" name="First Day of Pricing Period |_x000a_$000" dataDxfId="50">
      <calculatedColumnFormula>#REF!</calculatedColumnFormula>
    </tableColumn>
    <tableColumn id="6" xr3:uid="{945A1C74-4AA4-49A8-AE13-864CEA213FF5}" name="Pricing Period Starting Year |_x000a_$000" dataDxfId="49"/>
    <tableColumn id="7" xr3:uid="{9F6D0F51-0106-4363-AB0C-3D1152040FC2}" name="Pricing Period Starting Year + 1 |_x000a_$000" dataDxfId="48"/>
    <tableColumn id="8" xr3:uid="{AA76C152-077C-447C-BBE1-DFD3EEFC3740}" name="Pricing Period Starting Year + 2 |_x000a_$000" dataDxfId="47"/>
    <tableColumn id="9" xr3:uid="{C1BF7EA0-9D96-4FEF-A4E6-3BCA0959E757}" name="Pricing Period Starting Year + 3 |_x000a_$000" dataDxfId="46"/>
    <tableColumn id="10" xr3:uid="{742DFF72-9F8F-48DE-8941-EA151F09B014}" name="Pricing Period Starting Year + 4 |_x000a_$000" dataDxfId="45"/>
    <tableColumn id="11" xr3:uid="{2F28B6D6-3E51-4600-B2E5-9DCD74E72A00}" name="Last Day of Pricing Period |_x000a_$000" dataDxfId="44"/>
  </tableColumns>
  <tableStyleInfo name="cc_TableStyl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9014B49-67C3-4C52-83AA-EF6200AB05A0}" name="tb_s20_20a_1__passenger_terminal_demand" displayName="tb_s20_20a_1__passenger_terminal_demand" ref="A5:O18" totalsRowShown="0" headerRowDxfId="43" dataDxfId="41" headerRowBorderDxfId="42">
  <autoFilter ref="A5:O18" xr:uid="{19014B49-67C3-4C52-83AA-EF6200AB05A0}"/>
  <tableColumns count="15">
    <tableColumn id="1" xr3:uid="{4B7A26F2-B7AB-4E2E-811D-BEBC4DA13B80}" name="Section" dataDxfId="40">
      <calculatedColumnFormula>$A$4</calculatedColumnFormula>
    </tableColumn>
    <tableColumn id="2" xr3:uid="{64E6208A-8CC1-4C49-ABAE-23604CD9681E}" name="Row" dataDxfId="39">
      <calculatedColumnFormula>ROW()</calculatedColumnFormula>
    </tableColumn>
    <tableColumn id="3" xr3:uid="{7EE2D46D-93C1-41EF-9AC9-76A8D15C039C}" name="Category1" dataDxfId="38"/>
    <tableColumn id="4" xr3:uid="{EFCE304A-69B2-41A2-AAE5-89F2DCF73F9D}" name="Category 2" dataDxfId="37"/>
    <tableColumn id="17" xr3:uid="{95F7B753-BCCC-46E5-858E-88739C7AD4D3}" name="Category 3" dataDxfId="36"/>
    <tableColumn id="6" xr3:uid="{5F699E00-B476-4FB3-88A8-B5AF5411E000}" name="Pricing Period Starting Year" dataDxfId="35">
      <calculatedColumnFormula>SUM(F4:F5)</calculatedColumnFormula>
    </tableColumn>
    <tableColumn id="7" xr3:uid="{8866CC34-9BD3-4A0F-97D7-4551126661BD}" name="Pricing Period Starting Year + 1" dataDxfId="34"/>
    <tableColumn id="8" xr3:uid="{FEB5AF21-6A56-40C9-A084-B591F970C55A}" name="Pricing Period Starting Year + 2" dataDxfId="33"/>
    <tableColumn id="9" xr3:uid="{EF1C2F8A-0869-4B9B-A28A-BC9B3EEB21A2}" name="Pricing Period Starting Year + 3" dataDxfId="32"/>
    <tableColumn id="10" xr3:uid="{8D3AF414-E3DA-434F-8CFE-B3AFBD1ED073}" name="Pricing Period Starting Year + 4" dataDxfId="31"/>
    <tableColumn id="11" xr3:uid="{25B92BC4-6C1B-4BA8-9083-70DF8C754076}" name="Pricing Period Starting Year + 5" dataDxfId="30"/>
    <tableColumn id="12" xr3:uid="{2CA6DEC5-8251-4739-9D08-733174321809}" name="Pricing Period Starting Year + 6" dataDxfId="29"/>
    <tableColumn id="13" xr3:uid="{9F727D1C-AE0A-4C93-9983-696ADAB25711}" name="Pricing Period Starting Year + 7" dataDxfId="28"/>
    <tableColumn id="14" xr3:uid="{DEB5B6BF-BE7D-44EB-AA5A-45513C9B14BC}" name="Pricing Period Starting Year + 8" dataDxfId="27">
      <calculatedColumnFormula>SUM(N4:N5)</calculatedColumnFormula>
    </tableColumn>
    <tableColumn id="15" xr3:uid="{33BD3A8F-2FBF-4F8E-99BD-743BA3C6785F}" name="Pricing Period Starting Year + 9" dataDxfId="26"/>
  </tableColumns>
  <tableStyleInfo name="cc_TableStyl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15FFF8A-6246-4716-BE5D-E7A4A17B7E37}" name="tb_s20_20b_1__aircraft_runway_movements" displayName="tb_s20_20b_1__aircraft_runway_movements" ref="A24:O40" totalsRowShown="0" headerRowDxfId="25" dataDxfId="23" headerRowBorderDxfId="24">
  <autoFilter ref="A24:O40" xr:uid="{315FFF8A-6246-4716-BE5D-E7A4A17B7E37}"/>
  <tableColumns count="15">
    <tableColumn id="1" xr3:uid="{65FB2A71-C7C9-48B0-ACC4-76564049C307}" name="Section" dataDxfId="22">
      <calculatedColumnFormula>$A$23</calculatedColumnFormula>
    </tableColumn>
    <tableColumn id="2" xr3:uid="{971C620E-861A-4DDB-A5C3-00F24A0AD7A6}" name="Row" dataDxfId="21">
      <calculatedColumnFormula>ROW()</calculatedColumnFormula>
    </tableColumn>
    <tableColumn id="3" xr3:uid="{60A38711-057E-4DD9-A51D-37A30FE8EA8B}" name="Category1" dataDxfId="20"/>
    <tableColumn id="4" xr3:uid="{D892FDD9-F859-43D2-B3D7-859EFE4080D9}" name="Category 2" dataDxfId="19"/>
    <tableColumn id="17" xr3:uid="{C8AC8866-8CE7-4D24-A73A-7E3A81855292}" name="Category 3" dataDxfId="18"/>
    <tableColumn id="6" xr3:uid="{6949EE09-AF03-4019-ABA1-6BEB217E72AD}" name="Pricing Period Starting Year" dataDxfId="17">
      <calculatedColumnFormula>SUM(F22:F24)</calculatedColumnFormula>
    </tableColumn>
    <tableColumn id="7" xr3:uid="{652DBDBF-6FED-4CC9-852B-9B9A5F6B46BE}" name="Pricing Period Starting Year + 1" dataDxfId="16"/>
    <tableColumn id="8" xr3:uid="{B6D4FDBF-1158-44E2-B8D5-78F01085EF8B}" name="Pricing Period Starting Year + 2" dataDxfId="15"/>
    <tableColumn id="9" xr3:uid="{DA6CDF48-8926-42F1-80AD-45225C7B500B}" name="Pricing Period Starting Year + 3" dataDxfId="14"/>
    <tableColumn id="10" xr3:uid="{D539CBFB-640B-4846-B717-46C933E9BAB3}" name="Pricing Period Starting Year + 4" dataDxfId="13"/>
    <tableColumn id="11" xr3:uid="{315E4D7A-A44C-4AFA-A971-46F0102AB0AB}" name="Pricing Period Starting Year + 5" dataDxfId="12"/>
    <tableColumn id="12" xr3:uid="{4C74CEBE-0B88-4B8B-8D93-373E89E53A21}" name="Pricing Period Starting Year + 6" dataDxfId="11"/>
    <tableColumn id="13" xr3:uid="{2F320425-53CB-46C4-8CB7-918F368D2BF7}" name="Pricing Period Starting Year + 7" dataDxfId="10"/>
    <tableColumn id="14" xr3:uid="{007B2D25-6C3F-41A9-BE6E-AE47FC48ECEF}" name="Pricing Period Starting Year + 8" dataDxfId="9"/>
    <tableColumn id="15" xr3:uid="{AC2436F7-2EFC-474C-B7C4-EFED5C534C64}" name="Pricing Period Starting Year + 9" dataDxfId="8"/>
  </tableColumns>
  <tableStyleInfo name="cc_TableStyl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75613EB-D128-4AEE-B60B-02730C8F171F}" name="tb_1_Commentary_pricing" displayName="tb_1_Commentary_pricing" ref="A4:F23" totalsRowShown="0" headerRowDxfId="7" dataDxfId="6">
  <autoFilter ref="A4:F23" xr:uid="{775613EB-D128-4AEE-B60B-02730C8F171F}"/>
  <tableColumns count="6">
    <tableColumn id="1" xr3:uid="{85E73DE8-3F68-4F6D-994A-00FDC9D43B54}" name="Section" dataDxfId="5"/>
    <tableColumn id="2" xr3:uid="{7900CDC7-8E47-4510-BA65-EEBACEBAD347}" name="Row" dataDxfId="4">
      <calculatedColumnFormula>ROW()</calculatedColumnFormula>
    </tableColumn>
    <tableColumn id="3" xr3:uid="{49476B55-AF0F-44BA-B8D6-3C7C17D33C77}" name="Context" dataDxfId="3"/>
    <tableColumn id="4" xr3:uid="{191B1276-0365-4574-A090-F24DE3018A2A}" name="Category1" dataDxfId="2"/>
    <tableColumn id="6" xr3:uid="{B866E347-A25A-43C3-B226-E14B467D5244}" name="Category2 | Description" dataDxfId="1" dataCellStyle="Formula"/>
    <tableColumn id="5" xr3:uid="{54E1683A-F757-459E-88ED-EFB0F940436D}" name="Commentary" dataDxfId="0" dataCellStyle="data_entry"/>
  </tableColumns>
  <tableStyleInfo name="cc_TableSty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D4963F-8275-4D78-B613-836FD90B0D1F}" name="tb_s18_18ii_1__forecast_IRR_annual_to_date" displayName="tb_s18_18ii_1__forecast_IRR_annual_to_date" ref="A27:H32" totalsRowShown="0" headerRowDxfId="316" dataDxfId="314" headerRowBorderDxfId="315" tableBorderDxfId="313" dataCellStyle="Blank">
  <autoFilter ref="A27:H32" xr:uid="{3BD4963F-8275-4D78-B613-836FD90B0D1F}"/>
  <tableColumns count="8">
    <tableColumn id="1" xr3:uid="{9C876F13-C28C-4A83-A6E2-AB50F8FED551}" name="Section" dataDxfId="312">
      <calculatedColumnFormula>$A$26</calculatedColumnFormula>
    </tableColumn>
    <tableColumn id="2" xr3:uid="{3D57FFF1-48F2-4992-8EDB-689BD1357C79}" name="Row" dataDxfId="311">
      <calculatedColumnFormula>ROW()</calculatedColumnFormula>
    </tableColumn>
    <tableColumn id="3" xr3:uid="{E8EDD4A7-7E5D-4AA0-97C0-CDC7F9475761}" name="Category1" dataDxfId="310"/>
    <tableColumn id="4" xr3:uid="{2296EF48-4A77-48D1-9418-FCB7087B0196}" name="Pricing Period Starting Year |_x000a_$000" dataDxfId="309" dataCellStyle="Blank">
      <calculatedColumnFormula>F108</calculatedColumnFormula>
    </tableColumn>
    <tableColumn id="5" xr3:uid="{68382A96-5E6B-4F66-8B53-1148BBCCF128}" name="Pricing Period Starting Year + 1 |_x000a_$000" dataDxfId="308" dataCellStyle="Blank"/>
    <tableColumn id="6" xr3:uid="{7A101A7F-29F9-45C8-9F70-E91E01C2CE3D}" name="Pricing Period Starting Year + 2 |_x000a_$000" dataDxfId="307" dataCellStyle="Blank"/>
    <tableColumn id="7" xr3:uid="{10F2965D-8815-4426-BA12-F359485AB2B9}" name="Pricing Period Starting Year + 3 |_x000a_$000" dataDxfId="306" dataCellStyle="Blank">
      <calculatedColumnFormula>I108</calculatedColumnFormula>
    </tableColumn>
    <tableColumn id="8" xr3:uid="{9064382B-C145-4859-8A9B-B64793439622}" name="Pricing Period Starting Year + 4 |_x000a_$000" dataDxfId="305" dataCellStyle="Blank"/>
  </tableColumns>
  <tableStyleInfo name="cc_Table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5452A6-50A3-42C7-83DA-223C0B6E5D0B}" name="tb_s18_18iii_1__forecast_opening_adjustment" displayName="tb_s18_18iii_1__forecast_opening_adjustment" ref="A36:G40" totalsRowShown="0" headerRowDxfId="304" dataDxfId="302" headerRowBorderDxfId="303" tableBorderDxfId="301" totalsRowBorderDxfId="300" dataCellStyle="Formula">
  <autoFilter ref="A36:G40" xr:uid="{7C5452A6-50A3-42C7-83DA-223C0B6E5D0B}"/>
  <tableColumns count="7">
    <tableColumn id="1" xr3:uid="{4430F701-413E-485F-B7D5-23221B7CAE80}" name="Section" dataDxfId="299">
      <calculatedColumnFormula>$A$35</calculatedColumnFormula>
    </tableColumn>
    <tableColumn id="2" xr3:uid="{47340DEB-9A57-4D02-87A5-A4F5708C0EAC}" name="Row" dataDxfId="298">
      <calculatedColumnFormula>ROW()</calculatedColumnFormula>
    </tableColumn>
    <tableColumn id="3" xr3:uid="{C6FCBE8B-A11B-484B-845F-C3AF2A27328F}" name="Category1" dataDxfId="297"/>
    <tableColumn id="4" xr3:uid="{E3BD8F7C-79DF-4FBD-8E0D-387799AF9CE3}" name="Forecast closing carry forward adjustment from previous pricing period |_x000a_$000" dataDxfId="296" dataCellStyle="Formula"/>
    <tableColumn id="5" xr3:uid="{FC6746D5-65AC-4EF8-99F2-3C6C7AF0A7D8}" name="Opening carry forward adjustments from current price setting event |_x000a_$000" dataDxfId="295" dataCellStyle="Formula"/>
    <tableColumn id="6" xr3:uid="{0BF004F8-E63A-4489-B224-70496A7EC80B}" name="Forecast opening carry forward adjustment |_x000a_$000" dataDxfId="294" dataCellStyle="Formula">
      <calculatedColumnFormula>D37+E37</calculatedColumnFormula>
    </tableColumn>
    <tableColumn id="7" xr3:uid="{B56C046E-26CD-4209-B362-488419AF8B0C}" name="Please explain each adjustment and how this has been calculated" dataDxfId="293" dataCellStyle="Formula"/>
  </tableColumns>
  <tableStyleInfo name="cc_Table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DFC1D0-08E8-4173-B9A5-02682C8893DA}" name="tb_s18_18iv_1__forecast_closing_adjustment" displayName="tb_s18_18iv_1__forecast_closing_adjustment" ref="A45:E50" totalsRowShown="0" headerRowDxfId="292" dataDxfId="290" headerRowBorderDxfId="291" tableBorderDxfId="289" totalsRowBorderDxfId="288" dataCellStyle="Formula">
  <autoFilter ref="A45:E50" xr:uid="{3FDFC1D0-08E8-4173-B9A5-02682C8893DA}"/>
  <tableColumns count="5">
    <tableColumn id="1" xr3:uid="{009D9643-7978-463D-BC5A-185C4E563119}" name="Section" dataDxfId="287">
      <calculatedColumnFormula>$A$44</calculatedColumnFormula>
    </tableColumn>
    <tableColumn id="2" xr3:uid="{C83A0007-82EE-4F25-B7B5-C30022BE7075}" name="Row" dataDxfId="286">
      <calculatedColumnFormula>ROW()</calculatedColumnFormula>
    </tableColumn>
    <tableColumn id="4" xr3:uid="{C5D11FCE-A3F8-4AB5-B4D2-015E9FF0AA75}" name="Category1 |_x000a_Description of closing carry forward adjustment" dataDxfId="285" dataCellStyle="data_entry"/>
    <tableColumn id="5" xr3:uid="{50112085-572B-4667-8C53-DEAE4755BEEB}" name="Forecast closing carry forward adjustment |_x000a_$000" dataDxfId="284" dataCellStyle="data_entry"/>
    <tableColumn id="7" xr3:uid="{F7AF4D36-0419-4AC1-B318-A98835A598AD}" name="Please explain each adjustment and how this has been calculated" dataDxfId="283" dataCellStyle="data_entry"/>
  </tableColumns>
  <tableStyleInfo name="cc_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3C68C33-63B8-454E-8D07-B8FD8AE8B29E}" name="tb_s18_18v_1__cashflow_assumptions" displayName="tb_s18_18v_1__cashflow_assumptions" ref="A55:D57" totalsRowShown="0" headerRowDxfId="282" dataDxfId="280" headerRowBorderDxfId="281" tableBorderDxfId="279">
  <autoFilter ref="A55:D57" xr:uid="{23C68C33-63B8-454E-8D07-B8FD8AE8B29E}"/>
  <tableColumns count="4">
    <tableColumn id="1" xr3:uid="{6AE9FC05-9538-4190-AAFC-7B7E06FFAA8D}" name="Section" dataDxfId="278">
      <calculatedColumnFormula>$A$54</calculatedColumnFormula>
    </tableColumn>
    <tableColumn id="2" xr3:uid="{8B06B41A-0FD4-46E2-BF9F-042AF47223E5}" name="Row" dataDxfId="277">
      <calculatedColumnFormula>ROW()</calculatedColumnFormula>
    </tableColumn>
    <tableColumn id="3" xr3:uid="{A2FDB831-6D9E-4FD0-9E0B-7F2EFFF58B0B}" name="Category1 " dataDxfId="276"/>
    <tableColumn id="4" xr3:uid="{B4834996-A7D2-46C9-9FD0-0B08F57B3949}" name="Date" dataDxfId="275"/>
  </tableColumns>
  <tableStyleInfo name="cc_TableSty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B13A54-6A0B-43A0-AE34-81E189009E9C}" name="tb_s18_18vi_1__total_revenue_req" displayName="tb_s18_18vi_1__total_revenue_req" ref="A69:J85" totalsRowShown="0" headerRowDxfId="274" dataDxfId="272" headerRowBorderDxfId="273" tableBorderDxfId="271" dataCellStyle="Blank">
  <autoFilter ref="A69:J85" xr:uid="{83B13A54-6A0B-43A0-AE34-81E189009E9C}"/>
  <tableColumns count="10">
    <tableColumn id="1" xr3:uid="{A717400C-A05E-4CD9-B5A4-A6247AD8040F}" name="Section" dataDxfId="270">
      <calculatedColumnFormula>$A$68</calculatedColumnFormula>
    </tableColumn>
    <tableColumn id="2" xr3:uid="{1DD65D2F-217D-46BC-949D-ECDD2F48A1BB}" name="Row" dataDxfId="269">
      <calculatedColumnFormula>ROW()</calculatedColumnFormula>
    </tableColumn>
    <tableColumn id="3" xr3:uid="{20E0269A-89DE-43F4-B924-17AFA184CD62}" name="Context" dataDxfId="268"/>
    <tableColumn id="4" xr3:uid="{50E07F09-BBB1-46A5-80C0-431EBF502BF6}" name="Category1" dataDxfId="267" dataCellStyle="Blank"/>
    <tableColumn id="10" xr3:uid="{81F2E445-1F1C-4982-98BE-4E1CFD4CC298}" name="Category2" dataDxfId="266" dataCellStyle="Blank"/>
    <tableColumn id="5" xr3:uid="{B14879B2-8344-43B2-AFF7-81DB281BA6A7}" name="Pricing Period Starting Year |_x000a_$000" dataDxfId="265" dataCellStyle="Formula"/>
    <tableColumn id="6" xr3:uid="{244BC89D-BA93-4EE3-BEB0-8A1AE4332497}" name="Pricing Period Starting Year + 1 |_x000a_$000" dataDxfId="264" dataCellStyle="Formula"/>
    <tableColumn id="7" xr3:uid="{B6281652-685D-4DD9-B5A0-7A7C8927C526}" name="Pricing Period Starting Year + 2 |_x000a_$000" dataDxfId="263" dataCellStyle="Formula"/>
    <tableColumn id="8" xr3:uid="{5D3355C3-1B89-45FA-A82C-11C5C4DB3D6A}" name="Pricing Period Starting Year + 3 |_x000a_$000" dataDxfId="262" dataCellStyle="Formula"/>
    <tableColumn id="9" xr3:uid="{45351089-730A-4259-8A2F-96574450AE23}" name="Pricing Period Starting Year + 4 |_x000a_$000" dataDxfId="261" dataCellStyle="Blank"/>
  </tableColumns>
  <tableStyleInfo name="cc_TableSty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8640AA-2EEF-4E6A-9C23-D5DCA0B5146B}" name="tb_s18_18vii_1__opening_RAB" displayName="tb_s18_18vii_1__opening_RAB" ref="A90:E97" totalsRowShown="0" headerRowDxfId="260" dataDxfId="258" headerRowBorderDxfId="259" tableBorderDxfId="257">
  <autoFilter ref="A90:E97" xr:uid="{548640AA-2EEF-4E6A-9C23-D5DCA0B5146B}"/>
  <tableColumns count="5">
    <tableColumn id="1" xr3:uid="{1F294CCA-FE19-4799-88F7-00E332CB4471}" name="Section" dataDxfId="256">
      <calculatedColumnFormula>$A$89</calculatedColumnFormula>
    </tableColumn>
    <tableColumn id="2" xr3:uid="{782558CE-312B-47B4-95CC-AE19360A6079}" name="Row" dataDxfId="255">
      <calculatedColumnFormula>ROW()</calculatedColumnFormula>
    </tableColumn>
    <tableColumn id="3" xr3:uid="{88B314FF-C217-41D2-98E8-BB16F70ED82B}" name="Context" dataDxfId="254"/>
    <tableColumn id="4" xr3:uid="{9845F19B-CE35-49D3-9717-D64264D973BB}" name="Category1" dataDxfId="253" dataCellStyle="Blank"/>
    <tableColumn id="5" xr3:uid="{7321980B-8FE6-4FF8-993D-4105DF6D8857}" name="($000)" dataDxfId="252"/>
  </tableColumns>
  <tableStyleInfo name="cc_Table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101BC17-E913-42FF-AFA2-69ADA9151792}" name="tb_s18_18viii_1__forecast_asset_base" displayName="tb_s18_18viii_1__forecast_asset_base" ref="A101:J108" totalsRowShown="0" headerRowDxfId="251" dataDxfId="249" headerRowBorderDxfId="250" tableBorderDxfId="248" totalsRowBorderDxfId="247">
  <autoFilter ref="A101:J108" xr:uid="{0101BC17-E913-42FF-AFA2-69ADA9151792}"/>
  <tableColumns count="10">
    <tableColumn id="1" xr3:uid="{8E4360AD-CBB1-41D1-B767-89087CBF0F42}" name="Section" dataDxfId="246">
      <calculatedColumnFormula>$A$100</calculatedColumnFormula>
    </tableColumn>
    <tableColumn id="2" xr3:uid="{9D500B8C-E9D4-4E21-9E55-F426376EA093}" name="Row" dataDxfId="245">
      <calculatedColumnFormula>ROW()</calculatedColumnFormula>
    </tableColumn>
    <tableColumn id="3" xr3:uid="{088580E2-5F6F-4A3D-A5CC-95D4D02EE097}" name="Context" dataDxfId="244"/>
    <tableColumn id="4" xr3:uid="{6F744329-A6A4-4B60-86DB-4874A44E1AD6}" name="Category1" dataDxfId="243" dataCellStyle="Blank"/>
    <tableColumn id="10" xr3:uid="{FE0F5F19-6022-4B3F-A113-BEA5EB89FE17}" name="Pricing Period Starting Year - 1 |_x000a_$000" dataDxfId="242"/>
    <tableColumn id="5" xr3:uid="{3C6A29CF-9EB6-4947-8390-ECD213EB4070}" name="Pricing Period Starting Year |_x000a_$000" dataDxfId="241"/>
    <tableColumn id="6" xr3:uid="{66AB51B3-7BA6-425A-B58E-305BEBAA56EE}" name="Pricing Period Starting Year + 1 |_x000a_$000" dataDxfId="240"/>
    <tableColumn id="7" xr3:uid="{73D58099-695D-48EF-B2C9-EBB090025D56}" name="Pricing Period Starting Year + 2 |_x000a_$000" dataDxfId="239"/>
    <tableColumn id="8" xr3:uid="{65210069-3A2C-461F-BE89-F36DCE6CADB3}" name="Pricing Period Starting Year + 3 |_x000a_$000" dataDxfId="238"/>
    <tableColumn id="9" xr3:uid="{3B86602A-D1AE-4291-A720-40B4E2252CB4}" name="Pricing Period Starting Year + 4 |_x000a_$000" dataDxfId="237"/>
  </tableColumns>
  <tableStyleInfo name="cc_TableStyle"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printerSettings" Target="../printerSettings/printerSettings4.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3.xml"/><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table" Target="../tables/table17.xml"/><Relationship Id="rId1" Type="http://schemas.openxmlformats.org/officeDocument/2006/relationships/printerSettings" Target="../printerSettings/printerSettings5.bin"/><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table" Target="../tables/table19.xml"/><Relationship Id="rId9"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indexed="10"/>
    <pageSetUpPr fitToPage="1"/>
  </sheetPr>
  <dimension ref="A1:D19"/>
  <sheetViews>
    <sheetView showGridLines="0" tabSelected="1" view="pageBreakPreview" zoomScaleNormal="100" zoomScaleSheetLayoutView="100" workbookViewId="0">
      <selection activeCell="A20" sqref="A20"/>
    </sheetView>
  </sheetViews>
  <sheetFormatPr defaultColWidth="9.21875" defaultRowHeight="13.2" x14ac:dyDescent="0.25"/>
  <cols>
    <col min="1" max="1" width="15.6640625" customWidth="1"/>
    <col min="2" max="2" width="59.6640625" customWidth="1"/>
    <col min="3" max="3" width="32.5546875" customWidth="1"/>
    <col min="4" max="4" width="32.44140625" customWidth="1"/>
  </cols>
  <sheetData>
    <row r="1" spans="1:4" x14ac:dyDescent="0.25">
      <c r="A1" s="76"/>
      <c r="B1" s="77"/>
      <c r="C1" s="77"/>
      <c r="D1" s="78"/>
    </row>
    <row r="2" spans="1:4" ht="151.94999999999999" customHeight="1" x14ac:dyDescent="0.25">
      <c r="A2" s="79"/>
      <c r="B2" s="74"/>
      <c r="C2" s="74" t="s">
        <v>0</v>
      </c>
      <c r="D2" s="80"/>
    </row>
    <row r="3" spans="1:4" ht="23.4" x14ac:dyDescent="0.45">
      <c r="A3" s="115" t="s">
        <v>1</v>
      </c>
      <c r="B3" s="116"/>
      <c r="C3" s="116"/>
      <c r="D3" s="117"/>
    </row>
    <row r="4" spans="1:4" ht="27.75" customHeight="1" x14ac:dyDescent="0.45">
      <c r="A4" s="115" t="s">
        <v>2</v>
      </c>
      <c r="B4" s="116"/>
      <c r="C4" s="116"/>
      <c r="D4" s="117"/>
    </row>
    <row r="5" spans="1:4" ht="27.75" customHeight="1" x14ac:dyDescent="0.45">
      <c r="A5" s="115" t="s">
        <v>3</v>
      </c>
      <c r="B5" s="116"/>
      <c r="C5" s="116"/>
      <c r="D5" s="117"/>
    </row>
    <row r="6" spans="1:4" ht="21" x14ac:dyDescent="0.4">
      <c r="A6" s="118" t="s">
        <v>4</v>
      </c>
      <c r="B6" s="116"/>
      <c r="C6" s="116"/>
      <c r="D6" s="117"/>
    </row>
    <row r="7" spans="1:4" ht="60" customHeight="1" x14ac:dyDescent="0.3">
      <c r="A7" s="119"/>
      <c r="B7" s="120"/>
      <c r="C7" s="120"/>
      <c r="D7" s="121"/>
    </row>
    <row r="8" spans="1:4" ht="15" customHeight="1" x14ac:dyDescent="0.3">
      <c r="A8" s="119"/>
      <c r="B8" s="131" t="s">
        <v>5</v>
      </c>
      <c r="C8" s="122" t="s">
        <v>6</v>
      </c>
      <c r="D8" s="121"/>
    </row>
    <row r="9" spans="1:4" ht="4.5" customHeight="1" x14ac:dyDescent="0.3">
      <c r="A9" s="119"/>
      <c r="B9" s="132"/>
      <c r="C9" s="120"/>
      <c r="D9" s="121"/>
    </row>
    <row r="10" spans="1:4" ht="15" customHeight="1" x14ac:dyDescent="0.3">
      <c r="A10" s="119"/>
      <c r="B10" s="131" t="s">
        <v>7</v>
      </c>
      <c r="C10" s="123">
        <v>46356</v>
      </c>
      <c r="D10" s="121"/>
    </row>
    <row r="11" spans="1:4" ht="3" customHeight="1" x14ac:dyDescent="0.3">
      <c r="A11" s="119"/>
      <c r="B11" s="132"/>
      <c r="C11" s="120"/>
      <c r="D11" s="121"/>
    </row>
    <row r="12" spans="1:4" ht="3" customHeight="1" x14ac:dyDescent="0.3">
      <c r="A12" s="119"/>
      <c r="B12" s="132"/>
      <c r="C12" s="120"/>
      <c r="D12" s="121"/>
    </row>
    <row r="13" spans="1:4" ht="15" customHeight="1" x14ac:dyDescent="0.3">
      <c r="A13" s="119"/>
      <c r="B13" s="174" t="s">
        <v>302</v>
      </c>
      <c r="C13" s="124">
        <v>46203</v>
      </c>
      <c r="D13" s="121"/>
    </row>
    <row r="14" spans="1:4" ht="4.5" customHeight="1" x14ac:dyDescent="0.3">
      <c r="A14" s="119"/>
      <c r="B14" s="175"/>
      <c r="C14" s="120"/>
      <c r="D14" s="121"/>
    </row>
    <row r="15" spans="1:4" ht="15" customHeight="1" x14ac:dyDescent="0.3">
      <c r="A15" s="119"/>
      <c r="B15" s="131" t="s">
        <v>8</v>
      </c>
      <c r="C15" s="124">
        <v>45107</v>
      </c>
      <c r="D15" s="121"/>
    </row>
    <row r="16" spans="1:4" ht="15" customHeight="1" x14ac:dyDescent="0.3">
      <c r="A16" s="119"/>
      <c r="B16" s="125"/>
      <c r="C16" s="120"/>
      <c r="D16" s="121"/>
    </row>
    <row r="17" spans="1:4" ht="15" customHeight="1" x14ac:dyDescent="0.3">
      <c r="A17" s="126" t="s">
        <v>9</v>
      </c>
      <c r="B17" s="116"/>
      <c r="C17" s="116"/>
      <c r="D17" s="117"/>
    </row>
    <row r="18" spans="1:4" ht="13.8" x14ac:dyDescent="0.3">
      <c r="A18" s="127" t="s">
        <v>305</v>
      </c>
      <c r="B18" s="116"/>
      <c r="C18" s="116"/>
      <c r="D18" s="117"/>
    </row>
    <row r="19" spans="1:4" ht="40.049999999999997" customHeight="1" x14ac:dyDescent="0.3">
      <c r="A19" s="128" t="s">
        <v>306</v>
      </c>
      <c r="B19" s="129"/>
      <c r="C19" s="129"/>
      <c r="D19" s="130"/>
    </row>
  </sheetData>
  <sheetProtection formatColumns="0" formatRows="0"/>
  <mergeCells count="1">
    <mergeCell ref="B13:B14"/>
  </mergeCells>
  <dataValidations count="4">
    <dataValidation type="list" allowBlank="1" promptTitle="Select name of the airport" prompt=" " sqref="C8" xr:uid="{4B39438E-DC77-4850-A3A0-BEC3BCDD908D}">
      <formula1>"Auckland International Airport, Christchurch International Airport, Wellington International Airport"</formula1>
    </dataValidation>
    <dataValidation type="date" operator="greaterThan" allowBlank="1" errorTitle="Date entry" error="Dates after 1 January 2011 accepted" promptTitle="Disclosure Date" prompt="Please input the disclosure date" sqref="C10" xr:uid="{2FFC3A21-9551-471F-88EE-147888D736B7}">
      <formula1>46143</formula1>
    </dataValidation>
    <dataValidation type="date" operator="greaterThan" allowBlank="1" errorTitle="Date entry" error="Dates after 1 January 2011 accepted" promptTitle="Date entry" prompt=" " sqref="C15" xr:uid="{2E5E86CA-B831-40D2-A124-DDE0EA6F886E}">
      <formula1>45778</formula1>
    </dataValidation>
    <dataValidation type="date" operator="greaterThan" allowBlank="1" errorTitle="Date entry" error="Dates after 1 January 2001 accepted" promptTitle="Date entry" prompt=" " sqref="C13" xr:uid="{B0EE58C7-DAC6-46B7-8A22-7256E28D99BD}">
      <formula1>45778</formula1>
    </dataValidation>
  </dataValidations>
  <pageMargins left="0.74803149606299213" right="0.74803149606299213" top="0.98425196850393704" bottom="0.98425196850393704" header="0.51181102362204722" footer="0.51181102362204722"/>
  <pageSetup paperSize="9" scale="62" fitToHeight="10" orientation="portrait" r:id="rId1"/>
  <headerFooter alignWithMargins="0">
    <oddHeader>&amp;CCommerce Commission Information Disclosure Template</oddHeader>
    <oddFooter>&amp;C&amp;F&amp;R&amp;A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C8"/>
  <sheetViews>
    <sheetView showGridLines="0" view="pageBreakPreview" zoomScaleNormal="100" zoomScaleSheetLayoutView="100" workbookViewId="0">
      <selection activeCell="B5" sqref="B5"/>
    </sheetView>
  </sheetViews>
  <sheetFormatPr defaultRowHeight="13.2" x14ac:dyDescent="0.25"/>
  <cols>
    <col min="1" max="1" width="13.44140625" customWidth="1"/>
    <col min="2" max="2" width="74.5546875" customWidth="1"/>
    <col min="3" max="3" width="31.77734375" customWidth="1"/>
    <col min="5" max="6" width="9.21875" customWidth="1"/>
    <col min="7" max="7" width="24.21875" customWidth="1"/>
    <col min="8" max="8" width="36.5546875" customWidth="1"/>
  </cols>
  <sheetData>
    <row r="1" spans="1:3" ht="22.8" x14ac:dyDescent="0.4">
      <c r="A1" s="158" t="s">
        <v>10</v>
      </c>
      <c r="B1" s="83"/>
      <c r="C1" s="83"/>
    </row>
    <row r="2" spans="1:3" x14ac:dyDescent="0.25">
      <c r="A2" s="79"/>
      <c r="B2" s="75"/>
      <c r="C2" s="81"/>
    </row>
    <row r="3" spans="1:3" ht="15.6" x14ac:dyDescent="0.25">
      <c r="A3" s="89" t="s">
        <v>11</v>
      </c>
      <c r="B3" s="89" t="s">
        <v>12</v>
      </c>
      <c r="C3" s="89" t="s">
        <v>13</v>
      </c>
    </row>
    <row r="4" spans="1:3" ht="14.4" x14ac:dyDescent="0.25">
      <c r="A4" s="156" t="s">
        <v>14</v>
      </c>
      <c r="B4" s="82" t="s">
        <v>15</v>
      </c>
      <c r="C4" s="157" t="s">
        <v>16</v>
      </c>
    </row>
    <row r="5" spans="1:3" ht="14.4" x14ac:dyDescent="0.25">
      <c r="A5" s="156" t="s">
        <v>17</v>
      </c>
      <c r="B5" s="82" t="s">
        <v>18</v>
      </c>
      <c r="C5" s="157" t="s">
        <v>304</v>
      </c>
    </row>
    <row r="6" spans="1:3" ht="14.4" x14ac:dyDescent="0.25">
      <c r="A6" s="156">
        <v>20</v>
      </c>
      <c r="B6" s="82" t="s">
        <v>19</v>
      </c>
      <c r="C6" s="157" t="s">
        <v>20</v>
      </c>
    </row>
    <row r="7" spans="1:3" ht="14.4" x14ac:dyDescent="0.25">
      <c r="A7" s="90"/>
      <c r="B7" s="82" t="s">
        <v>21</v>
      </c>
      <c r="C7" s="157" t="s">
        <v>272</v>
      </c>
    </row>
    <row r="8" spans="1:3" ht="16.05" customHeight="1" x14ac:dyDescent="0.25">
      <c r="A8" s="79"/>
      <c r="B8" s="75"/>
      <c r="C8" s="81"/>
    </row>
  </sheetData>
  <sheetProtection formatColumns="0" formatRows="0"/>
  <phoneticPr fontId="1" type="noConversion"/>
  <hyperlinks>
    <hyperlink ref="B4" location="'S18.Total revenue requirement'!A1" tooltip="Section title. Click once to follow" display="REPORT ON THE FORECAST TOTAL ASSET BASE REVENUE REQUIREMENTS" xr:uid="{FDEAA222-5B96-4EA0-9012-FFCE29C456E7}"/>
    <hyperlink ref="B5" location="'S19.Pricing Asset Revenue'!A1" display="REPORT ON THE FORECAST PRICING ASSET BASE REVENUE REQUIREMENTS" xr:uid="{0E87ADB3-BBBC-4F2E-82B7-83A7CA3C9409}"/>
    <hyperlink ref="B6" location="'S20.Demand Forecast'!A1" tooltip="Section title. Click once to follow" display="REPORT ON DEMAND FORECASTS" xr:uid="{F899FD15-3990-44D8-AE27-7337334CFC88}"/>
    <hyperlink ref="B7" location="Commentary!A1" tooltip="Section title. Click once to follow" display="Commentary: Disclosures that require a summary or explanation" xr:uid="{C798F9A0-FCF1-45AA-8EF5-B00BBBD92DA3}"/>
  </hyperlinks>
  <pageMargins left="0.74803149606299213" right="0.74803149606299213" top="0.98425196850393704" bottom="0.98425196850393704" header="0.51181102362204722" footer="0.51181102362204722"/>
  <pageSetup paperSize="9" scale="73" fitToHeight="10" orientation="portrait" r:id="rId1"/>
  <headerFooter alignWithMargins="0">
    <oddHeader>&amp;CCommerce Commission Information Disclosure Template</oddHeader>
    <oddFooter>&amp;C&amp;F&amp;R&amp;A</oddFooter>
  </headerFooter>
  <ignoredErrors>
    <ignoredError sqref="A4:A5"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pageSetUpPr fitToPage="1"/>
  </sheetPr>
  <dimension ref="A1:A27"/>
  <sheetViews>
    <sheetView showGridLines="0" view="pageBreakPreview" zoomScaleNormal="100" zoomScaleSheetLayoutView="100" workbookViewId="0">
      <selection activeCell="A13" sqref="A13"/>
    </sheetView>
  </sheetViews>
  <sheetFormatPr defaultColWidth="9.21875" defaultRowHeight="15" x14ac:dyDescent="0.25"/>
  <cols>
    <col min="1" max="1" width="122.21875" style="73" customWidth="1"/>
    <col min="2" max="16384" width="9.21875" style="73"/>
  </cols>
  <sheetData>
    <row r="1" spans="1:1" ht="23.4" x14ac:dyDescent="0.45">
      <c r="A1" s="151" t="s">
        <v>296</v>
      </c>
    </row>
    <row r="2" spans="1:1" ht="12.45" customHeight="1" x14ac:dyDescent="0.45">
      <c r="A2" s="152"/>
    </row>
    <row r="3" spans="1:1" ht="42.75" customHeight="1" x14ac:dyDescent="0.25">
      <c r="A3" s="91" t="s">
        <v>295</v>
      </c>
    </row>
    <row r="4" spans="1:1" ht="15.6" x14ac:dyDescent="0.25">
      <c r="A4" s="92" t="s">
        <v>22</v>
      </c>
    </row>
    <row r="5" spans="1:1" ht="27.6" x14ac:dyDescent="0.25">
      <c r="A5" s="91" t="s">
        <v>23</v>
      </c>
    </row>
    <row r="6" spans="1:1" ht="27.6" x14ac:dyDescent="0.25">
      <c r="A6" s="91" t="s">
        <v>24</v>
      </c>
    </row>
    <row r="7" spans="1:1" x14ac:dyDescent="0.25">
      <c r="A7" s="91"/>
    </row>
    <row r="8" spans="1:1" ht="15.6" x14ac:dyDescent="0.25">
      <c r="A8" s="92" t="s">
        <v>25</v>
      </c>
    </row>
    <row r="9" spans="1:1" ht="55.2" x14ac:dyDescent="0.25">
      <c r="A9" s="91" t="s">
        <v>26</v>
      </c>
    </row>
    <row r="10" spans="1:1" x14ac:dyDescent="0.25">
      <c r="A10" s="91"/>
    </row>
    <row r="11" spans="1:1" ht="15.6" x14ac:dyDescent="0.25">
      <c r="A11" s="92" t="s">
        <v>27</v>
      </c>
    </row>
    <row r="12" spans="1:1" ht="27.6" x14ac:dyDescent="0.25">
      <c r="A12" s="93" t="s">
        <v>28</v>
      </c>
    </row>
    <row r="13" spans="1:1" ht="27.6" x14ac:dyDescent="0.25">
      <c r="A13" s="93" t="s">
        <v>29</v>
      </c>
    </row>
    <row r="14" spans="1:1" x14ac:dyDescent="0.25">
      <c r="A14" s="93"/>
    </row>
    <row r="15" spans="1:1" ht="15.6" x14ac:dyDescent="0.25">
      <c r="A15" s="92" t="s">
        <v>30</v>
      </c>
    </row>
    <row r="16" spans="1:1" ht="27.6" x14ac:dyDescent="0.25">
      <c r="A16" s="94" t="s">
        <v>31</v>
      </c>
    </row>
    <row r="17" spans="1:1" x14ac:dyDescent="0.25">
      <c r="A17" s="94"/>
    </row>
    <row r="18" spans="1:1" ht="15.6" x14ac:dyDescent="0.25">
      <c r="A18" s="153" t="s">
        <v>297</v>
      </c>
    </row>
    <row r="19" spans="1:1" x14ac:dyDescent="0.25">
      <c r="A19" s="94" t="s">
        <v>298</v>
      </c>
    </row>
    <row r="20" spans="1:1" x14ac:dyDescent="0.25">
      <c r="A20" s="154" t="s">
        <v>300</v>
      </c>
    </row>
    <row r="21" spans="1:1" x14ac:dyDescent="0.25">
      <c r="A21" s="155" t="s">
        <v>299</v>
      </c>
    </row>
    <row r="22" spans="1:1" ht="27.6" x14ac:dyDescent="0.25">
      <c r="A22" s="94" t="s">
        <v>301</v>
      </c>
    </row>
    <row r="23" spans="1:1" x14ac:dyDescent="0.25">
      <c r="A23" s="94"/>
    </row>
    <row r="24" spans="1:1" ht="15.6" x14ac:dyDescent="0.25">
      <c r="A24" s="92" t="s">
        <v>32</v>
      </c>
    </row>
    <row r="25" spans="1:1" ht="15.6" x14ac:dyDescent="0.3">
      <c r="A25" s="88" t="s">
        <v>33</v>
      </c>
    </row>
    <row r="26" spans="1:1" ht="15.6" x14ac:dyDescent="0.3">
      <c r="A26" s="87" t="s">
        <v>34</v>
      </c>
    </row>
    <row r="27" spans="1:1" ht="15.6" x14ac:dyDescent="0.3">
      <c r="A27" s="86" t="s">
        <v>35</v>
      </c>
    </row>
  </sheetData>
  <sheetProtection formatColumns="0" formatRows="0"/>
  <phoneticPr fontId="1" type="noConversion"/>
  <pageMargins left="0.74803149606299213" right="0.74803149606299213" top="0.98425196850393704" bottom="0.98425196850393704" header="0.51181102362204722" footer="0.51181102362204722"/>
  <pageSetup paperSize="9" scale="72"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4D31-5F7F-446A-863A-76BF3F06C74F}">
  <sheetPr>
    <tabColor theme="6" tint="-9.9978637043366805E-2"/>
    <pageSetUpPr fitToPage="1"/>
  </sheetPr>
  <dimension ref="A1:AB195"/>
  <sheetViews>
    <sheetView showGridLines="0" view="pageBreakPreview" zoomScaleNormal="85" zoomScaleSheetLayoutView="100" workbookViewId="0">
      <selection activeCell="C194" sqref="C194"/>
    </sheetView>
  </sheetViews>
  <sheetFormatPr defaultRowHeight="13.8" x14ac:dyDescent="0.3"/>
  <cols>
    <col min="1" max="1" width="60.44140625" style="40" customWidth="1"/>
    <col min="2" max="2" width="9.109375" style="40" bestFit="1" customWidth="1"/>
    <col min="3" max="3" width="44.77734375" style="40" customWidth="1"/>
    <col min="4" max="4" width="59.33203125" style="40" customWidth="1"/>
    <col min="5" max="5" width="76.88671875" style="40" bestFit="1" customWidth="1"/>
    <col min="6" max="6" width="38.77734375" style="40" customWidth="1"/>
    <col min="7" max="7" width="49.44140625" style="40" customWidth="1"/>
    <col min="8" max="15" width="16.44140625" style="40" customWidth="1"/>
    <col min="16" max="16" width="15" style="40" customWidth="1"/>
    <col min="17" max="17" width="8.44140625" style="40" customWidth="1"/>
    <col min="18" max="18" width="16.5546875" style="40" customWidth="1"/>
    <col min="19" max="19" width="25.109375" style="40" bestFit="1" customWidth="1"/>
    <col min="20" max="20" width="19.88671875" style="40" bestFit="1" customWidth="1"/>
    <col min="21" max="21" width="20.21875" style="40" bestFit="1" customWidth="1"/>
    <col min="22" max="22" width="26.44140625" style="40" customWidth="1"/>
    <col min="23" max="28" width="27.44140625" style="40" customWidth="1"/>
    <col min="29" max="34" width="27.44140625" customWidth="1"/>
  </cols>
  <sheetData>
    <row r="1" spans="1:28" ht="23.4" x14ac:dyDescent="0.3">
      <c r="A1" s="84" t="str">
        <f>company_name&amp;"    |     Pricing period starting year - "&amp;TEXT(pp_starting_year,"dd mmmm yyyy")&amp;"    |     Disclosure year - "&amp;TEXT('Pricing CoverSheet'!C10,"yyyy")</f>
        <v>[select name of the airport]    |     Pricing period starting year - 30 June 2023    |     Disclosure year - 2026</v>
      </c>
    </row>
    <row r="2" spans="1:28" ht="19.5" customHeight="1" x14ac:dyDescent="0.3">
      <c r="A2" s="84"/>
    </row>
    <row r="3" spans="1:28" ht="40.049999999999997" customHeight="1" x14ac:dyDescent="0.3">
      <c r="A3" s="84" t="s">
        <v>36</v>
      </c>
    </row>
    <row r="4" spans="1:28" ht="21" x14ac:dyDescent="0.4">
      <c r="A4" s="85" t="s">
        <v>37</v>
      </c>
    </row>
    <row r="5" spans="1:28" ht="43.2" x14ac:dyDescent="0.3">
      <c r="A5" s="58" t="s">
        <v>38</v>
      </c>
      <c r="B5" s="58" t="s">
        <v>39</v>
      </c>
      <c r="C5" s="58" t="s">
        <v>40</v>
      </c>
      <c r="D5" s="72" t="s">
        <v>41</v>
      </c>
      <c r="E5" s="58" t="s">
        <v>42</v>
      </c>
      <c r="F5" s="58" t="s">
        <v>43</v>
      </c>
      <c r="G5" s="72" t="s">
        <v>44</v>
      </c>
      <c r="H5" s="72" t="s">
        <v>45</v>
      </c>
      <c r="I5" s="163" t="s">
        <v>46</v>
      </c>
      <c r="J5" s="72" t="s">
        <v>47</v>
      </c>
      <c r="K5" s="72" t="s">
        <v>48</v>
      </c>
      <c r="L5" s="72" t="s">
        <v>49</v>
      </c>
      <c r="R5" s="30" t="s">
        <v>50</v>
      </c>
      <c r="S5" s="31"/>
      <c r="T5" s="31"/>
      <c r="U5" s="31"/>
      <c r="V5" s="25"/>
      <c r="W5" s="25"/>
      <c r="X5" s="25"/>
      <c r="Y5" s="25"/>
      <c r="Z5" s="25"/>
      <c r="AA5" s="25"/>
      <c r="AB5" s="28"/>
    </row>
    <row r="6" spans="1:28" ht="14.4" x14ac:dyDescent="0.3">
      <c r="A6" s="63" t="str">
        <f>$A$4</f>
        <v>18(i): Forecast Internal Rate of Return: Components</v>
      </c>
      <c r="B6" s="63">
        <f>ROW()</f>
        <v>6</v>
      </c>
      <c r="C6" s="20"/>
      <c r="D6" s="63" t="s">
        <v>51</v>
      </c>
      <c r="E6" s="161">
        <f>$D$57</f>
        <v>44743</v>
      </c>
      <c r="F6" s="66">
        <f>$E$97</f>
        <v>0</v>
      </c>
      <c r="G6" s="71"/>
      <c r="H6" s="71"/>
      <c r="I6" s="71"/>
      <c r="J6" s="71"/>
      <c r="K6" s="71"/>
      <c r="L6" s="71"/>
      <c r="R6" s="70"/>
      <c r="T6" s="40" t="s">
        <v>52</v>
      </c>
      <c r="V6" s="40" t="s">
        <v>53</v>
      </c>
      <c r="W6" s="40" t="s">
        <v>54</v>
      </c>
      <c r="AB6" s="12"/>
    </row>
    <row r="7" spans="1:28" ht="15" thickBot="1" x14ac:dyDescent="0.35">
      <c r="A7" s="63" t="str">
        <f t="shared" ref="A7:A23" si="0">$A$4</f>
        <v>18(i): Forecast Internal Rate of Return: Components</v>
      </c>
      <c r="B7" s="63">
        <f>ROW()</f>
        <v>7</v>
      </c>
      <c r="C7" s="20"/>
      <c r="D7" s="63" t="s">
        <v>55</v>
      </c>
      <c r="E7" s="161">
        <f>$D$57</f>
        <v>44743</v>
      </c>
      <c r="F7" s="137">
        <f>$F$40</f>
        <v>0</v>
      </c>
      <c r="G7" s="71"/>
      <c r="H7" s="71"/>
      <c r="I7" s="71"/>
      <c r="J7" s="71"/>
      <c r="K7" s="71"/>
      <c r="L7" s="71"/>
      <c r="R7" s="70"/>
      <c r="S7" s="40" t="s">
        <v>56</v>
      </c>
      <c r="T7" s="2">
        <f>$D$57</f>
        <v>44743</v>
      </c>
      <c r="V7" s="2">
        <f>$D$57</f>
        <v>44743</v>
      </c>
      <c r="W7" s="1">
        <f>F17</f>
        <v>0</v>
      </c>
      <c r="AB7" s="12"/>
    </row>
    <row r="8" spans="1:28" ht="15" thickBot="1" x14ac:dyDescent="0.35">
      <c r="A8" s="63" t="str">
        <f t="shared" si="0"/>
        <v>18(i): Forecast Internal Rate of Return: Components</v>
      </c>
      <c r="B8" s="63">
        <f>ROW()</f>
        <v>8</v>
      </c>
      <c r="C8" s="20"/>
      <c r="D8" s="63" t="s">
        <v>57</v>
      </c>
      <c r="E8" s="161">
        <f t="shared" ref="E8" si="1">$D$57</f>
        <v>44743</v>
      </c>
      <c r="F8" s="138">
        <f>F6-F7</f>
        <v>0</v>
      </c>
      <c r="G8" s="71"/>
      <c r="H8" s="71"/>
      <c r="I8" s="71"/>
      <c r="J8" s="71"/>
      <c r="K8" s="71"/>
      <c r="L8" s="71"/>
      <c r="R8" s="70"/>
      <c r="S8" s="40" t="s">
        <v>58</v>
      </c>
      <c r="T8" s="2">
        <f>IF(ISNUMBER(pp_starting_year),DATE(YEAR(pp_starting_year),MONTH(pp_starting_year),DAY(pp_starting_year)),"")</f>
        <v>45107</v>
      </c>
      <c r="U8" s="40" t="s">
        <v>53</v>
      </c>
      <c r="V8" s="2">
        <f>pp_starting_year-IF(ISNUMBER($E$63),$E$63,$E$64)</f>
        <v>44925</v>
      </c>
      <c r="W8" s="1">
        <f>G18</f>
        <v>0</v>
      </c>
      <c r="AB8" s="12"/>
    </row>
    <row r="9" spans="1:28" ht="14.4" x14ac:dyDescent="0.3">
      <c r="A9" s="63" t="str">
        <f t="shared" si="0"/>
        <v>18(i): Forecast Internal Rate of Return: Components</v>
      </c>
      <c r="B9" s="63">
        <f>ROW()</f>
        <v>9</v>
      </c>
      <c r="C9" s="56" t="s">
        <v>59</v>
      </c>
      <c r="D9" s="63" t="s">
        <v>60</v>
      </c>
      <c r="E9" s="67" t="str">
        <f>"(Starting year) " &amp; TEXT(pp_starting_year - IF(ISNUMBER($E$61), $E$61, $E$62), "d mmm yyyy")</f>
        <v>(Starting year) 2 Feb 2023</v>
      </c>
      <c r="F9" s="55"/>
      <c r="G9" s="66">
        <f>F73</f>
        <v>0</v>
      </c>
      <c r="H9" s="66">
        <f>G73</f>
        <v>0</v>
      </c>
      <c r="I9" s="66">
        <f>H73</f>
        <v>0</v>
      </c>
      <c r="J9" s="66">
        <f>I73</f>
        <v>0</v>
      </c>
      <c r="K9" s="66">
        <f>J73</f>
        <v>0</v>
      </c>
      <c r="L9" s="71"/>
      <c r="R9" s="70"/>
      <c r="S9" s="40" t="s">
        <v>61</v>
      </c>
      <c r="T9" s="2">
        <f>IF(ISNUMBER(pp_starting_year),DATE(YEAR(pp_starting_year)+1,MONTH(pp_starting_year),DAY(pp_starting_year)),"")</f>
        <v>45473</v>
      </c>
      <c r="U9" s="40" t="s">
        <v>53</v>
      </c>
      <c r="V9" s="2">
        <f>EOMONTH(pp_starting_year,12)-IF(ISNUMBER($E$63),$E$63,$E$64)</f>
        <v>45291</v>
      </c>
      <c r="W9" s="1">
        <f>H18</f>
        <v>0</v>
      </c>
      <c r="AB9" s="12"/>
    </row>
    <row r="10" spans="1:28" ht="14.4" x14ac:dyDescent="0.3">
      <c r="A10" s="63" t="str">
        <f t="shared" si="0"/>
        <v>18(i): Forecast Internal Rate of Return: Components</v>
      </c>
      <c r="B10" s="63">
        <f>ROW()</f>
        <v>10</v>
      </c>
      <c r="C10" s="56" t="s">
        <v>62</v>
      </c>
      <c r="D10" s="63" t="s">
        <v>63</v>
      </c>
      <c r="E10" s="67" t="str">
        <f>"(Starting year) " &amp; TEXT(pp_starting_year - IF(ISNUMBER($E$63), $E$63, $E$64), "d mmm yyyy")</f>
        <v>(Starting year) 30 Dec 2022</v>
      </c>
      <c r="F10" s="55"/>
      <c r="G10" s="66">
        <f>F105</f>
        <v>0</v>
      </c>
      <c r="H10" s="66">
        <f t="shared" ref="H10:K10" si="2">G105</f>
        <v>0</v>
      </c>
      <c r="I10" s="66">
        <f t="shared" si="2"/>
        <v>0</v>
      </c>
      <c r="J10" s="66">
        <f t="shared" si="2"/>
        <v>0</v>
      </c>
      <c r="K10" s="66">
        <f t="shared" si="2"/>
        <v>0</v>
      </c>
      <c r="L10" s="71"/>
      <c r="R10" s="70"/>
      <c r="S10" s="40" t="s">
        <v>64</v>
      </c>
      <c r="T10" s="2">
        <f>IF(ISNUMBER(pp_starting_year),DATE(YEAR(pp_starting_year)+2,MONTH(pp_starting_year),DAY(pp_starting_year)),"")</f>
        <v>45838</v>
      </c>
      <c r="U10" s="40" t="s">
        <v>53</v>
      </c>
      <c r="V10" s="2">
        <f>EOMONTH(pp_starting_year,24)-IF(ISNUMBER($E$63),$E$63,$E$64)</f>
        <v>45656</v>
      </c>
      <c r="W10" s="1">
        <f>I18</f>
        <v>0</v>
      </c>
      <c r="AB10" s="12"/>
    </row>
    <row r="11" spans="1:28" ht="14.4" x14ac:dyDescent="0.3">
      <c r="A11" s="63" t="str">
        <f t="shared" si="0"/>
        <v>18(i): Forecast Internal Rate of Return: Components</v>
      </c>
      <c r="B11" s="63">
        <f>ROW()</f>
        <v>11</v>
      </c>
      <c r="C11" s="56" t="s">
        <v>59</v>
      </c>
      <c r="D11" s="63" t="s">
        <v>65</v>
      </c>
      <c r="E11" s="67" t="str">
        <f>"(Starting year) " &amp; TEXT(pp_starting_year - IF(ISNUMBER($E$63), $E$63, $E$64), "d mmm yyyy")</f>
        <v>(Starting year) 30 Dec 2022</v>
      </c>
      <c r="F11" s="55"/>
      <c r="G11" s="32"/>
      <c r="H11" s="32"/>
      <c r="I11" s="32"/>
      <c r="J11" s="32"/>
      <c r="K11" s="32"/>
      <c r="L11" s="71"/>
      <c r="R11" s="70"/>
      <c r="S11" s="40" t="s">
        <v>66</v>
      </c>
      <c r="T11" s="2">
        <f>IF(ISNUMBER(pp_starting_year),DATE(YEAR(pp_starting_year)+3,MONTH(pp_starting_year),DAY(pp_starting_year)),"")</f>
        <v>46203</v>
      </c>
      <c r="U11" s="40" t="s">
        <v>53</v>
      </c>
      <c r="V11" s="2">
        <f>EOMONTH(pp_starting_year,36)-IF(ISNUMBER($E$63),$E$63,$E$64)</f>
        <v>46021</v>
      </c>
      <c r="W11" s="1">
        <f>J18</f>
        <v>0</v>
      </c>
      <c r="AB11" s="12"/>
    </row>
    <row r="12" spans="1:28" ht="14.4" x14ac:dyDescent="0.3">
      <c r="A12" s="63" t="str">
        <f t="shared" si="0"/>
        <v>18(i): Forecast Internal Rate of Return: Components</v>
      </c>
      <c r="B12" s="63">
        <f>ROW()</f>
        <v>12</v>
      </c>
      <c r="C12" s="56" t="s">
        <v>62</v>
      </c>
      <c r="D12" s="63" t="s">
        <v>67</v>
      </c>
      <c r="E12" s="67" t="str">
        <f>"(Starting year) " &amp; TEXT(pp_starting_year - IF(ISNUMBER($E$63), $E$63, $E$64), "d mmm yyyy")</f>
        <v>(Starting year) 30 Dec 2022</v>
      </c>
      <c r="F12" s="55"/>
      <c r="G12" s="66">
        <f>F74</f>
        <v>0</v>
      </c>
      <c r="H12" s="66">
        <f>G74</f>
        <v>0</v>
      </c>
      <c r="I12" s="66">
        <f>H74</f>
        <v>0</v>
      </c>
      <c r="J12" s="66">
        <f>I74</f>
        <v>0</v>
      </c>
      <c r="K12" s="66">
        <f>J74</f>
        <v>0</v>
      </c>
      <c r="L12" s="71"/>
      <c r="R12" s="70"/>
      <c r="S12" s="40" t="s">
        <v>68</v>
      </c>
      <c r="T12" s="2">
        <f>IF(ISNUMBER(pp_starting_year),DATE(YEAR(pp_starting_year)+4,MONTH(pp_starting_year),DAY(pp_starting_year)),"")</f>
        <v>46568</v>
      </c>
      <c r="U12" s="40" t="s">
        <v>53</v>
      </c>
      <c r="V12" s="2">
        <f>EOMONTH(pp_starting_year,48)-IF(ISNUMBER($E$63),$E$63,$E$64)</f>
        <v>46386</v>
      </c>
      <c r="W12" s="1">
        <f>K18</f>
        <v>0</v>
      </c>
      <c r="AB12" s="12"/>
    </row>
    <row r="13" spans="1:28" ht="14.4" x14ac:dyDescent="0.3">
      <c r="A13" s="63" t="str">
        <f t="shared" si="0"/>
        <v>18(i): Forecast Internal Rate of Return: Components</v>
      </c>
      <c r="B13" s="63">
        <f>ROW()</f>
        <v>13</v>
      </c>
      <c r="C13" s="56" t="s">
        <v>62</v>
      </c>
      <c r="D13" s="63" t="s">
        <v>69</v>
      </c>
      <c r="E13" s="67" t="str">
        <f>"(Starting year) " &amp; TEXT(pp_starting_year - IF(ISNUMBER($E$63), $E$63, $E$64), "d mmm yyyy")</f>
        <v>(Starting year) 30 Dec 2022</v>
      </c>
      <c r="F13" s="55"/>
      <c r="G13" s="66">
        <f>F76</f>
        <v>0</v>
      </c>
      <c r="H13" s="66">
        <f>G76</f>
        <v>0</v>
      </c>
      <c r="I13" s="66">
        <f>H76</f>
        <v>0</v>
      </c>
      <c r="J13" s="66">
        <f>I76</f>
        <v>0</v>
      </c>
      <c r="K13" s="66">
        <f>J76</f>
        <v>0</v>
      </c>
      <c r="L13" s="71"/>
      <c r="R13" s="70"/>
      <c r="S13" s="40" t="s">
        <v>58</v>
      </c>
      <c r="T13" s="2">
        <f>IF(ISNUMBER(pp_starting_year),DATE(YEAR(pp_starting_year),MONTH(pp_starting_year),DAY(pp_starting_year)),"")</f>
        <v>45107</v>
      </c>
      <c r="U13" s="40" t="s">
        <v>70</v>
      </c>
      <c r="V13" s="2">
        <f>pp_starting_year-IF(ISNUMBER($E$61),$E$61,$E$62)</f>
        <v>44959</v>
      </c>
      <c r="W13" s="1">
        <f>G19</f>
        <v>0</v>
      </c>
      <c r="AB13" s="12"/>
    </row>
    <row r="14" spans="1:28" ht="14.4" x14ac:dyDescent="0.3">
      <c r="A14" s="63" t="str">
        <f t="shared" si="0"/>
        <v>18(i): Forecast Internal Rate of Return: Components</v>
      </c>
      <c r="B14" s="63">
        <f>ROW()</f>
        <v>14</v>
      </c>
      <c r="C14" s="20"/>
      <c r="D14" s="63" t="s">
        <v>71</v>
      </c>
      <c r="E14" s="161">
        <f>EOMONTH(pp_starting_year,48)</f>
        <v>46568</v>
      </c>
      <c r="F14" s="55"/>
      <c r="G14" s="71"/>
      <c r="H14" s="71"/>
      <c r="I14" s="71"/>
      <c r="J14" s="71"/>
      <c r="K14" s="71"/>
      <c r="L14" s="66">
        <f>J108</f>
        <v>0</v>
      </c>
      <c r="R14" s="70"/>
      <c r="S14" s="40" t="s">
        <v>61</v>
      </c>
      <c r="T14" s="2">
        <f>IF(ISNUMBER(pp_starting_year),DATE(YEAR(pp_starting_year)+1,MONTH(pp_starting_year),DAY(pp_starting_year)),"")</f>
        <v>45473</v>
      </c>
      <c r="U14" s="40" t="s">
        <v>70</v>
      </c>
      <c r="V14" s="2">
        <f>EOMONTH(pp_starting_year,12)-IF(ISNUMBER($E$61),$E$61,$E$62)</f>
        <v>45325</v>
      </c>
      <c r="W14" s="1">
        <f>H19</f>
        <v>0</v>
      </c>
      <c r="AB14" s="12"/>
    </row>
    <row r="15" spans="1:28" ht="15" thickBot="1" x14ac:dyDescent="0.35">
      <c r="A15" s="63" t="str">
        <f t="shared" si="0"/>
        <v>18(i): Forecast Internal Rate of Return: Components</v>
      </c>
      <c r="B15" s="63">
        <f>ROW()</f>
        <v>15</v>
      </c>
      <c r="C15" s="20"/>
      <c r="D15" s="63" t="s">
        <v>72</v>
      </c>
      <c r="E15" s="161">
        <f>EOMONTH(pp_starting_year,48)</f>
        <v>46568</v>
      </c>
      <c r="F15" s="55"/>
      <c r="G15" s="71"/>
      <c r="H15" s="71"/>
      <c r="I15" s="71"/>
      <c r="J15" s="71"/>
      <c r="K15" s="71"/>
      <c r="L15" s="137">
        <f>D46</f>
        <v>0</v>
      </c>
      <c r="R15" s="70"/>
      <c r="S15" s="40" t="s">
        <v>64</v>
      </c>
      <c r="T15" s="2">
        <f>IF(ISNUMBER(pp_starting_year),DATE(YEAR(pp_starting_year)+2,MONTH(pp_starting_year),DAY(pp_starting_year)),"")</f>
        <v>45838</v>
      </c>
      <c r="U15" s="40" t="s">
        <v>70</v>
      </c>
      <c r="V15" s="2">
        <f>EOMONTH(pp_starting_year,24)-IF(ISNUMBER($E$61),$E$61,$E$62)</f>
        <v>45690</v>
      </c>
      <c r="W15" s="1">
        <f>I19</f>
        <v>0</v>
      </c>
      <c r="AB15" s="12"/>
    </row>
    <row r="16" spans="1:28" ht="15" thickBot="1" x14ac:dyDescent="0.35">
      <c r="A16" s="63" t="str">
        <f t="shared" si="0"/>
        <v>18(i): Forecast Internal Rate of Return: Components</v>
      </c>
      <c r="B16" s="63">
        <f>ROW()</f>
        <v>16</v>
      </c>
      <c r="C16" s="20"/>
      <c r="D16" s="63" t="s">
        <v>73</v>
      </c>
      <c r="E16" s="161">
        <f>EOMONTH(pp_starting_year,48)</f>
        <v>46568</v>
      </c>
      <c r="F16" s="55"/>
      <c r="G16" s="71"/>
      <c r="H16" s="71"/>
      <c r="I16" s="71"/>
      <c r="J16" s="71"/>
      <c r="K16" s="71"/>
      <c r="L16" s="138">
        <f>L14-L15</f>
        <v>0</v>
      </c>
      <c r="R16" s="70"/>
      <c r="S16" s="40" t="s">
        <v>66</v>
      </c>
      <c r="T16" s="2">
        <f>IF(ISNUMBER(pp_starting_year),DATE(YEAR(pp_starting_year)+3,MONTH(pp_starting_year),DAY(pp_starting_year)),"")</f>
        <v>46203</v>
      </c>
      <c r="U16" s="40" t="s">
        <v>70</v>
      </c>
      <c r="V16" s="2">
        <f>EOMONTH(pp_starting_year,36)-IF(ISNUMBER($E$61),$E$61,$E$62)</f>
        <v>46055</v>
      </c>
      <c r="W16" s="1">
        <f>J19</f>
        <v>0</v>
      </c>
      <c r="AB16" s="12"/>
    </row>
    <row r="17" spans="1:28" ht="14.4" x14ac:dyDescent="0.3">
      <c r="A17" s="63" t="str">
        <f t="shared" si="0"/>
        <v>18(i): Forecast Internal Rate of Return: Components</v>
      </c>
      <c r="B17" s="63">
        <f>ROW()</f>
        <v>17</v>
      </c>
      <c r="C17" s="20"/>
      <c r="D17" s="63" t="s">
        <v>74</v>
      </c>
      <c r="E17" s="161">
        <f>$D$57</f>
        <v>44743</v>
      </c>
      <c r="F17" s="66">
        <f>-F8</f>
        <v>0</v>
      </c>
      <c r="G17" s="71"/>
      <c r="H17" s="71"/>
      <c r="I17" s="71"/>
      <c r="J17" s="71"/>
      <c r="K17" s="71"/>
      <c r="L17" s="71"/>
      <c r="R17" s="70"/>
      <c r="S17" s="40" t="s">
        <v>68</v>
      </c>
      <c r="T17" s="2">
        <f>IF(ISNUMBER(pp_starting_year),DATE(YEAR(pp_starting_year)+4,MONTH(pp_starting_year),DAY(pp_starting_year)),"")</f>
        <v>46568</v>
      </c>
      <c r="U17" s="40" t="s">
        <v>70</v>
      </c>
      <c r="V17" s="2">
        <f>EOMONTH(pp_starting_year,48)-IF(ISNUMBER($E$61),$E$61,$E$62)</f>
        <v>46420</v>
      </c>
      <c r="W17" s="1">
        <f>K19</f>
        <v>0</v>
      </c>
      <c r="Z17" s="2"/>
      <c r="AB17" s="12"/>
    </row>
    <row r="18" spans="1:28" ht="14.4" x14ac:dyDescent="0.3">
      <c r="A18" s="63" t="str">
        <f t="shared" si="0"/>
        <v>18(i): Forecast Internal Rate of Return: Components</v>
      </c>
      <c r="B18" s="63">
        <f>ROW()</f>
        <v>18</v>
      </c>
      <c r="C18" s="20"/>
      <c r="D18" s="63" t="s">
        <v>74</v>
      </c>
      <c r="E18" s="67" t="str">
        <f>"(Starting year) " &amp; TEXT(pp_starting_year - IF(ISNUMBER($E$63), $E$63, $E$64), "d mmm yyyy")</f>
        <v>(Starting year) 30 Dec 2022</v>
      </c>
      <c r="F18" s="71"/>
      <c r="G18" s="66">
        <f>-G10+G11-G12-G13</f>
        <v>0</v>
      </c>
      <c r="H18" s="66">
        <f>-H10+H11-H12-H13</f>
        <v>0</v>
      </c>
      <c r="I18" s="66">
        <f t="shared" ref="I18:K18" si="3">-I10+I11-I12-I13</f>
        <v>0</v>
      </c>
      <c r="J18" s="66">
        <f>-J10+J11-J12-J13</f>
        <v>0</v>
      </c>
      <c r="K18" s="66">
        <f t="shared" si="3"/>
        <v>0</v>
      </c>
      <c r="L18" s="71"/>
      <c r="R18" s="70"/>
      <c r="S18" s="40" t="s">
        <v>75</v>
      </c>
      <c r="T18" s="2">
        <f>EOMONTH(pp_starting_year,48)</f>
        <v>46568</v>
      </c>
      <c r="V18" s="2">
        <f>EOMONTH(pp_starting_year,48)</f>
        <v>46568</v>
      </c>
      <c r="W18" s="1">
        <f>L20</f>
        <v>0</v>
      </c>
      <c r="Z18" s="2"/>
      <c r="AB18" s="12"/>
    </row>
    <row r="19" spans="1:28" ht="14.4" x14ac:dyDescent="0.3">
      <c r="A19" s="63" t="str">
        <f t="shared" si="0"/>
        <v>18(i): Forecast Internal Rate of Return: Components</v>
      </c>
      <c r="B19" s="63">
        <f>ROW()</f>
        <v>19</v>
      </c>
      <c r="C19" s="20"/>
      <c r="D19" s="63" t="s">
        <v>74</v>
      </c>
      <c r="E19" s="67" t="str">
        <f>"(Starting year) " &amp; TEXT(pp_starting_year - IF(ISNUMBER($E$61), $E$61, $E$62), "d mmm yyyy")</f>
        <v>(Starting year) 2 Feb 2023</v>
      </c>
      <c r="F19" s="71"/>
      <c r="G19" s="66">
        <f>G9</f>
        <v>0</v>
      </c>
      <c r="H19" s="66">
        <f t="shared" ref="H19:I19" si="4">H9</f>
        <v>0</v>
      </c>
      <c r="I19" s="66">
        <f t="shared" si="4"/>
        <v>0</v>
      </c>
      <c r="J19" s="66">
        <f>J9</f>
        <v>0</v>
      </c>
      <c r="K19" s="66">
        <f>K9</f>
        <v>0</v>
      </c>
      <c r="L19" s="71"/>
      <c r="R19" s="70"/>
      <c r="AB19" s="12"/>
    </row>
    <row r="20" spans="1:28" ht="15" customHeight="1" thickBot="1" x14ac:dyDescent="0.35">
      <c r="A20" s="63" t="str">
        <f t="shared" si="0"/>
        <v>18(i): Forecast Internal Rate of Return: Components</v>
      </c>
      <c r="B20" s="36">
        <f>ROW()</f>
        <v>20</v>
      </c>
      <c r="C20" s="62"/>
      <c r="D20" s="36" t="s">
        <v>74</v>
      </c>
      <c r="E20" s="161">
        <f>EOMONTH(pp_starting_year,48)</f>
        <v>46568</v>
      </c>
      <c r="F20" s="71"/>
      <c r="G20" s="71"/>
      <c r="H20" s="71"/>
      <c r="I20" s="71"/>
      <c r="J20" s="71"/>
      <c r="K20" s="71"/>
      <c r="L20" s="66">
        <f>L16</f>
        <v>0</v>
      </c>
      <c r="R20" s="70"/>
      <c r="AB20" s="12"/>
    </row>
    <row r="21" spans="1:28" ht="15" thickBot="1" x14ac:dyDescent="0.35">
      <c r="A21" s="63" t="str">
        <f t="shared" si="0"/>
        <v>18(i): Forecast Internal Rate of Return: Components</v>
      </c>
      <c r="B21" s="36">
        <f>ROW()</f>
        <v>21</v>
      </c>
      <c r="C21" s="20"/>
      <c r="D21" s="54" t="s">
        <v>76</v>
      </c>
      <c r="E21" s="162">
        <f>$D$57</f>
        <v>44743</v>
      </c>
      <c r="F21" s="22" t="str">
        <f>IFERROR(XIRR(W7:W18,V7:V18,7%),"")</f>
        <v/>
      </c>
      <c r="G21" s="29"/>
      <c r="H21" s="29"/>
      <c r="I21" s="29"/>
      <c r="J21" s="29"/>
      <c r="K21" s="29"/>
      <c r="L21" s="29"/>
      <c r="R21" s="70"/>
      <c r="AB21" s="12"/>
    </row>
    <row r="22" spans="1:28" ht="14.4" x14ac:dyDescent="0.3">
      <c r="A22" s="63" t="str">
        <f t="shared" si="0"/>
        <v>18(i): Forecast Internal Rate of Return: Components</v>
      </c>
      <c r="B22" s="36">
        <f>ROW()</f>
        <v>22</v>
      </c>
      <c r="C22" s="20"/>
      <c r="D22" s="63" t="s">
        <v>77</v>
      </c>
      <c r="E22" s="161">
        <f>$D$57</f>
        <v>44743</v>
      </c>
      <c r="F22" s="26">
        <f>IFERROR(XNPV(F21,W7:W18,V7:V18),0)</f>
        <v>0</v>
      </c>
      <c r="G22" s="29"/>
      <c r="H22" s="29"/>
      <c r="I22" s="29"/>
      <c r="J22" s="29"/>
      <c r="K22" s="29"/>
      <c r="L22" s="29"/>
      <c r="R22" s="70"/>
      <c r="AB22" s="12"/>
    </row>
    <row r="23" spans="1:28" ht="14.4" x14ac:dyDescent="0.3">
      <c r="A23" s="63" t="str">
        <f t="shared" si="0"/>
        <v>18(i): Forecast Internal Rate of Return: Components</v>
      </c>
      <c r="B23" s="36">
        <f>ROW()</f>
        <v>23</v>
      </c>
      <c r="C23" s="62"/>
      <c r="D23" s="36" t="s">
        <v>78</v>
      </c>
      <c r="E23" s="161">
        <f>$D$57</f>
        <v>44743</v>
      </c>
      <c r="F23" s="24" t="str">
        <f>IF(ABS(F22)&lt;0.01,"OK","ERROR")</f>
        <v>OK</v>
      </c>
      <c r="G23" s="29"/>
      <c r="H23" s="29"/>
      <c r="I23" s="29"/>
      <c r="J23" s="29"/>
      <c r="K23" s="29"/>
      <c r="L23" s="29"/>
      <c r="R23" s="70"/>
      <c r="AB23" s="12"/>
    </row>
    <row r="24" spans="1:28" x14ac:dyDescent="0.3">
      <c r="R24" s="70"/>
      <c r="AB24" s="12"/>
    </row>
    <row r="25" spans="1:28" x14ac:dyDescent="0.3">
      <c r="R25" s="27" t="s">
        <v>79</v>
      </c>
      <c r="AB25" s="12"/>
    </row>
    <row r="26" spans="1:28" ht="21" x14ac:dyDescent="0.4">
      <c r="A26" s="85" t="s">
        <v>80</v>
      </c>
      <c r="R26" s="27"/>
      <c r="AB26" s="12"/>
    </row>
    <row r="27" spans="1:28" ht="43.2" x14ac:dyDescent="0.3">
      <c r="A27" s="21" t="s">
        <v>38</v>
      </c>
      <c r="B27" s="21" t="s">
        <v>39</v>
      </c>
      <c r="C27" s="64" t="s">
        <v>41</v>
      </c>
      <c r="D27" s="72" t="s">
        <v>44</v>
      </c>
      <c r="E27" s="163" t="s">
        <v>45</v>
      </c>
      <c r="F27" s="72" t="s">
        <v>46</v>
      </c>
      <c r="G27" s="72" t="s">
        <v>47</v>
      </c>
      <c r="H27" s="72" t="s">
        <v>48</v>
      </c>
      <c r="R27" s="70"/>
      <c r="S27" s="65">
        <f>T8</f>
        <v>45107</v>
      </c>
      <c r="U27" s="65">
        <f>T9</f>
        <v>45473</v>
      </c>
      <c r="W27" s="65">
        <f>T10</f>
        <v>45838</v>
      </c>
      <c r="Y27" s="65">
        <f>T11</f>
        <v>46203</v>
      </c>
      <c r="AA27" s="65">
        <f>T12</f>
        <v>46568</v>
      </c>
      <c r="AB27" s="12"/>
    </row>
    <row r="28" spans="1:28" ht="14.4" x14ac:dyDescent="0.3">
      <c r="A28" s="63" t="str">
        <f>$A$26</f>
        <v>18(ii): Forecast Internal Rate of Return - Annual and Period to Date</v>
      </c>
      <c r="B28" s="63">
        <f>ROW()</f>
        <v>28</v>
      </c>
      <c r="C28" s="68" t="s">
        <v>71</v>
      </c>
      <c r="D28" s="66">
        <f>F108</f>
        <v>0</v>
      </c>
      <c r="E28" s="97">
        <f>G108</f>
        <v>0</v>
      </c>
      <c r="F28" s="66">
        <f>H108</f>
        <v>0</v>
      </c>
      <c r="G28" s="66">
        <f>I108</f>
        <v>0</v>
      </c>
      <c r="H28" s="66">
        <f>J108</f>
        <v>0</v>
      </c>
      <c r="R28" s="70"/>
      <c r="S28" s="69" t="s">
        <v>81</v>
      </c>
      <c r="T28" s="69" t="s">
        <v>82</v>
      </c>
      <c r="U28" s="69" t="s">
        <v>81</v>
      </c>
      <c r="V28" s="69" t="s">
        <v>82</v>
      </c>
      <c r="W28" s="69" t="s">
        <v>81</v>
      </c>
      <c r="X28" s="69" t="s">
        <v>82</v>
      </c>
      <c r="Y28" s="69" t="s">
        <v>81</v>
      </c>
      <c r="Z28" s="69" t="s">
        <v>82</v>
      </c>
      <c r="AA28" s="69" t="s">
        <v>81</v>
      </c>
      <c r="AB28" s="11" t="s">
        <v>82</v>
      </c>
    </row>
    <row r="29" spans="1:28" ht="14.4" x14ac:dyDescent="0.3">
      <c r="A29" s="63" t="str">
        <f t="shared" ref="A29:A32" si="5">$A$26</f>
        <v>18(ii): Forecast Internal Rate of Return - Annual and Period to Date</v>
      </c>
      <c r="B29" s="63">
        <f>ROW()</f>
        <v>29</v>
      </c>
      <c r="C29" s="68" t="s">
        <v>72</v>
      </c>
      <c r="D29" s="32"/>
      <c r="E29" s="32"/>
      <c r="F29" s="32"/>
      <c r="G29" s="32"/>
      <c r="H29" s="66">
        <f>D46</f>
        <v>0</v>
      </c>
      <c r="R29" s="70"/>
      <c r="S29" s="65">
        <f>T7</f>
        <v>44743</v>
      </c>
      <c r="T29" s="57">
        <f>F17</f>
        <v>0</v>
      </c>
      <c r="U29" s="65">
        <f>S32+1</f>
        <v>45108</v>
      </c>
      <c r="V29" s="57">
        <f>-T32</f>
        <v>0</v>
      </c>
      <c r="W29" s="65">
        <f>U32+1</f>
        <v>45474</v>
      </c>
      <c r="X29" s="57">
        <f>-V32</f>
        <v>0</v>
      </c>
      <c r="Y29" s="65">
        <f>W32+1</f>
        <v>45839</v>
      </c>
      <c r="Z29" s="57">
        <f>-X32</f>
        <v>0</v>
      </c>
      <c r="AA29" s="65">
        <f>Y32+1</f>
        <v>46204</v>
      </c>
      <c r="AB29" s="10">
        <f>-Z32</f>
        <v>0</v>
      </c>
    </row>
    <row r="30" spans="1:28" ht="14.4" x14ac:dyDescent="0.3">
      <c r="A30" s="63" t="str">
        <f t="shared" si="5"/>
        <v>18(ii): Forecast Internal Rate of Return - Annual and Period to Date</v>
      </c>
      <c r="B30" s="63">
        <f>ROW()</f>
        <v>30</v>
      </c>
      <c r="C30" s="68" t="s">
        <v>73</v>
      </c>
      <c r="D30" s="66">
        <f>D28-D29</f>
        <v>0</v>
      </c>
      <c r="E30" s="66">
        <f>E28-E29</f>
        <v>0</v>
      </c>
      <c r="F30" s="66">
        <f>F28-F29</f>
        <v>0</v>
      </c>
      <c r="G30" s="66">
        <f>G28-G29</f>
        <v>0</v>
      </c>
      <c r="H30" s="66">
        <f>H28-H29</f>
        <v>0</v>
      </c>
      <c r="R30" s="70"/>
      <c r="S30" s="65">
        <f>V8</f>
        <v>44925</v>
      </c>
      <c r="T30" s="57">
        <f>W8</f>
        <v>0</v>
      </c>
      <c r="U30" s="65">
        <f>V9</f>
        <v>45291</v>
      </c>
      <c r="V30" s="57">
        <f>W9</f>
        <v>0</v>
      </c>
      <c r="W30" s="65">
        <f>V10</f>
        <v>45656</v>
      </c>
      <c r="X30" s="57">
        <f>W10</f>
        <v>0</v>
      </c>
      <c r="Y30" s="65">
        <f>V11</f>
        <v>46021</v>
      </c>
      <c r="Z30" s="57">
        <f>W11</f>
        <v>0</v>
      </c>
      <c r="AA30" s="65">
        <f>V12</f>
        <v>46386</v>
      </c>
      <c r="AB30" s="10">
        <f>W12</f>
        <v>0</v>
      </c>
    </row>
    <row r="31" spans="1:28" ht="14.4" x14ac:dyDescent="0.3">
      <c r="A31" s="63" t="str">
        <f t="shared" si="5"/>
        <v>18(ii): Forecast Internal Rate of Return - Annual and Period to Date</v>
      </c>
      <c r="B31" s="63">
        <f>ROW()</f>
        <v>31</v>
      </c>
      <c r="C31" s="68" t="s">
        <v>83</v>
      </c>
      <c r="D31" s="61" t="str">
        <f>T34</f>
        <v/>
      </c>
      <c r="E31" s="61" t="str">
        <f>V34</f>
        <v/>
      </c>
      <c r="F31" s="61" t="str">
        <f>X34</f>
        <v/>
      </c>
      <c r="G31" s="61" t="str">
        <f>Z34</f>
        <v/>
      </c>
      <c r="H31" s="61" t="str">
        <f>AB34</f>
        <v/>
      </c>
      <c r="R31" s="70"/>
      <c r="S31" s="65">
        <f>V13</f>
        <v>44959</v>
      </c>
      <c r="T31" s="57">
        <f>W13</f>
        <v>0</v>
      </c>
      <c r="U31" s="65">
        <f>V14</f>
        <v>45325</v>
      </c>
      <c r="V31" s="57">
        <f>W14</f>
        <v>0</v>
      </c>
      <c r="W31" s="65">
        <f>V15</f>
        <v>45690</v>
      </c>
      <c r="X31" s="57">
        <f>W15</f>
        <v>0</v>
      </c>
      <c r="Y31" s="65">
        <f>V16</f>
        <v>46055</v>
      </c>
      <c r="Z31" s="57">
        <f>W16</f>
        <v>0</v>
      </c>
      <c r="AA31" s="65">
        <f>V17</f>
        <v>46420</v>
      </c>
      <c r="AB31" s="10">
        <f>W17</f>
        <v>0</v>
      </c>
    </row>
    <row r="32" spans="1:28" ht="14.4" x14ac:dyDescent="0.3">
      <c r="A32" s="63" t="str">
        <f t="shared" si="5"/>
        <v>18(ii): Forecast Internal Rate of Return - Annual and Period to Date</v>
      </c>
      <c r="B32" s="36">
        <f>ROW()</f>
        <v>32</v>
      </c>
      <c r="C32" s="68" t="s">
        <v>84</v>
      </c>
      <c r="D32" s="61" t="str">
        <f>T53</f>
        <v/>
      </c>
      <c r="E32" s="61" t="str">
        <f>V53</f>
        <v/>
      </c>
      <c r="F32" s="61" t="str">
        <f>X53</f>
        <v/>
      </c>
      <c r="G32" s="61" t="str">
        <f>Z53</f>
        <v/>
      </c>
      <c r="H32" s="61" t="str">
        <f>AB53</f>
        <v/>
      </c>
      <c r="R32" s="70"/>
      <c r="S32" s="65">
        <f>S27</f>
        <v>45107</v>
      </c>
      <c r="T32" s="57">
        <f>D30</f>
        <v>0</v>
      </c>
      <c r="U32" s="65">
        <f>U27</f>
        <v>45473</v>
      </c>
      <c r="V32" s="57">
        <f>E30</f>
        <v>0</v>
      </c>
      <c r="W32" s="65">
        <f>W27</f>
        <v>45838</v>
      </c>
      <c r="X32" s="57">
        <f>F30</f>
        <v>0</v>
      </c>
      <c r="Y32" s="65">
        <f>Y27</f>
        <v>46203</v>
      </c>
      <c r="Z32" s="57">
        <f>G30</f>
        <v>0</v>
      </c>
      <c r="AA32" s="65">
        <f>AA27</f>
        <v>46568</v>
      </c>
      <c r="AB32" s="10">
        <f>H30</f>
        <v>0</v>
      </c>
    </row>
    <row r="33" spans="1:28" x14ac:dyDescent="0.3">
      <c r="R33" s="70"/>
      <c r="AB33" s="5"/>
    </row>
    <row r="34" spans="1:28" x14ac:dyDescent="0.3">
      <c r="R34" s="70" t="s">
        <v>85</v>
      </c>
      <c r="T34" s="53" t="str">
        <f>IFERROR(XIRR(T29:T32,S29:S32,7%),"")</f>
        <v/>
      </c>
      <c r="V34" s="53" t="str">
        <f>IFERROR(XIRR(V29:V32,U29:U32,7%),"")</f>
        <v/>
      </c>
      <c r="X34" s="53" t="str">
        <f>IFERROR(XIRR(X29:X32,W29:W32,7%),"")</f>
        <v/>
      </c>
      <c r="Z34" s="53" t="str">
        <f>IFERROR(XIRR(Z29:Z32,Y29:Y32,7%),"")</f>
        <v/>
      </c>
      <c r="AB34" s="53" t="str">
        <f>IFERROR(XIRR(AB29:AB32,AA29:AA32,7%),"")</f>
        <v/>
      </c>
    </row>
    <row r="35" spans="1:28" ht="21" x14ac:dyDescent="0.4">
      <c r="A35" s="85" t="s">
        <v>86</v>
      </c>
      <c r="R35" s="70"/>
      <c r="AB35" s="12"/>
    </row>
    <row r="36" spans="1:28" ht="43.2" x14ac:dyDescent="0.3">
      <c r="A36" s="21" t="s">
        <v>38</v>
      </c>
      <c r="B36" s="21" t="s">
        <v>39</v>
      </c>
      <c r="C36" s="64" t="s">
        <v>41</v>
      </c>
      <c r="D36" s="64" t="s">
        <v>87</v>
      </c>
      <c r="E36" s="64" t="s">
        <v>88</v>
      </c>
      <c r="F36" s="164" t="s">
        <v>89</v>
      </c>
      <c r="G36" s="64" t="s">
        <v>90</v>
      </c>
      <c r="R36" s="27" t="s">
        <v>91</v>
      </c>
      <c r="AB36" s="12"/>
    </row>
    <row r="37" spans="1:28" ht="56.55" customHeight="1" x14ac:dyDescent="0.3">
      <c r="A37" s="39" t="str">
        <f>$A$35</f>
        <v>18(iii): Forecast opening carry forward adjustment</v>
      </c>
      <c r="B37" s="39">
        <f>ROW()</f>
        <v>37</v>
      </c>
      <c r="C37" s="39" t="s">
        <v>92</v>
      </c>
      <c r="D37" s="32"/>
      <c r="E37" s="32"/>
      <c r="F37" s="97">
        <f>D37+E37</f>
        <v>0</v>
      </c>
      <c r="G37" s="52"/>
      <c r="R37" s="70"/>
      <c r="S37" s="65">
        <f>S27</f>
        <v>45107</v>
      </c>
      <c r="U37" s="65">
        <f>U27</f>
        <v>45473</v>
      </c>
      <c r="W37" s="65">
        <f>W27</f>
        <v>45838</v>
      </c>
      <c r="Y37" s="65">
        <f>Y27</f>
        <v>46203</v>
      </c>
      <c r="AA37" s="65">
        <f>AA27</f>
        <v>46568</v>
      </c>
      <c r="AB37" s="12"/>
    </row>
    <row r="38" spans="1:28" ht="56.55" customHeight="1" x14ac:dyDescent="0.3">
      <c r="A38" s="63" t="str">
        <f t="shared" ref="A38:A40" si="6">$A$35</f>
        <v>18(iii): Forecast opening carry forward adjustment</v>
      </c>
      <c r="B38" s="63">
        <f>ROW()</f>
        <v>38</v>
      </c>
      <c r="C38" s="63" t="s">
        <v>93</v>
      </c>
      <c r="D38" s="32"/>
      <c r="E38" s="32"/>
      <c r="F38" s="66">
        <f t="shared" ref="F38:F39" si="7">D38+E38</f>
        <v>0</v>
      </c>
      <c r="G38" s="52"/>
      <c r="R38" s="70"/>
      <c r="S38" s="69" t="s">
        <v>81</v>
      </c>
      <c r="T38" s="69" t="s">
        <v>82</v>
      </c>
      <c r="U38" s="69" t="s">
        <v>81</v>
      </c>
      <c r="V38" s="69" t="s">
        <v>82</v>
      </c>
      <c r="W38" s="69" t="s">
        <v>81</v>
      </c>
      <c r="X38" s="69" t="s">
        <v>82</v>
      </c>
      <c r="Y38" s="69" t="s">
        <v>81</v>
      </c>
      <c r="Z38" s="69" t="s">
        <v>82</v>
      </c>
      <c r="AA38" s="69" t="s">
        <v>81</v>
      </c>
      <c r="AB38" s="11" t="s">
        <v>82</v>
      </c>
    </row>
    <row r="39" spans="1:28" ht="56.55" customHeight="1" x14ac:dyDescent="0.3">
      <c r="A39" s="39" t="str">
        <f t="shared" si="6"/>
        <v>18(iii): Forecast opening carry forward adjustment</v>
      </c>
      <c r="B39" s="39">
        <f>ROW()</f>
        <v>39</v>
      </c>
      <c r="C39" s="39" t="s">
        <v>94</v>
      </c>
      <c r="D39" s="32"/>
      <c r="E39" s="32"/>
      <c r="F39" s="66">
        <f t="shared" si="7"/>
        <v>0</v>
      </c>
      <c r="G39" s="52"/>
      <c r="R39" s="70"/>
      <c r="S39" s="65">
        <f>$T$7</f>
        <v>44743</v>
      </c>
      <c r="T39" s="57">
        <f>$F$17</f>
        <v>0</v>
      </c>
      <c r="U39" s="65">
        <f t="shared" ref="U39:X39" si="8">S39</f>
        <v>44743</v>
      </c>
      <c r="V39" s="57">
        <f t="shared" si="8"/>
        <v>0</v>
      </c>
      <c r="W39" s="65">
        <f t="shared" si="8"/>
        <v>44743</v>
      </c>
      <c r="X39" s="57">
        <f t="shared" si="8"/>
        <v>0</v>
      </c>
      <c r="Y39" s="65">
        <f>W39</f>
        <v>44743</v>
      </c>
      <c r="Z39" s="57">
        <f>X39</f>
        <v>0</v>
      </c>
      <c r="AA39" s="65">
        <f>Y39</f>
        <v>44743</v>
      </c>
      <c r="AB39" s="10">
        <f>Z39</f>
        <v>0</v>
      </c>
    </row>
    <row r="40" spans="1:28" ht="33.6" customHeight="1" x14ac:dyDescent="0.3">
      <c r="A40" s="63" t="str">
        <f t="shared" si="6"/>
        <v>18(iii): Forecast opening carry forward adjustment</v>
      </c>
      <c r="B40" s="63">
        <f>ROW()</f>
        <v>40</v>
      </c>
      <c r="C40" s="63" t="s">
        <v>55</v>
      </c>
      <c r="D40" s="66">
        <f>SUM(D37:D39)</f>
        <v>0</v>
      </c>
      <c r="E40" s="66">
        <f>SUM(E37:E39)</f>
        <v>0</v>
      </c>
      <c r="F40" s="66">
        <f>SUM(F37:F39)</f>
        <v>0</v>
      </c>
      <c r="G40" s="71"/>
      <c r="R40" s="70"/>
      <c r="S40" s="65">
        <f>$V$8</f>
        <v>44925</v>
      </c>
      <c r="T40" s="57">
        <f>$W$8</f>
        <v>0</v>
      </c>
      <c r="U40" s="65">
        <f>S40</f>
        <v>44925</v>
      </c>
      <c r="V40" s="57">
        <f>T40</f>
        <v>0</v>
      </c>
      <c r="W40" s="65">
        <f t="shared" ref="W40:W43" si="9">U40</f>
        <v>44925</v>
      </c>
      <c r="X40" s="57">
        <f t="shared" ref="X40:X43" si="10">V40</f>
        <v>0</v>
      </c>
      <c r="Y40" s="65">
        <f t="shared" ref="Y40:Z45" si="11">W40</f>
        <v>44925</v>
      </c>
      <c r="Z40" s="57">
        <f t="shared" si="11"/>
        <v>0</v>
      </c>
      <c r="AA40" s="65">
        <f t="shared" ref="AA40:AA47" si="12">Y40</f>
        <v>44925</v>
      </c>
      <c r="AB40" s="10">
        <f t="shared" ref="AB40:AB47" si="13">Z40</f>
        <v>0</v>
      </c>
    </row>
    <row r="41" spans="1:28" ht="14.4" x14ac:dyDescent="0.3">
      <c r="A41" s="17" t="s">
        <v>95</v>
      </c>
      <c r="B41" s="36"/>
      <c r="C41" s="36"/>
      <c r="D41" s="46"/>
      <c r="E41" s="46"/>
      <c r="F41" s="9"/>
      <c r="G41" s="46"/>
      <c r="R41" s="70"/>
      <c r="S41" s="65">
        <f>$V$13</f>
        <v>44959</v>
      </c>
      <c r="T41" s="57">
        <f>$W$13</f>
        <v>0</v>
      </c>
      <c r="U41" s="65">
        <f>S41</f>
        <v>44959</v>
      </c>
      <c r="V41" s="57">
        <f>T41</f>
        <v>0</v>
      </c>
      <c r="W41" s="65">
        <f t="shared" si="9"/>
        <v>44959</v>
      </c>
      <c r="X41" s="57">
        <f t="shared" si="10"/>
        <v>0</v>
      </c>
      <c r="Y41" s="65">
        <f t="shared" si="11"/>
        <v>44959</v>
      </c>
      <c r="Z41" s="57">
        <f t="shared" si="11"/>
        <v>0</v>
      </c>
      <c r="AA41" s="65">
        <f t="shared" si="12"/>
        <v>44959</v>
      </c>
      <c r="AB41" s="10">
        <f>Z41</f>
        <v>0</v>
      </c>
    </row>
    <row r="42" spans="1:28" x14ac:dyDescent="0.3">
      <c r="R42" s="70"/>
      <c r="S42" s="65">
        <f>$S$27</f>
        <v>45107</v>
      </c>
      <c r="T42" s="57">
        <f>$D$30</f>
        <v>0</v>
      </c>
      <c r="U42" s="65">
        <f>V9</f>
        <v>45291</v>
      </c>
      <c r="V42" s="57">
        <f>W9</f>
        <v>0</v>
      </c>
      <c r="W42" s="65">
        <f t="shared" si="9"/>
        <v>45291</v>
      </c>
      <c r="X42" s="57">
        <f t="shared" si="10"/>
        <v>0</v>
      </c>
      <c r="Y42" s="65">
        <f t="shared" si="11"/>
        <v>45291</v>
      </c>
      <c r="Z42" s="57">
        <f t="shared" si="11"/>
        <v>0</v>
      </c>
      <c r="AA42" s="65">
        <f t="shared" si="12"/>
        <v>45291</v>
      </c>
      <c r="AB42" s="10">
        <f t="shared" si="13"/>
        <v>0</v>
      </c>
    </row>
    <row r="43" spans="1:28" x14ac:dyDescent="0.3">
      <c r="R43" s="70"/>
      <c r="S43" s="65"/>
      <c r="T43" s="57"/>
      <c r="U43" s="65">
        <f>V14</f>
        <v>45325</v>
      </c>
      <c r="V43" s="57">
        <f>W14</f>
        <v>0</v>
      </c>
      <c r="W43" s="65">
        <f t="shared" si="9"/>
        <v>45325</v>
      </c>
      <c r="X43" s="57">
        <f t="shared" si="10"/>
        <v>0</v>
      </c>
      <c r="Y43" s="65">
        <f t="shared" si="11"/>
        <v>45325</v>
      </c>
      <c r="Z43" s="57">
        <f t="shared" si="11"/>
        <v>0</v>
      </c>
      <c r="AA43" s="65">
        <f t="shared" si="12"/>
        <v>45325</v>
      </c>
      <c r="AB43" s="10">
        <f t="shared" si="13"/>
        <v>0</v>
      </c>
    </row>
    <row r="44" spans="1:28" ht="21" x14ac:dyDescent="0.4">
      <c r="A44" s="85" t="s">
        <v>96</v>
      </c>
      <c r="R44" s="70"/>
      <c r="S44" s="65"/>
      <c r="T44" s="57"/>
      <c r="U44" s="65">
        <f>U37</f>
        <v>45473</v>
      </c>
      <c r="V44" s="57">
        <f>E30</f>
        <v>0</v>
      </c>
      <c r="W44" s="65">
        <f>V10</f>
        <v>45656</v>
      </c>
      <c r="X44" s="57">
        <f>W10</f>
        <v>0</v>
      </c>
      <c r="Y44" s="65">
        <f t="shared" si="11"/>
        <v>45656</v>
      </c>
      <c r="Z44" s="57">
        <f t="shared" si="11"/>
        <v>0</v>
      </c>
      <c r="AA44" s="65">
        <f t="shared" si="12"/>
        <v>45656</v>
      </c>
      <c r="AB44" s="10">
        <f t="shared" si="13"/>
        <v>0</v>
      </c>
    </row>
    <row r="45" spans="1:28" ht="28.8" x14ac:dyDescent="0.3">
      <c r="A45" s="58" t="s">
        <v>38</v>
      </c>
      <c r="B45" s="58" t="s">
        <v>39</v>
      </c>
      <c r="C45" s="64" t="s">
        <v>97</v>
      </c>
      <c r="D45" s="165" t="s">
        <v>98</v>
      </c>
      <c r="E45" s="164" t="s">
        <v>90</v>
      </c>
      <c r="R45" s="70"/>
      <c r="S45" s="65"/>
      <c r="T45" s="57"/>
      <c r="U45" s="65"/>
      <c r="V45" s="57"/>
      <c r="W45" s="65">
        <f>V15</f>
        <v>45690</v>
      </c>
      <c r="X45" s="57">
        <f>W15</f>
        <v>0</v>
      </c>
      <c r="Y45" s="65">
        <f t="shared" si="11"/>
        <v>45690</v>
      </c>
      <c r="Z45" s="57">
        <f t="shared" si="11"/>
        <v>0</v>
      </c>
      <c r="AA45" s="65">
        <f t="shared" si="12"/>
        <v>45690</v>
      </c>
      <c r="AB45" s="10">
        <f t="shared" si="13"/>
        <v>0</v>
      </c>
    </row>
    <row r="46" spans="1:28" ht="14.4" x14ac:dyDescent="0.3">
      <c r="A46" s="63" t="str">
        <f>$A$44</f>
        <v>18(iv): Forecast closing carry forward adjustment</v>
      </c>
      <c r="B46" s="63">
        <f>ROW()</f>
        <v>46</v>
      </c>
      <c r="C46" s="63" t="s">
        <v>99</v>
      </c>
      <c r="D46" s="26">
        <f>SUM(D47:D50)</f>
        <v>0</v>
      </c>
      <c r="E46" s="71"/>
      <c r="R46" s="70"/>
      <c r="S46" s="65"/>
      <c r="T46" s="57"/>
      <c r="U46" s="65"/>
      <c r="V46" s="57"/>
      <c r="W46" s="65">
        <f>W37</f>
        <v>45838</v>
      </c>
      <c r="X46" s="57">
        <f>F30</f>
        <v>0</v>
      </c>
      <c r="Y46" s="65">
        <f>V11</f>
        <v>46021</v>
      </c>
      <c r="Z46" s="57">
        <f>W11</f>
        <v>0</v>
      </c>
      <c r="AA46" s="65">
        <f t="shared" si="12"/>
        <v>46021</v>
      </c>
      <c r="AB46" s="10">
        <f t="shared" si="13"/>
        <v>0</v>
      </c>
    </row>
    <row r="47" spans="1:28" ht="50.1" customHeight="1" x14ac:dyDescent="0.3">
      <c r="A47" s="63" t="str">
        <f t="shared" ref="A47:A50" si="14">$A$44</f>
        <v>18(iv): Forecast closing carry forward adjustment</v>
      </c>
      <c r="B47" s="63">
        <f>ROW()</f>
        <v>47</v>
      </c>
      <c r="C47" s="52"/>
      <c r="D47" s="32"/>
      <c r="E47" s="52"/>
      <c r="R47" s="70"/>
      <c r="S47" s="65"/>
      <c r="T47" s="57"/>
      <c r="U47" s="65"/>
      <c r="V47" s="57"/>
      <c r="W47" s="65"/>
      <c r="X47" s="57"/>
      <c r="Y47" s="65">
        <f>V16</f>
        <v>46055</v>
      </c>
      <c r="Z47" s="57">
        <f>W16</f>
        <v>0</v>
      </c>
      <c r="AA47" s="65">
        <f t="shared" si="12"/>
        <v>46055</v>
      </c>
      <c r="AB47" s="10">
        <f t="shared" si="13"/>
        <v>0</v>
      </c>
    </row>
    <row r="48" spans="1:28" ht="50.1" customHeight="1" x14ac:dyDescent="0.3">
      <c r="A48" s="63" t="str">
        <f t="shared" si="14"/>
        <v>18(iv): Forecast closing carry forward adjustment</v>
      </c>
      <c r="B48" s="63">
        <f>ROW()</f>
        <v>48</v>
      </c>
      <c r="C48" s="52"/>
      <c r="D48" s="32"/>
      <c r="E48" s="52"/>
      <c r="R48" s="70"/>
      <c r="S48" s="65"/>
      <c r="T48" s="57"/>
      <c r="U48" s="65"/>
      <c r="V48" s="57"/>
      <c r="W48" s="65"/>
      <c r="X48" s="57"/>
      <c r="Y48" s="65">
        <f>Y37</f>
        <v>46203</v>
      </c>
      <c r="Z48" s="57">
        <f>G30</f>
        <v>0</v>
      </c>
      <c r="AA48" s="65">
        <f>V12</f>
        <v>46386</v>
      </c>
      <c r="AB48" s="10">
        <f>W12</f>
        <v>0</v>
      </c>
    </row>
    <row r="49" spans="1:28" ht="50.1" customHeight="1" x14ac:dyDescent="0.3">
      <c r="A49" s="63" t="str">
        <f t="shared" si="14"/>
        <v>18(iv): Forecast closing carry forward adjustment</v>
      </c>
      <c r="B49" s="63">
        <f>ROW()</f>
        <v>49</v>
      </c>
      <c r="C49" s="52"/>
      <c r="D49" s="32"/>
      <c r="E49" s="52"/>
      <c r="R49" s="70"/>
      <c r="S49" s="65"/>
      <c r="T49" s="57"/>
      <c r="U49" s="65"/>
      <c r="V49" s="57"/>
      <c r="W49" s="65"/>
      <c r="X49" s="57"/>
      <c r="Y49" s="65"/>
      <c r="Z49" s="57"/>
      <c r="AA49" s="65">
        <f>V17</f>
        <v>46420</v>
      </c>
      <c r="AB49" s="10">
        <f>W17</f>
        <v>0</v>
      </c>
    </row>
    <row r="50" spans="1:28" ht="50.1" customHeight="1" x14ac:dyDescent="0.3">
      <c r="A50" s="63" t="str">
        <f t="shared" si="14"/>
        <v>18(iv): Forecast closing carry forward adjustment</v>
      </c>
      <c r="B50" s="63">
        <f>ROW()</f>
        <v>50</v>
      </c>
      <c r="C50" s="52"/>
      <c r="D50" s="32"/>
      <c r="E50" s="52"/>
      <c r="R50" s="70"/>
      <c r="S50" s="65"/>
      <c r="T50" s="57"/>
      <c r="U50" s="65"/>
      <c r="V50" s="57"/>
      <c r="W50" s="65"/>
      <c r="X50" s="57"/>
      <c r="Y50" s="65"/>
      <c r="Z50" s="57"/>
      <c r="AA50" s="65">
        <f>AA37</f>
        <v>46568</v>
      </c>
      <c r="AB50" s="10">
        <f>L20</f>
        <v>0</v>
      </c>
    </row>
    <row r="51" spans="1:28" ht="14.4" x14ac:dyDescent="0.3">
      <c r="A51" s="17" t="s">
        <v>100</v>
      </c>
      <c r="B51" s="17"/>
      <c r="C51" s="17"/>
      <c r="D51" s="8"/>
      <c r="E51" s="8"/>
      <c r="R51" s="70"/>
      <c r="AB51" s="12"/>
    </row>
    <row r="52" spans="1:28" x14ac:dyDescent="0.3">
      <c r="R52" s="70"/>
      <c r="AB52" s="12"/>
    </row>
    <row r="53" spans="1:28" x14ac:dyDescent="0.3">
      <c r="R53" s="70" t="s">
        <v>85</v>
      </c>
      <c r="T53" s="53" t="str">
        <f>IFERROR(XIRR(T39:T42,S39:S42,7%),"")</f>
        <v/>
      </c>
      <c r="V53" s="53" t="str">
        <f>IFERROR(XIRR(V39:V44,U39:U44,7%),"")</f>
        <v/>
      </c>
      <c r="X53" s="53" t="str">
        <f>IFERROR(XIRR(X39:X46,W39:W46,7%),"")</f>
        <v/>
      </c>
      <c r="Z53" s="53" t="str">
        <f>IFERROR(XIRR(Z39:Z48,Y39:Y48,7%),"")</f>
        <v/>
      </c>
      <c r="AB53" s="53" t="str">
        <f>IFERROR(XIRR(AB39:AB50,AA39:AA50,7%),"")</f>
        <v/>
      </c>
    </row>
    <row r="54" spans="1:28" ht="21" x14ac:dyDescent="0.4">
      <c r="A54" s="85" t="s">
        <v>101</v>
      </c>
      <c r="R54" s="7"/>
      <c r="S54" s="6"/>
      <c r="T54" s="6"/>
      <c r="U54" s="6"/>
      <c r="V54" s="6"/>
      <c r="W54" s="6"/>
      <c r="X54" s="6"/>
      <c r="Y54" s="6"/>
      <c r="Z54" s="6"/>
      <c r="AA54" s="6"/>
      <c r="AB54" s="5"/>
    </row>
    <row r="55" spans="1:28" ht="14.4" x14ac:dyDescent="0.3">
      <c r="A55" s="51" t="s">
        <v>38</v>
      </c>
      <c r="B55" s="21" t="s">
        <v>39</v>
      </c>
      <c r="C55" s="64" t="s">
        <v>102</v>
      </c>
      <c r="D55" s="64" t="s">
        <v>81</v>
      </c>
    </row>
    <row r="56" spans="1:28" ht="14.4" x14ac:dyDescent="0.3">
      <c r="A56" s="63" t="str">
        <f t="shared" ref="A56:A57" si="15">$A$54</f>
        <v>18(v): Cash flow timing assumptions</v>
      </c>
      <c r="B56" s="63">
        <f>ROW()</f>
        <v>56</v>
      </c>
      <c r="C56" s="63" t="s">
        <v>103</v>
      </c>
      <c r="D56" s="15">
        <f>IF(ISNUMBER('Pricing CoverSheet'!$C$13),'Pricing CoverSheet'!$C$13,"")</f>
        <v>46203</v>
      </c>
    </row>
    <row r="57" spans="1:28" ht="14.4" x14ac:dyDescent="0.3">
      <c r="A57" s="63" t="str">
        <f t="shared" si="15"/>
        <v>18(v): Cash flow timing assumptions</v>
      </c>
      <c r="B57" s="63">
        <f>ROW()</f>
        <v>57</v>
      </c>
      <c r="C57" s="63" t="s">
        <v>104</v>
      </c>
      <c r="D57" s="50">
        <v>44743</v>
      </c>
    </row>
    <row r="59" spans="1:28" ht="21" x14ac:dyDescent="0.4">
      <c r="A59" s="85" t="s">
        <v>105</v>
      </c>
      <c r="B59" s="14"/>
    </row>
    <row r="60" spans="1:28" ht="14.4" x14ac:dyDescent="0.3">
      <c r="A60" s="51" t="s">
        <v>38</v>
      </c>
      <c r="B60" s="21" t="s">
        <v>39</v>
      </c>
      <c r="C60" s="64" t="s">
        <v>102</v>
      </c>
      <c r="D60" s="64" t="s">
        <v>106</v>
      </c>
      <c r="E60" s="18" t="s">
        <v>107</v>
      </c>
    </row>
    <row r="61" spans="1:28" ht="14.4" x14ac:dyDescent="0.3">
      <c r="A61" s="63" t="str">
        <f>$A$59</f>
        <v>18(v): Cash flow timing assumptions: Days from year end</v>
      </c>
      <c r="B61" s="63">
        <f>ROW()</f>
        <v>61</v>
      </c>
      <c r="C61" s="63" t="s">
        <v>108</v>
      </c>
      <c r="D61" s="68" t="s">
        <v>109</v>
      </c>
      <c r="E61" s="32"/>
    </row>
    <row r="62" spans="1:28" ht="14.4" x14ac:dyDescent="0.3">
      <c r="A62" s="63" t="str">
        <f t="shared" ref="A62:A64" si="16">$A$59</f>
        <v>18(v): Cash flow timing assumptions: Days from year end</v>
      </c>
      <c r="B62" s="63">
        <f>ROW()</f>
        <v>62</v>
      </c>
      <c r="C62" s="63" t="s">
        <v>108</v>
      </c>
      <c r="D62" s="68" t="s">
        <v>110</v>
      </c>
      <c r="E62" s="32">
        <v>148</v>
      </c>
    </row>
    <row r="63" spans="1:28" ht="14.4" x14ac:dyDescent="0.3">
      <c r="A63" s="63" t="str">
        <f t="shared" si="16"/>
        <v>18(v): Cash flow timing assumptions: Days from year end</v>
      </c>
      <c r="B63" s="63">
        <f>ROW()</f>
        <v>63</v>
      </c>
      <c r="C63" s="63" t="s">
        <v>111</v>
      </c>
      <c r="D63" s="68" t="s">
        <v>109</v>
      </c>
      <c r="E63" s="32"/>
    </row>
    <row r="64" spans="1:28" ht="14.4" x14ac:dyDescent="0.3">
      <c r="A64" s="63" t="str">
        <f t="shared" si="16"/>
        <v>18(v): Cash flow timing assumptions: Days from year end</v>
      </c>
      <c r="B64" s="36">
        <f>ROW()</f>
        <v>64</v>
      </c>
      <c r="C64" s="36" t="s">
        <v>112</v>
      </c>
      <c r="D64" s="68" t="s">
        <v>110</v>
      </c>
      <c r="E64" s="32">
        <v>182</v>
      </c>
    </row>
    <row r="65" spans="1:10" x14ac:dyDescent="0.3">
      <c r="A65" s="17" t="s">
        <v>113</v>
      </c>
      <c r="B65" s="17"/>
      <c r="C65" s="17"/>
      <c r="D65" s="38"/>
      <c r="E65" s="13"/>
    </row>
    <row r="68" spans="1:10" ht="21" x14ac:dyDescent="0.4">
      <c r="A68" s="85" t="s">
        <v>114</v>
      </c>
    </row>
    <row r="69" spans="1:10" ht="43.2" x14ac:dyDescent="0.3">
      <c r="A69" s="58" t="s">
        <v>38</v>
      </c>
      <c r="B69" s="58" t="s">
        <v>39</v>
      </c>
      <c r="C69" s="72" t="s">
        <v>40</v>
      </c>
      <c r="D69" s="72" t="s">
        <v>41</v>
      </c>
      <c r="E69" s="72" t="s">
        <v>106</v>
      </c>
      <c r="F69" s="72" t="s">
        <v>44</v>
      </c>
      <c r="G69" s="72" t="s">
        <v>45</v>
      </c>
      <c r="H69" s="163" t="s">
        <v>46</v>
      </c>
      <c r="I69" s="72" t="s">
        <v>47</v>
      </c>
      <c r="J69" s="72" t="s">
        <v>48</v>
      </c>
    </row>
    <row r="70" spans="1:10" ht="28.8" x14ac:dyDescent="0.3">
      <c r="A70" s="63" t="str">
        <f>$A$68</f>
        <v>18(vi): Total Revenue Requirement</v>
      </c>
      <c r="B70" s="63">
        <f>ROW()</f>
        <v>70</v>
      </c>
      <c r="C70" s="49"/>
      <c r="D70" s="45" t="s">
        <v>292</v>
      </c>
      <c r="E70" s="37" t="s">
        <v>115</v>
      </c>
      <c r="F70" s="32"/>
      <c r="G70" s="32"/>
      <c r="H70" s="32"/>
      <c r="I70" s="32"/>
      <c r="J70" s="32"/>
    </row>
    <row r="71" spans="1:10" ht="14.4" x14ac:dyDescent="0.3">
      <c r="A71" s="63" t="str">
        <f>$A$68</f>
        <v>18(vi): Total Revenue Requirement</v>
      </c>
      <c r="B71" s="63">
        <f>ROW()</f>
        <v>71</v>
      </c>
      <c r="C71" s="49" t="s">
        <v>59</v>
      </c>
      <c r="D71" s="45" t="s">
        <v>292</v>
      </c>
      <c r="E71" s="33" t="s">
        <v>116</v>
      </c>
      <c r="F71" s="32"/>
      <c r="G71" s="32"/>
      <c r="H71" s="32"/>
      <c r="I71" s="32"/>
      <c r="J71" s="32"/>
    </row>
    <row r="72" spans="1:10" ht="14.4" x14ac:dyDescent="0.3">
      <c r="A72" s="63" t="str">
        <f>$A$68</f>
        <v>18(vi): Total Revenue Requirement</v>
      </c>
      <c r="B72" s="63">
        <f>ROW()</f>
        <v>72</v>
      </c>
      <c r="C72" s="49" t="s">
        <v>59</v>
      </c>
      <c r="D72" s="45" t="s">
        <v>292</v>
      </c>
      <c r="E72" s="33" t="s">
        <v>117</v>
      </c>
      <c r="F72" s="32"/>
      <c r="G72" s="32"/>
      <c r="H72" s="32"/>
      <c r="I72" s="32"/>
      <c r="J72" s="32"/>
    </row>
    <row r="73" spans="1:10" ht="14.4" x14ac:dyDescent="0.3">
      <c r="A73" s="63" t="str">
        <f>$A$68</f>
        <v>18(vi): Total Revenue Requirement</v>
      </c>
      <c r="B73" s="63">
        <f>ROW()</f>
        <v>73</v>
      </c>
      <c r="C73" s="49"/>
      <c r="D73" s="45" t="s">
        <v>292</v>
      </c>
      <c r="E73" s="33" t="s">
        <v>118</v>
      </c>
      <c r="F73" s="26">
        <f>SUM(F70:F72)</f>
        <v>0</v>
      </c>
      <c r="G73" s="26">
        <f t="shared" ref="G73:J73" si="17">SUM(G70:G72)</f>
        <v>0</v>
      </c>
      <c r="H73" s="26">
        <f>SUM(H70:H72)</f>
        <v>0</v>
      </c>
      <c r="I73" s="26">
        <f t="shared" si="17"/>
        <v>0</v>
      </c>
      <c r="J73" s="26">
        <f t="shared" si="17"/>
        <v>0</v>
      </c>
    </row>
    <row r="74" spans="1:10" ht="14.4" x14ac:dyDescent="0.3">
      <c r="A74" s="63" t="str">
        <f>$A$68</f>
        <v>18(vi): Total Revenue Requirement</v>
      </c>
      <c r="B74" s="63">
        <f>ROW()</f>
        <v>74</v>
      </c>
      <c r="C74" s="49" t="s">
        <v>62</v>
      </c>
      <c r="D74" s="45" t="s">
        <v>292</v>
      </c>
      <c r="E74" s="48" t="s">
        <v>67</v>
      </c>
      <c r="F74" s="26">
        <f>D169</f>
        <v>0</v>
      </c>
      <c r="G74" s="26">
        <f t="shared" ref="G74:J74" si="18">E169</f>
        <v>0</v>
      </c>
      <c r="H74" s="26">
        <f t="shared" si="18"/>
        <v>0</v>
      </c>
      <c r="I74" s="26">
        <f t="shared" si="18"/>
        <v>0</v>
      </c>
      <c r="J74" s="26">
        <f t="shared" si="18"/>
        <v>0</v>
      </c>
    </row>
    <row r="75" spans="1:10" ht="14.4" x14ac:dyDescent="0.3">
      <c r="A75" s="63" t="str">
        <f t="shared" ref="A75:A78" si="19">$A$68</f>
        <v>18(vi): Total Revenue Requirement</v>
      </c>
      <c r="B75" s="63">
        <f>ROW()</f>
        <v>75</v>
      </c>
      <c r="C75" s="49" t="s">
        <v>62</v>
      </c>
      <c r="D75" s="45" t="s">
        <v>292</v>
      </c>
      <c r="E75" s="33" t="s">
        <v>119</v>
      </c>
      <c r="F75" s="26">
        <f>F103</f>
        <v>0</v>
      </c>
      <c r="G75" s="26">
        <f t="shared" ref="G75:J75" si="20">G103</f>
        <v>0</v>
      </c>
      <c r="H75" s="26">
        <f t="shared" si="20"/>
        <v>0</v>
      </c>
      <c r="I75" s="26">
        <f t="shared" si="20"/>
        <v>0</v>
      </c>
      <c r="J75" s="26">
        <f t="shared" si="20"/>
        <v>0</v>
      </c>
    </row>
    <row r="76" spans="1:10" ht="14.4" x14ac:dyDescent="0.3">
      <c r="A76" s="63" t="str">
        <f t="shared" si="19"/>
        <v>18(vi): Total Revenue Requirement</v>
      </c>
      <c r="B76" s="63">
        <f>ROW()</f>
        <v>76</v>
      </c>
      <c r="C76" s="49" t="s">
        <v>62</v>
      </c>
      <c r="D76" s="45" t="s">
        <v>292</v>
      </c>
      <c r="E76" s="33" t="s">
        <v>69</v>
      </c>
      <c r="F76" s="32"/>
      <c r="G76" s="32"/>
      <c r="H76" s="32"/>
      <c r="I76" s="32"/>
      <c r="J76" s="32"/>
    </row>
    <row r="77" spans="1:10" ht="14.4" x14ac:dyDescent="0.3">
      <c r="A77" s="63" t="str">
        <f t="shared" si="19"/>
        <v>18(vi): Total Revenue Requirement</v>
      </c>
      <c r="B77" s="63">
        <f>ROW()</f>
        <v>77</v>
      </c>
      <c r="C77" s="49" t="s">
        <v>59</v>
      </c>
      <c r="D77" s="45" t="s">
        <v>292</v>
      </c>
      <c r="E77" s="33" t="s">
        <v>120</v>
      </c>
      <c r="F77" s="26">
        <f>F104</f>
        <v>0</v>
      </c>
      <c r="G77" s="26">
        <f>G104</f>
        <v>0</v>
      </c>
      <c r="H77" s="26">
        <f>H104</f>
        <v>0</v>
      </c>
      <c r="I77" s="26">
        <f>I104</f>
        <v>0</v>
      </c>
      <c r="J77" s="26">
        <f>J104</f>
        <v>0</v>
      </c>
    </row>
    <row r="78" spans="1:10" ht="14.4" x14ac:dyDescent="0.3">
      <c r="A78" s="63" t="str">
        <f t="shared" si="19"/>
        <v>18(vi): Total Revenue Requirement</v>
      </c>
      <c r="B78" s="63">
        <f>ROW()</f>
        <v>78</v>
      </c>
      <c r="C78" s="49"/>
      <c r="D78" s="45" t="s">
        <v>292</v>
      </c>
      <c r="E78" s="33" t="s">
        <v>121</v>
      </c>
      <c r="F78" s="26">
        <f>F73-F74-F75-F76+F77</f>
        <v>0</v>
      </c>
      <c r="G78" s="26">
        <f t="shared" ref="G78:J78" si="21">G73-G74-G75-G76+G77</f>
        <v>0</v>
      </c>
      <c r="H78" s="26">
        <f t="shared" si="21"/>
        <v>0</v>
      </c>
      <c r="I78" s="26">
        <f>I73-I74-I75-I76+I77</f>
        <v>0</v>
      </c>
      <c r="J78" s="26">
        <f t="shared" si="21"/>
        <v>0</v>
      </c>
    </row>
    <row r="79" spans="1:10" ht="14.4" x14ac:dyDescent="0.3">
      <c r="A79" s="63" t="str">
        <f t="shared" ref="A79:A85" si="22">$A$68</f>
        <v>18(vi): Total Revenue Requirement</v>
      </c>
      <c r="B79" s="63">
        <f>ROW()</f>
        <v>79</v>
      </c>
      <c r="C79" s="49"/>
      <c r="D79" s="45" t="s">
        <v>292</v>
      </c>
      <c r="E79" s="33" t="s">
        <v>122</v>
      </c>
      <c r="F79" s="47"/>
      <c r="G79" s="71"/>
      <c r="H79" s="71"/>
      <c r="I79" s="71"/>
      <c r="J79" s="71"/>
    </row>
    <row r="80" spans="1:10" ht="14.4" x14ac:dyDescent="0.3">
      <c r="A80" s="63" t="str">
        <f t="shared" si="22"/>
        <v>18(vi): Total Revenue Requirement</v>
      </c>
      <c r="B80" s="63">
        <f>ROW()</f>
        <v>80</v>
      </c>
      <c r="C80" s="49"/>
      <c r="D80" s="45" t="s">
        <v>292</v>
      </c>
      <c r="E80" s="33" t="s">
        <v>123</v>
      </c>
      <c r="F80" s="47"/>
      <c r="G80" s="71"/>
      <c r="H80" s="71"/>
      <c r="I80" s="71"/>
      <c r="J80" s="71"/>
    </row>
    <row r="81" spans="1:10" ht="14.4" x14ac:dyDescent="0.3">
      <c r="A81" s="63" t="str">
        <f t="shared" si="22"/>
        <v>18(vi): Total Revenue Requirement</v>
      </c>
      <c r="B81" s="63">
        <f>ROW()</f>
        <v>81</v>
      </c>
      <c r="C81" s="49"/>
      <c r="D81" s="45" t="s">
        <v>292</v>
      </c>
      <c r="E81" s="33" t="s">
        <v>124</v>
      </c>
      <c r="F81" s="47"/>
      <c r="G81" s="71"/>
      <c r="H81" s="71"/>
      <c r="I81" s="71"/>
      <c r="J81" s="71"/>
    </row>
    <row r="82" spans="1:10" ht="14.4" x14ac:dyDescent="0.3">
      <c r="A82" s="36" t="str">
        <f t="shared" si="22"/>
        <v>18(vi): Total Revenue Requirement</v>
      </c>
      <c r="B82" s="36">
        <f>ROW()</f>
        <v>82</v>
      </c>
      <c r="C82" s="49"/>
      <c r="D82" s="45" t="s">
        <v>292</v>
      </c>
      <c r="E82" s="48" t="s">
        <v>125</v>
      </c>
      <c r="F82" s="47"/>
      <c r="G82" s="71"/>
      <c r="H82" s="71"/>
      <c r="I82" s="71"/>
      <c r="J82" s="71"/>
    </row>
    <row r="83" spans="1:10" ht="28.8" x14ac:dyDescent="0.3">
      <c r="A83" s="36" t="str">
        <f t="shared" si="22"/>
        <v>18(vi): Total Revenue Requirement</v>
      </c>
      <c r="B83" s="63">
        <f>ROW()</f>
        <v>83</v>
      </c>
      <c r="C83" s="68"/>
      <c r="D83" s="37" t="s">
        <v>291</v>
      </c>
      <c r="E83" s="45" t="s">
        <v>118</v>
      </c>
      <c r="F83" s="26">
        <f>F73</f>
        <v>0</v>
      </c>
      <c r="G83" s="26">
        <f t="shared" ref="G83:I83" si="23">G73</f>
        <v>0</v>
      </c>
      <c r="H83" s="26">
        <f t="shared" si="23"/>
        <v>0</v>
      </c>
      <c r="I83" s="26">
        <f t="shared" si="23"/>
        <v>0</v>
      </c>
      <c r="J83" s="26">
        <f>J73</f>
        <v>0</v>
      </c>
    </row>
    <row r="84" spans="1:10" ht="28.8" x14ac:dyDescent="0.3">
      <c r="A84" s="36" t="str">
        <f t="shared" si="22"/>
        <v>18(vi): Total Revenue Requirement</v>
      </c>
      <c r="B84" s="63">
        <f>ROW()</f>
        <v>84</v>
      </c>
      <c r="C84" s="68"/>
      <c r="D84" s="37" t="s">
        <v>291</v>
      </c>
      <c r="E84" s="33" t="s">
        <v>126</v>
      </c>
      <c r="F84" s="32"/>
      <c r="G84" s="32"/>
      <c r="H84" s="32"/>
      <c r="I84" s="32"/>
      <c r="J84" s="32"/>
    </row>
    <row r="85" spans="1:10" ht="28.8" x14ac:dyDescent="0.3">
      <c r="A85" s="36" t="str">
        <f t="shared" si="22"/>
        <v>18(vi): Total Revenue Requirement</v>
      </c>
      <c r="B85" s="63">
        <f>ROW()</f>
        <v>85</v>
      </c>
      <c r="C85" s="68"/>
      <c r="D85" s="37" t="s">
        <v>291</v>
      </c>
      <c r="E85" s="33" t="s">
        <v>127</v>
      </c>
      <c r="F85" s="26">
        <f>F83+F84</f>
        <v>0</v>
      </c>
      <c r="G85" s="26">
        <f>G83+G84</f>
        <v>0</v>
      </c>
      <c r="H85" s="26">
        <f>H83+H84</f>
        <v>0</v>
      </c>
      <c r="I85" s="26">
        <f t="shared" ref="I85:J85" si="24">I83+I84</f>
        <v>0</v>
      </c>
      <c r="J85" s="26">
        <f t="shared" si="24"/>
        <v>0</v>
      </c>
    </row>
    <row r="86" spans="1:10" ht="14.4" x14ac:dyDescent="0.3">
      <c r="A86" s="38" t="s">
        <v>293</v>
      </c>
      <c r="B86" s="36"/>
      <c r="C86" s="49"/>
      <c r="D86" s="48"/>
      <c r="E86" s="48"/>
      <c r="F86" s="46"/>
      <c r="G86" s="46"/>
      <c r="H86" s="46"/>
      <c r="I86" s="46"/>
      <c r="J86" s="140"/>
    </row>
    <row r="89" spans="1:10" ht="21" x14ac:dyDescent="0.4">
      <c r="A89" s="85" t="s">
        <v>129</v>
      </c>
      <c r="E89" s="44">
        <f>D57-1</f>
        <v>44742</v>
      </c>
    </row>
    <row r="90" spans="1:10" ht="17.100000000000001" customHeight="1" x14ac:dyDescent="0.3">
      <c r="A90" s="51" t="s">
        <v>38</v>
      </c>
      <c r="B90" s="21" t="s">
        <v>39</v>
      </c>
      <c r="C90" s="64" t="s">
        <v>40</v>
      </c>
      <c r="D90" s="64" t="s">
        <v>41</v>
      </c>
      <c r="E90" s="43" t="s">
        <v>130</v>
      </c>
    </row>
    <row r="91" spans="1:10" ht="14.4" x14ac:dyDescent="0.3">
      <c r="A91" s="60" t="str">
        <f t="shared" ref="A91:A97" si="25">$A$89</f>
        <v>18(vii): Opening Regulatory Asset Base</v>
      </c>
      <c r="B91" s="63">
        <f>ROW()</f>
        <v>91</v>
      </c>
      <c r="C91" s="49"/>
      <c r="D91" s="33" t="str">
        <f>"Regulatory asset base as at "&amp;TEXT(D56,"dd mmmm yyy")</f>
        <v>Regulatory asset base as at 30 June 2026</v>
      </c>
      <c r="E91" s="32"/>
    </row>
    <row r="92" spans="1:10" ht="14.4" x14ac:dyDescent="0.3">
      <c r="A92" s="60" t="str">
        <f t="shared" si="25"/>
        <v>18(vii): Opening Regulatory Asset Base</v>
      </c>
      <c r="B92" s="63">
        <f>ROW()</f>
        <v>92</v>
      </c>
      <c r="C92" s="49" t="s">
        <v>62</v>
      </c>
      <c r="D92" s="33" t="s">
        <v>119</v>
      </c>
      <c r="E92" s="32"/>
    </row>
    <row r="93" spans="1:10" ht="14.4" x14ac:dyDescent="0.3">
      <c r="A93" s="60" t="str">
        <f t="shared" si="25"/>
        <v>18(vii): Opening Regulatory Asset Base</v>
      </c>
      <c r="B93" s="63">
        <f>ROW()</f>
        <v>93</v>
      </c>
      <c r="C93" s="49" t="s">
        <v>59</v>
      </c>
      <c r="D93" s="33" t="s">
        <v>120</v>
      </c>
      <c r="E93" s="32"/>
    </row>
    <row r="94" spans="1:10" ht="14.4" x14ac:dyDescent="0.3">
      <c r="A94" s="60" t="str">
        <f t="shared" si="25"/>
        <v>18(vii): Opening Regulatory Asset Base</v>
      </c>
      <c r="B94" s="63">
        <f>ROW()</f>
        <v>94</v>
      </c>
      <c r="C94" s="49" t="s">
        <v>59</v>
      </c>
      <c r="D94" s="33" t="s">
        <v>131</v>
      </c>
      <c r="E94" s="32"/>
    </row>
    <row r="95" spans="1:10" ht="14.4" x14ac:dyDescent="0.3">
      <c r="A95" s="60" t="str">
        <f t="shared" si="25"/>
        <v>18(vii): Opening Regulatory Asset Base</v>
      </c>
      <c r="B95" s="63">
        <f>ROW()</f>
        <v>95</v>
      </c>
      <c r="C95" s="49" t="s">
        <v>132</v>
      </c>
      <c r="D95" s="33" t="s">
        <v>133</v>
      </c>
      <c r="E95" s="32"/>
    </row>
    <row r="96" spans="1:10" ht="15" thickBot="1" x14ac:dyDescent="0.35">
      <c r="A96" s="60" t="str">
        <f t="shared" si="25"/>
        <v>18(vii): Opening Regulatory Asset Base</v>
      </c>
      <c r="B96" s="63">
        <f>ROW()</f>
        <v>96</v>
      </c>
      <c r="C96" s="49" t="s">
        <v>134</v>
      </c>
      <c r="D96" s="33" t="s">
        <v>135</v>
      </c>
      <c r="E96" s="32"/>
    </row>
    <row r="97" spans="1:10" ht="15" thickBot="1" x14ac:dyDescent="0.35">
      <c r="A97" s="60" t="str">
        <f t="shared" si="25"/>
        <v>18(vii): Opening Regulatory Asset Base</v>
      </c>
      <c r="B97" s="63">
        <f>ROW()</f>
        <v>97</v>
      </c>
      <c r="C97" s="49"/>
      <c r="D97" s="33" t="s">
        <v>136</v>
      </c>
      <c r="E97" s="138">
        <f>E91-E92+E93+E94-E95+E96</f>
        <v>0</v>
      </c>
    </row>
    <row r="100" spans="1:10" ht="21" x14ac:dyDescent="0.4">
      <c r="A100" s="85" t="s">
        <v>137</v>
      </c>
    </row>
    <row r="101" spans="1:10" ht="43.2" x14ac:dyDescent="0.3">
      <c r="A101" s="21" t="s">
        <v>38</v>
      </c>
      <c r="B101" s="21" t="s">
        <v>39</v>
      </c>
      <c r="C101" s="64" t="s">
        <v>40</v>
      </c>
      <c r="D101" s="64" t="s">
        <v>41</v>
      </c>
      <c r="E101" s="64" t="s">
        <v>138</v>
      </c>
      <c r="F101" s="72" t="s">
        <v>44</v>
      </c>
      <c r="G101" s="72" t="s">
        <v>45</v>
      </c>
      <c r="H101" s="72" t="s">
        <v>46</v>
      </c>
      <c r="I101" s="72" t="s">
        <v>47</v>
      </c>
      <c r="J101" s="72" t="s">
        <v>48</v>
      </c>
    </row>
    <row r="102" spans="1:10" ht="14.4" x14ac:dyDescent="0.3">
      <c r="A102" s="60" t="str">
        <f>$A$100</f>
        <v>18(viii): Forecast Asset Base</v>
      </c>
      <c r="B102" s="63">
        <f>ROW()</f>
        <v>102</v>
      </c>
      <c r="C102" s="56"/>
      <c r="D102" s="68" t="s">
        <v>139</v>
      </c>
      <c r="E102" s="32"/>
      <c r="F102" s="26">
        <f>E108</f>
        <v>0</v>
      </c>
      <c r="G102" s="26">
        <f t="shared" ref="G102:J102" si="26">F108</f>
        <v>0</v>
      </c>
      <c r="H102" s="26">
        <f t="shared" si="26"/>
        <v>0</v>
      </c>
      <c r="I102" s="26">
        <f>H108</f>
        <v>0</v>
      </c>
      <c r="J102" s="26">
        <f t="shared" si="26"/>
        <v>0</v>
      </c>
    </row>
    <row r="103" spans="1:10" ht="14.4" x14ac:dyDescent="0.3">
      <c r="A103" s="60" t="str">
        <f t="shared" ref="A103:A108" si="27">$A$100</f>
        <v>18(viii): Forecast Asset Base</v>
      </c>
      <c r="B103" s="63">
        <f>ROW()</f>
        <v>103</v>
      </c>
      <c r="C103" s="56" t="s">
        <v>62</v>
      </c>
      <c r="D103" s="68" t="s">
        <v>119</v>
      </c>
      <c r="E103" s="32"/>
      <c r="F103" s="32"/>
      <c r="G103" s="32"/>
      <c r="H103" s="32"/>
      <c r="I103" s="32"/>
      <c r="J103" s="32"/>
    </row>
    <row r="104" spans="1:10" ht="14.4" x14ac:dyDescent="0.3">
      <c r="A104" s="60" t="str">
        <f t="shared" si="27"/>
        <v>18(viii): Forecast Asset Base</v>
      </c>
      <c r="B104" s="63">
        <f>ROW()</f>
        <v>104</v>
      </c>
      <c r="C104" s="56" t="s">
        <v>59</v>
      </c>
      <c r="D104" s="68" t="s">
        <v>120</v>
      </c>
      <c r="E104" s="26">
        <f>F190</f>
        <v>0</v>
      </c>
      <c r="F104" s="26">
        <f>G190</f>
        <v>0</v>
      </c>
      <c r="G104" s="26">
        <f t="shared" ref="G104:I104" si="28">H190</f>
        <v>0</v>
      </c>
      <c r="H104" s="26">
        <f t="shared" si="28"/>
        <v>0</v>
      </c>
      <c r="I104" s="26">
        <f t="shared" si="28"/>
        <v>0</v>
      </c>
      <c r="J104" s="26">
        <f>K190</f>
        <v>0</v>
      </c>
    </row>
    <row r="105" spans="1:10" ht="14.4" x14ac:dyDescent="0.3">
      <c r="A105" s="60" t="str">
        <f t="shared" si="27"/>
        <v>18(viii): Forecast Asset Base</v>
      </c>
      <c r="B105" s="63">
        <f>ROW()</f>
        <v>105</v>
      </c>
      <c r="C105" s="56" t="s">
        <v>59</v>
      </c>
      <c r="D105" s="68" t="s">
        <v>131</v>
      </c>
      <c r="E105" s="32"/>
      <c r="F105" s="32"/>
      <c r="G105" s="32"/>
      <c r="H105" s="32"/>
      <c r="I105" s="32"/>
      <c r="J105" s="32"/>
    </row>
    <row r="106" spans="1:10" ht="14.4" x14ac:dyDescent="0.3">
      <c r="A106" s="60" t="str">
        <f t="shared" si="27"/>
        <v>18(viii): Forecast Asset Base</v>
      </c>
      <c r="B106" s="63">
        <f>ROW()</f>
        <v>106</v>
      </c>
      <c r="C106" s="56" t="s">
        <v>132</v>
      </c>
      <c r="D106" s="68" t="s">
        <v>133</v>
      </c>
      <c r="E106" s="32"/>
      <c r="F106" s="32"/>
      <c r="G106" s="32"/>
      <c r="H106" s="32"/>
      <c r="I106" s="32"/>
      <c r="J106" s="32"/>
    </row>
    <row r="107" spans="1:10" ht="15" thickBot="1" x14ac:dyDescent="0.35">
      <c r="A107" s="60" t="str">
        <f t="shared" si="27"/>
        <v>18(viii): Forecast Asset Base</v>
      </c>
      <c r="B107" s="63">
        <f>ROW()</f>
        <v>107</v>
      </c>
      <c r="C107" s="56" t="s">
        <v>134</v>
      </c>
      <c r="D107" s="68" t="s">
        <v>135</v>
      </c>
      <c r="E107" s="32"/>
      <c r="F107" s="32"/>
      <c r="G107" s="32"/>
      <c r="H107" s="32"/>
      <c r="I107" s="32"/>
      <c r="J107" s="32"/>
    </row>
    <row r="108" spans="1:10" ht="15" thickBot="1" x14ac:dyDescent="0.35">
      <c r="A108" s="60" t="str">
        <f t="shared" si="27"/>
        <v>18(viii): Forecast Asset Base</v>
      </c>
      <c r="B108" s="36">
        <f>ROW()</f>
        <v>108</v>
      </c>
      <c r="C108" s="16"/>
      <c r="D108" s="68" t="s">
        <v>71</v>
      </c>
      <c r="E108" s="147">
        <f>E102-E103+E104+E105-E106+E107</f>
        <v>0</v>
      </c>
      <c r="F108" s="148">
        <f t="shared" ref="F108:J108" si="29">F102-F103+F104+F105-F106+F107</f>
        <v>0</v>
      </c>
      <c r="G108" s="148">
        <f t="shared" si="29"/>
        <v>0</v>
      </c>
      <c r="H108" s="148">
        <f t="shared" si="29"/>
        <v>0</v>
      </c>
      <c r="I108" s="148">
        <f t="shared" si="29"/>
        <v>0</v>
      </c>
      <c r="J108" s="149">
        <f t="shared" si="29"/>
        <v>0</v>
      </c>
    </row>
    <row r="109" spans="1:10" ht="14.4" x14ac:dyDescent="0.3">
      <c r="A109" s="34" t="s">
        <v>140</v>
      </c>
      <c r="B109" s="4"/>
      <c r="C109" s="17"/>
      <c r="D109" s="48"/>
    </row>
    <row r="112" spans="1:10" ht="21" x14ac:dyDescent="0.4">
      <c r="A112" s="85" t="s">
        <v>141</v>
      </c>
    </row>
    <row r="113" spans="1:10" ht="43.2" x14ac:dyDescent="0.3">
      <c r="A113" s="21" t="s">
        <v>38</v>
      </c>
      <c r="B113" s="21" t="s">
        <v>39</v>
      </c>
      <c r="C113" s="64" t="s">
        <v>40</v>
      </c>
      <c r="D113" s="64" t="s">
        <v>41</v>
      </c>
      <c r="E113" s="64" t="s">
        <v>138</v>
      </c>
      <c r="F113" s="72" t="s">
        <v>44</v>
      </c>
      <c r="G113" s="72" t="s">
        <v>45</v>
      </c>
      <c r="H113" s="72" t="s">
        <v>46</v>
      </c>
      <c r="I113" s="72" t="s">
        <v>47</v>
      </c>
      <c r="J113" s="72" t="s">
        <v>48</v>
      </c>
    </row>
    <row r="114" spans="1:10" ht="14.4" x14ac:dyDescent="0.3">
      <c r="A114" s="60" t="str">
        <f t="shared" ref="A114:A117" si="30">$A$112</f>
        <v>18(ix): Forecast Works Under Construction</v>
      </c>
      <c r="B114" s="63">
        <f>ROW()</f>
        <v>114</v>
      </c>
      <c r="C114" s="56"/>
      <c r="D114" s="68" t="s">
        <v>142</v>
      </c>
      <c r="E114" s="32"/>
      <c r="F114" s="32"/>
      <c r="G114" s="32"/>
      <c r="H114" s="32"/>
      <c r="I114" s="32"/>
      <c r="J114" s="32"/>
    </row>
    <row r="115" spans="1:10" ht="14.4" x14ac:dyDescent="0.3">
      <c r="A115" s="60" t="str">
        <f t="shared" si="30"/>
        <v>18(ix): Forecast Works Under Construction</v>
      </c>
      <c r="B115" s="63">
        <f>ROW()</f>
        <v>115</v>
      </c>
      <c r="C115" s="56" t="s">
        <v>59</v>
      </c>
      <c r="D115" s="68" t="s">
        <v>143</v>
      </c>
      <c r="E115" s="32"/>
      <c r="F115" s="32"/>
      <c r="G115" s="32"/>
      <c r="H115" s="32"/>
      <c r="I115" s="32"/>
      <c r="J115" s="32"/>
    </row>
    <row r="116" spans="1:10" ht="15" thickBot="1" x14ac:dyDescent="0.35">
      <c r="A116" s="60" t="str">
        <f t="shared" si="30"/>
        <v>18(ix): Forecast Works Under Construction</v>
      </c>
      <c r="B116" s="63">
        <f>ROW()</f>
        <v>116</v>
      </c>
      <c r="C116" s="56" t="s">
        <v>62</v>
      </c>
      <c r="D116" s="68" t="s">
        <v>131</v>
      </c>
      <c r="E116" s="32"/>
      <c r="F116" s="32"/>
      <c r="G116" s="32"/>
      <c r="H116" s="32"/>
      <c r="I116" s="32"/>
      <c r="J116" s="32"/>
    </row>
    <row r="117" spans="1:10" ht="15" thickBot="1" x14ac:dyDescent="0.35">
      <c r="A117" s="60" t="str">
        <f t="shared" si="30"/>
        <v>18(ix): Forecast Works Under Construction</v>
      </c>
      <c r="B117" s="63">
        <f>ROW()</f>
        <v>117</v>
      </c>
      <c r="C117" s="56"/>
      <c r="D117" s="68" t="s">
        <v>144</v>
      </c>
      <c r="E117" s="147">
        <f>E114+E115-E116</f>
        <v>0</v>
      </c>
      <c r="F117" s="148">
        <f t="shared" ref="F117:J117" si="31">F114+F115-F116</f>
        <v>0</v>
      </c>
      <c r="G117" s="148">
        <f t="shared" si="31"/>
        <v>0</v>
      </c>
      <c r="H117" s="148">
        <f t="shared" si="31"/>
        <v>0</v>
      </c>
      <c r="I117" s="148">
        <f t="shared" si="31"/>
        <v>0</v>
      </c>
      <c r="J117" s="149">
        <f t="shared" si="31"/>
        <v>0</v>
      </c>
    </row>
    <row r="120" spans="1:10" ht="21" x14ac:dyDescent="0.4">
      <c r="A120" s="85" t="s">
        <v>145</v>
      </c>
    </row>
    <row r="121" spans="1:10" ht="43.2" x14ac:dyDescent="0.3">
      <c r="A121" s="21" t="s">
        <v>38</v>
      </c>
      <c r="B121" s="21" t="s">
        <v>39</v>
      </c>
      <c r="C121" s="64" t="s">
        <v>40</v>
      </c>
      <c r="D121" s="64" t="s">
        <v>41</v>
      </c>
      <c r="E121" s="64" t="s">
        <v>138</v>
      </c>
      <c r="F121" s="72" t="s">
        <v>44</v>
      </c>
      <c r="G121" s="72" t="s">
        <v>45</v>
      </c>
      <c r="H121" s="72" t="s">
        <v>46</v>
      </c>
      <c r="I121" s="72" t="s">
        <v>47</v>
      </c>
      <c r="J121" s="72" t="s">
        <v>48</v>
      </c>
    </row>
    <row r="122" spans="1:10" ht="14.4" x14ac:dyDescent="0.3">
      <c r="A122" s="60" t="str">
        <f t="shared" ref="A122:A125" si="32">$A$120</f>
        <v>18(x): Assets held for future use cost and base value</v>
      </c>
      <c r="B122" s="63">
        <f>ROW()</f>
        <v>122</v>
      </c>
      <c r="C122" s="56"/>
      <c r="D122" s="68" t="s">
        <v>146</v>
      </c>
      <c r="E122" s="32"/>
      <c r="F122" s="26">
        <f>E128</f>
        <v>0</v>
      </c>
      <c r="G122" s="26">
        <f t="shared" ref="G122:J122" si="33">F128</f>
        <v>0</v>
      </c>
      <c r="H122" s="26">
        <f t="shared" si="33"/>
        <v>0</v>
      </c>
      <c r="I122" s="26">
        <f t="shared" si="33"/>
        <v>0</v>
      </c>
      <c r="J122" s="26">
        <f t="shared" si="33"/>
        <v>0</v>
      </c>
    </row>
    <row r="123" spans="1:10" ht="14.4" x14ac:dyDescent="0.3">
      <c r="A123" s="60" t="str">
        <f t="shared" si="32"/>
        <v>18(x): Assets held for future use cost and base value</v>
      </c>
      <c r="B123" s="63">
        <f>ROW()</f>
        <v>123</v>
      </c>
      <c r="C123" s="56" t="s">
        <v>59</v>
      </c>
      <c r="D123" s="68" t="s">
        <v>147</v>
      </c>
      <c r="E123" s="32"/>
      <c r="F123" s="32"/>
      <c r="G123" s="32"/>
      <c r="H123" s="32"/>
      <c r="I123" s="32"/>
      <c r="J123" s="32"/>
    </row>
    <row r="124" spans="1:10" ht="14.4" x14ac:dyDescent="0.3">
      <c r="A124" s="60" t="str">
        <f t="shared" si="32"/>
        <v>18(x): Assets held for future use cost and base value</v>
      </c>
      <c r="B124" s="63">
        <f>ROW()</f>
        <v>124</v>
      </c>
      <c r="C124" s="56" t="s">
        <v>62</v>
      </c>
      <c r="D124" s="68" t="s">
        <v>148</v>
      </c>
      <c r="E124" s="32"/>
      <c r="F124" s="32"/>
      <c r="G124" s="32"/>
      <c r="H124" s="32"/>
      <c r="I124" s="32"/>
      <c r="J124" s="32"/>
    </row>
    <row r="125" spans="1:10" ht="14.4" x14ac:dyDescent="0.3">
      <c r="A125" s="60" t="str">
        <f t="shared" si="32"/>
        <v>18(x): Assets held for future use cost and base value</v>
      </c>
      <c r="B125" s="63">
        <f>ROW()</f>
        <v>125</v>
      </c>
      <c r="C125" s="56" t="s">
        <v>59</v>
      </c>
      <c r="D125" s="68" t="s">
        <v>149</v>
      </c>
      <c r="E125" s="32"/>
      <c r="F125" s="32"/>
      <c r="G125" s="32"/>
      <c r="H125" s="32"/>
      <c r="I125" s="32"/>
      <c r="J125" s="32"/>
    </row>
    <row r="126" spans="1:10" ht="14.4" x14ac:dyDescent="0.3">
      <c r="A126" s="60" t="str">
        <f t="shared" ref="A126:A137" si="34">$A$120</f>
        <v>18(x): Assets held for future use cost and base value</v>
      </c>
      <c r="B126" s="63">
        <f>ROW()</f>
        <v>126</v>
      </c>
      <c r="C126" s="56" t="s">
        <v>62</v>
      </c>
      <c r="D126" s="68" t="s">
        <v>150</v>
      </c>
      <c r="E126" s="32"/>
      <c r="F126" s="32"/>
      <c r="G126" s="32"/>
      <c r="H126" s="32"/>
      <c r="I126" s="32"/>
      <c r="J126" s="32"/>
    </row>
    <row r="127" spans="1:10" ht="15" thickBot="1" x14ac:dyDescent="0.35">
      <c r="A127" s="60" t="str">
        <f t="shared" si="34"/>
        <v>18(x): Assets held for future use cost and base value</v>
      </c>
      <c r="B127" s="63">
        <f>ROW()</f>
        <v>127</v>
      </c>
      <c r="C127" s="56" t="s">
        <v>62</v>
      </c>
      <c r="D127" s="68" t="s">
        <v>151</v>
      </c>
      <c r="E127" s="32"/>
      <c r="F127" s="32"/>
      <c r="G127" s="32"/>
      <c r="H127" s="32"/>
      <c r="I127" s="32"/>
      <c r="J127" s="32"/>
    </row>
    <row r="128" spans="1:10" ht="15" thickBot="1" x14ac:dyDescent="0.35">
      <c r="A128" s="60" t="str">
        <f t="shared" si="34"/>
        <v>18(x): Assets held for future use cost and base value</v>
      </c>
      <c r="B128" s="63">
        <f>ROW()</f>
        <v>128</v>
      </c>
      <c r="C128" s="56"/>
      <c r="D128" s="68" t="s">
        <v>152</v>
      </c>
      <c r="E128" s="147">
        <f>E122+E123-E124+E125-E126-E127</f>
        <v>0</v>
      </c>
      <c r="F128" s="148">
        <f t="shared" ref="F128:J128" si="35">F122+F123-F124+F125-F126-F127</f>
        <v>0</v>
      </c>
      <c r="G128" s="148">
        <f t="shared" si="35"/>
        <v>0</v>
      </c>
      <c r="H128" s="148">
        <f t="shared" si="35"/>
        <v>0</v>
      </c>
      <c r="I128" s="148">
        <f t="shared" si="35"/>
        <v>0</v>
      </c>
      <c r="J128" s="149">
        <f t="shared" si="35"/>
        <v>0</v>
      </c>
    </row>
    <row r="129" spans="1:16" ht="14.4" x14ac:dyDescent="0.3">
      <c r="A129" s="60" t="str">
        <f t="shared" si="34"/>
        <v>18(x): Assets held for future use cost and base value</v>
      </c>
      <c r="B129" s="63">
        <f>ROW()</f>
        <v>129</v>
      </c>
      <c r="C129" s="56"/>
      <c r="D129" s="68" t="s">
        <v>153</v>
      </c>
      <c r="E129" s="32"/>
      <c r="F129" s="71"/>
      <c r="G129" s="71"/>
      <c r="H129" s="71"/>
      <c r="I129" s="71"/>
      <c r="J129" s="71"/>
    </row>
    <row r="130" spans="1:16" ht="14.4" x14ac:dyDescent="0.3">
      <c r="A130" s="60" t="str">
        <f t="shared" si="34"/>
        <v>18(x): Assets held for future use cost and base value</v>
      </c>
      <c r="B130" s="63">
        <f>ROW()</f>
        <v>130</v>
      </c>
      <c r="C130" s="56" t="s">
        <v>59</v>
      </c>
      <c r="D130" s="68" t="s">
        <v>154</v>
      </c>
      <c r="E130" s="32"/>
      <c r="F130" s="71"/>
      <c r="G130" s="71"/>
      <c r="H130" s="71"/>
      <c r="I130" s="71"/>
      <c r="J130" s="71"/>
    </row>
    <row r="131" spans="1:16" ht="14.4" x14ac:dyDescent="0.3">
      <c r="A131" s="60" t="str">
        <f t="shared" si="34"/>
        <v>18(x): Assets held for future use cost and base value</v>
      </c>
      <c r="B131" s="63">
        <f>ROW()</f>
        <v>131</v>
      </c>
      <c r="C131" s="56"/>
      <c r="D131" s="68" t="s">
        <v>155</v>
      </c>
      <c r="E131" s="26">
        <f>SUM(E129:E130)</f>
        <v>0</v>
      </c>
      <c r="F131" s="26">
        <f>E136</f>
        <v>0</v>
      </c>
      <c r="G131" s="26">
        <f t="shared" ref="G131:J131" si="36">F136</f>
        <v>0</v>
      </c>
      <c r="H131" s="26">
        <f t="shared" si="36"/>
        <v>0</v>
      </c>
      <c r="I131" s="26">
        <f t="shared" si="36"/>
        <v>0</v>
      </c>
      <c r="J131" s="26">
        <f t="shared" si="36"/>
        <v>0</v>
      </c>
    </row>
    <row r="132" spans="1:16" ht="14.4" x14ac:dyDescent="0.3">
      <c r="A132" s="60" t="str">
        <f t="shared" si="34"/>
        <v>18(x): Assets held for future use cost and base value</v>
      </c>
      <c r="B132" s="63">
        <f>ROW()</f>
        <v>132</v>
      </c>
      <c r="C132" s="56" t="s">
        <v>59</v>
      </c>
      <c r="D132" s="68" t="s">
        <v>156</v>
      </c>
      <c r="E132" s="32"/>
      <c r="F132" s="32"/>
      <c r="G132" s="32"/>
      <c r="H132" s="32"/>
      <c r="I132" s="32"/>
      <c r="J132" s="32"/>
    </row>
    <row r="133" spans="1:16" ht="14.4" x14ac:dyDescent="0.3">
      <c r="A133" s="60" t="str">
        <f t="shared" si="34"/>
        <v>18(x): Assets held for future use cost and base value</v>
      </c>
      <c r="B133" s="63">
        <f>ROW()</f>
        <v>133</v>
      </c>
      <c r="C133" s="56" t="s">
        <v>59</v>
      </c>
      <c r="D133" s="68" t="s">
        <v>149</v>
      </c>
      <c r="E133" s="26">
        <f>E125</f>
        <v>0</v>
      </c>
      <c r="F133" s="26">
        <f t="shared" ref="F133:J133" si="37">F125</f>
        <v>0</v>
      </c>
      <c r="G133" s="26">
        <f>G125</f>
        <v>0</v>
      </c>
      <c r="H133" s="26">
        <f t="shared" si="37"/>
        <v>0</v>
      </c>
      <c r="I133" s="26">
        <f t="shared" si="37"/>
        <v>0</v>
      </c>
      <c r="J133" s="26">
        <f t="shared" si="37"/>
        <v>0</v>
      </c>
    </row>
    <row r="134" spans="1:16" ht="14.4" x14ac:dyDescent="0.3">
      <c r="A134" s="60" t="str">
        <f t="shared" si="34"/>
        <v>18(x): Assets held for future use cost and base value</v>
      </c>
      <c r="B134" s="63">
        <f>ROW()</f>
        <v>134</v>
      </c>
      <c r="C134" s="56" t="s">
        <v>62</v>
      </c>
      <c r="D134" s="68" t="s">
        <v>150</v>
      </c>
      <c r="E134" s="26">
        <f>E126</f>
        <v>0</v>
      </c>
      <c r="F134" s="26">
        <f t="shared" ref="F134:J134" si="38">F126</f>
        <v>0</v>
      </c>
      <c r="G134" s="26">
        <f>G126</f>
        <v>0</v>
      </c>
      <c r="H134" s="26">
        <f t="shared" si="38"/>
        <v>0</v>
      </c>
      <c r="I134" s="26">
        <f t="shared" si="38"/>
        <v>0</v>
      </c>
      <c r="J134" s="26">
        <f t="shared" si="38"/>
        <v>0</v>
      </c>
      <c r="N134" s="40">
        <f>SUM(L134:M134)</f>
        <v>0</v>
      </c>
    </row>
    <row r="135" spans="1:16" ht="14.4" x14ac:dyDescent="0.3">
      <c r="A135" s="60" t="str">
        <f t="shared" si="34"/>
        <v>18(x): Assets held for future use cost and base value</v>
      </c>
      <c r="B135" s="63">
        <f>ROW()</f>
        <v>135</v>
      </c>
      <c r="C135" s="56" t="s">
        <v>62</v>
      </c>
      <c r="D135" s="68" t="s">
        <v>151</v>
      </c>
      <c r="E135" s="26">
        <f>E127</f>
        <v>0</v>
      </c>
      <c r="F135" s="26">
        <f t="shared" ref="F135:J135" si="39">F127</f>
        <v>0</v>
      </c>
      <c r="G135" s="26">
        <f>G127</f>
        <v>0</v>
      </c>
      <c r="H135" s="26">
        <f t="shared" si="39"/>
        <v>0</v>
      </c>
      <c r="I135" s="26">
        <f t="shared" si="39"/>
        <v>0</v>
      </c>
      <c r="J135" s="26">
        <f t="shared" si="39"/>
        <v>0</v>
      </c>
    </row>
    <row r="136" spans="1:16" ht="14.4" x14ac:dyDescent="0.3">
      <c r="A136" s="60" t="str">
        <f t="shared" si="34"/>
        <v>18(x): Assets held for future use cost and base value</v>
      </c>
      <c r="B136" s="63">
        <f>ROW()</f>
        <v>136</v>
      </c>
      <c r="C136" s="56"/>
      <c r="D136" s="68" t="s">
        <v>157</v>
      </c>
      <c r="E136" s="26">
        <f>E131+E132+E133-E134-E135</f>
        <v>0</v>
      </c>
      <c r="F136" s="26">
        <f t="shared" ref="F136:J136" si="40">F131+F132+F133-F134-F135</f>
        <v>0</v>
      </c>
      <c r="G136" s="26">
        <f>G131+G132+G133-G134-G135</f>
        <v>0</v>
      </c>
      <c r="H136" s="26">
        <f t="shared" si="40"/>
        <v>0</v>
      </c>
      <c r="I136" s="26">
        <f t="shared" si="40"/>
        <v>0</v>
      </c>
      <c r="J136" s="26">
        <f t="shared" si="40"/>
        <v>0</v>
      </c>
    </row>
    <row r="137" spans="1:16" ht="14.4" x14ac:dyDescent="0.3">
      <c r="A137" s="60" t="str">
        <f t="shared" si="34"/>
        <v>18(x): Assets held for future use cost and base value</v>
      </c>
      <c r="B137" s="63">
        <f>ROW()</f>
        <v>137</v>
      </c>
      <c r="C137" s="56"/>
      <c r="D137" s="68" t="s">
        <v>158</v>
      </c>
      <c r="E137" s="26">
        <f>E130+E132</f>
        <v>0</v>
      </c>
      <c r="F137" s="26">
        <f>F132+E137</f>
        <v>0</v>
      </c>
      <c r="G137" s="26">
        <f>G132+F137</f>
        <v>0</v>
      </c>
      <c r="H137" s="26">
        <f t="shared" ref="H137:I137" si="41">H132+G137</f>
        <v>0</v>
      </c>
      <c r="I137" s="26">
        <f t="shared" si="41"/>
        <v>0</v>
      </c>
      <c r="J137" s="26">
        <f>J132+I137</f>
        <v>0</v>
      </c>
    </row>
    <row r="138" spans="1:16" ht="14.4" x14ac:dyDescent="0.3">
      <c r="A138" s="34" t="s">
        <v>159</v>
      </c>
      <c r="B138" s="17"/>
      <c r="C138" s="17"/>
      <c r="D138" s="35"/>
      <c r="E138" s="38"/>
      <c r="F138" s="38"/>
      <c r="G138" s="38"/>
      <c r="H138" s="38"/>
      <c r="I138" s="38"/>
      <c r="J138" s="38"/>
    </row>
    <row r="141" spans="1:16" ht="21" x14ac:dyDescent="0.4">
      <c r="A141" s="85" t="s">
        <v>160</v>
      </c>
    </row>
    <row r="142" spans="1:16" ht="43.2" x14ac:dyDescent="0.3">
      <c r="A142" s="21" t="s">
        <v>38</v>
      </c>
      <c r="B142" s="21" t="s">
        <v>39</v>
      </c>
      <c r="C142" s="64" t="s">
        <v>41</v>
      </c>
      <c r="D142" s="64" t="s">
        <v>161</v>
      </c>
      <c r="E142" s="64" t="s">
        <v>162</v>
      </c>
      <c r="F142" s="72" t="s">
        <v>44</v>
      </c>
      <c r="G142" s="72" t="s">
        <v>45</v>
      </c>
      <c r="H142" s="72" t="s">
        <v>46</v>
      </c>
      <c r="I142" s="72" t="s">
        <v>47</v>
      </c>
      <c r="J142" s="72" t="s">
        <v>48</v>
      </c>
      <c r="K142" s="72" t="s">
        <v>163</v>
      </c>
      <c r="L142" s="72" t="s">
        <v>164</v>
      </c>
      <c r="M142" s="72" t="s">
        <v>165</v>
      </c>
      <c r="N142" s="72" t="s">
        <v>166</v>
      </c>
      <c r="O142" s="72" t="s">
        <v>167</v>
      </c>
      <c r="P142" s="72" t="s">
        <v>168</v>
      </c>
    </row>
    <row r="143" spans="1:16" ht="14.4" x14ac:dyDescent="0.3">
      <c r="A143" s="60" t="str">
        <f t="shared" ref="A143:A159" si="42">$A$141</f>
        <v>18(xi): Forecast Capital Expenditure</v>
      </c>
      <c r="B143" s="63">
        <f>ROW()</f>
        <v>143</v>
      </c>
      <c r="C143" s="68" t="s">
        <v>169</v>
      </c>
      <c r="D143" s="68" t="s">
        <v>170</v>
      </c>
      <c r="E143" s="19"/>
      <c r="F143" s="32"/>
      <c r="G143" s="32"/>
      <c r="H143" s="32"/>
      <c r="I143" s="32"/>
      <c r="J143" s="32"/>
      <c r="K143" s="32"/>
      <c r="L143" s="32"/>
      <c r="M143" s="32"/>
      <c r="N143" s="32"/>
      <c r="O143" s="32"/>
      <c r="P143" s="19"/>
    </row>
    <row r="144" spans="1:16" ht="14.4" x14ac:dyDescent="0.3">
      <c r="A144" s="60" t="str">
        <f t="shared" si="42"/>
        <v>18(xi): Forecast Capital Expenditure</v>
      </c>
      <c r="B144" s="63">
        <f>ROW()</f>
        <v>144</v>
      </c>
      <c r="C144" s="68" t="s">
        <v>169</v>
      </c>
      <c r="D144" s="68" t="s">
        <v>171</v>
      </c>
      <c r="E144" s="19"/>
      <c r="F144" s="32"/>
      <c r="G144" s="32"/>
      <c r="H144" s="32"/>
      <c r="I144" s="32"/>
      <c r="J144" s="32"/>
      <c r="K144" s="32"/>
      <c r="L144" s="32"/>
      <c r="M144" s="32"/>
      <c r="N144" s="32"/>
      <c r="O144" s="32"/>
      <c r="P144" s="19"/>
    </row>
    <row r="145" spans="1:16" ht="15" thickBot="1" x14ac:dyDescent="0.35">
      <c r="A145" s="60" t="str">
        <f t="shared" si="42"/>
        <v>18(xi): Forecast Capital Expenditure</v>
      </c>
      <c r="B145" s="63">
        <f>ROW()</f>
        <v>145</v>
      </c>
      <c r="C145" s="68" t="s">
        <v>169</v>
      </c>
      <c r="D145" s="68" t="s">
        <v>172</v>
      </c>
      <c r="E145" s="19"/>
      <c r="F145" s="26">
        <f>SUM(F143:F144)</f>
        <v>0</v>
      </c>
      <c r="G145" s="26">
        <f t="shared" ref="G145:N145" si="43">SUM(G143:G144)</f>
        <v>0</v>
      </c>
      <c r="H145" s="26">
        <f t="shared" si="43"/>
        <v>0</v>
      </c>
      <c r="I145" s="26">
        <f>SUM(I143:I144)</f>
        <v>0</v>
      </c>
      <c r="J145" s="26">
        <f t="shared" si="43"/>
        <v>0</v>
      </c>
      <c r="K145" s="26">
        <f t="shared" si="43"/>
        <v>0</v>
      </c>
      <c r="L145" s="26">
        <f t="shared" si="43"/>
        <v>0</v>
      </c>
      <c r="M145" s="26">
        <f t="shared" si="43"/>
        <v>0</v>
      </c>
      <c r="N145" s="26">
        <f t="shared" si="43"/>
        <v>0</v>
      </c>
      <c r="O145" s="26">
        <f>SUM(O143:O144)</f>
        <v>0</v>
      </c>
      <c r="P145" s="133"/>
    </row>
    <row r="146" spans="1:16" ht="14.4" x14ac:dyDescent="0.3">
      <c r="A146" s="60" t="str">
        <f t="shared" si="42"/>
        <v>18(xi): Forecast Capital Expenditure</v>
      </c>
      <c r="B146" s="63">
        <f>ROW()</f>
        <v>146</v>
      </c>
      <c r="C146" s="68" t="s">
        <v>173</v>
      </c>
      <c r="D146" s="68"/>
      <c r="E146" s="135" t="s">
        <v>174</v>
      </c>
      <c r="F146" s="135"/>
      <c r="G146" s="135"/>
      <c r="H146" s="135"/>
      <c r="I146" s="135"/>
      <c r="J146" s="135"/>
      <c r="K146" s="135"/>
      <c r="L146" s="135"/>
      <c r="M146" s="135"/>
      <c r="N146" s="135"/>
      <c r="O146" s="135"/>
      <c r="P146" s="59">
        <f t="shared" ref="P146:P158" si="44">SUM(F146:O146)</f>
        <v>0</v>
      </c>
    </row>
    <row r="147" spans="1:16" ht="14.4" x14ac:dyDescent="0.3">
      <c r="A147" s="60" t="str">
        <f t="shared" si="42"/>
        <v>18(xi): Forecast Capital Expenditure</v>
      </c>
      <c r="B147" s="63">
        <f>ROW()</f>
        <v>147</v>
      </c>
      <c r="C147" s="68" t="s">
        <v>173</v>
      </c>
      <c r="D147" s="68"/>
      <c r="E147" s="135" t="s">
        <v>175</v>
      </c>
      <c r="F147" s="135"/>
      <c r="G147" s="135"/>
      <c r="H147" s="135"/>
      <c r="I147" s="135"/>
      <c r="J147" s="135"/>
      <c r="K147" s="135"/>
      <c r="L147" s="135"/>
      <c r="M147" s="135"/>
      <c r="N147" s="135"/>
      <c r="O147" s="135"/>
      <c r="P147" s="42">
        <f t="shared" si="44"/>
        <v>0</v>
      </c>
    </row>
    <row r="148" spans="1:16" ht="14.4" x14ac:dyDescent="0.3">
      <c r="A148" s="60" t="str">
        <f t="shared" si="42"/>
        <v>18(xi): Forecast Capital Expenditure</v>
      </c>
      <c r="B148" s="63">
        <f>ROW()</f>
        <v>148</v>
      </c>
      <c r="C148" s="68" t="s">
        <v>173</v>
      </c>
      <c r="D148" s="68"/>
      <c r="E148" s="135" t="s">
        <v>176</v>
      </c>
      <c r="F148" s="135"/>
      <c r="G148" s="135"/>
      <c r="H148" s="135"/>
      <c r="I148" s="135"/>
      <c r="J148" s="135"/>
      <c r="K148" s="135"/>
      <c r="L148" s="135"/>
      <c r="M148" s="135"/>
      <c r="N148" s="135"/>
      <c r="O148" s="135"/>
      <c r="P148" s="42">
        <f t="shared" si="44"/>
        <v>0</v>
      </c>
    </row>
    <row r="149" spans="1:16" ht="14.4" x14ac:dyDescent="0.3">
      <c r="A149" s="60" t="str">
        <f t="shared" si="42"/>
        <v>18(xi): Forecast Capital Expenditure</v>
      </c>
      <c r="B149" s="63">
        <f>ROW()</f>
        <v>149</v>
      </c>
      <c r="C149" s="68" t="s">
        <v>173</v>
      </c>
      <c r="D149" s="68"/>
      <c r="E149" s="135" t="s">
        <v>177</v>
      </c>
      <c r="F149" s="135"/>
      <c r="G149" s="135"/>
      <c r="H149" s="135"/>
      <c r="I149" s="135"/>
      <c r="J149" s="135"/>
      <c r="K149" s="135"/>
      <c r="L149" s="135"/>
      <c r="M149" s="135"/>
      <c r="N149" s="135"/>
      <c r="O149" s="135"/>
      <c r="P149" s="42">
        <f t="shared" si="44"/>
        <v>0</v>
      </c>
    </row>
    <row r="150" spans="1:16" ht="14.4" x14ac:dyDescent="0.3">
      <c r="A150" s="60" t="str">
        <f t="shared" si="42"/>
        <v>18(xi): Forecast Capital Expenditure</v>
      </c>
      <c r="B150" s="63">
        <f>ROW()</f>
        <v>150</v>
      </c>
      <c r="C150" s="68" t="s">
        <v>173</v>
      </c>
      <c r="D150" s="68"/>
      <c r="E150" s="135" t="s">
        <v>178</v>
      </c>
      <c r="F150" s="135"/>
      <c r="G150" s="135"/>
      <c r="H150" s="135"/>
      <c r="I150" s="135"/>
      <c r="J150" s="135"/>
      <c r="K150" s="135"/>
      <c r="L150" s="135"/>
      <c r="M150" s="135"/>
      <c r="N150" s="135"/>
      <c r="O150" s="135"/>
      <c r="P150" s="42">
        <f t="shared" si="44"/>
        <v>0</v>
      </c>
    </row>
    <row r="151" spans="1:16" ht="14.4" x14ac:dyDescent="0.3">
      <c r="A151" s="60" t="str">
        <f t="shared" si="42"/>
        <v>18(xi): Forecast Capital Expenditure</v>
      </c>
      <c r="B151" s="63">
        <f>ROW()</f>
        <v>151</v>
      </c>
      <c r="C151" s="68" t="s">
        <v>173</v>
      </c>
      <c r="D151" s="68"/>
      <c r="E151" s="135" t="s">
        <v>179</v>
      </c>
      <c r="F151" s="135"/>
      <c r="G151" s="135"/>
      <c r="H151" s="135"/>
      <c r="I151" s="135"/>
      <c r="J151" s="135"/>
      <c r="K151" s="135"/>
      <c r="L151" s="135"/>
      <c r="M151" s="135"/>
      <c r="N151" s="135"/>
      <c r="O151" s="135"/>
      <c r="P151" s="42">
        <f t="shared" si="44"/>
        <v>0</v>
      </c>
    </row>
    <row r="152" spans="1:16" ht="14.4" x14ac:dyDescent="0.3">
      <c r="A152" s="60" t="str">
        <f t="shared" si="42"/>
        <v>18(xi): Forecast Capital Expenditure</v>
      </c>
      <c r="B152" s="63">
        <f>ROW()</f>
        <v>152</v>
      </c>
      <c r="C152" s="68" t="s">
        <v>173</v>
      </c>
      <c r="D152" s="68"/>
      <c r="E152" s="135" t="s">
        <v>180</v>
      </c>
      <c r="F152" s="135"/>
      <c r="G152" s="135"/>
      <c r="H152" s="135"/>
      <c r="I152" s="135"/>
      <c r="J152" s="135"/>
      <c r="K152" s="135"/>
      <c r="L152" s="135"/>
      <c r="M152" s="135"/>
      <c r="N152" s="135"/>
      <c r="O152" s="135"/>
      <c r="P152" s="42">
        <f t="shared" si="44"/>
        <v>0</v>
      </c>
    </row>
    <row r="153" spans="1:16" ht="14.4" x14ac:dyDescent="0.3">
      <c r="A153" s="60" t="str">
        <f t="shared" si="42"/>
        <v>18(xi): Forecast Capital Expenditure</v>
      </c>
      <c r="B153" s="63">
        <f>ROW()</f>
        <v>153</v>
      </c>
      <c r="C153" s="68" t="s">
        <v>173</v>
      </c>
      <c r="D153" s="68"/>
      <c r="E153" s="135" t="s">
        <v>181</v>
      </c>
      <c r="F153" s="135"/>
      <c r="G153" s="135"/>
      <c r="H153" s="135"/>
      <c r="I153" s="135"/>
      <c r="J153" s="135"/>
      <c r="K153" s="135"/>
      <c r="L153" s="135"/>
      <c r="M153" s="135"/>
      <c r="N153" s="135"/>
      <c r="O153" s="135"/>
      <c r="P153" s="42">
        <f t="shared" si="44"/>
        <v>0</v>
      </c>
    </row>
    <row r="154" spans="1:16" ht="14.4" x14ac:dyDescent="0.3">
      <c r="A154" s="60" t="str">
        <f t="shared" si="42"/>
        <v>18(xi): Forecast Capital Expenditure</v>
      </c>
      <c r="B154" s="63">
        <f>ROW()</f>
        <v>154</v>
      </c>
      <c r="C154" s="68" t="s">
        <v>173</v>
      </c>
      <c r="D154" s="68"/>
      <c r="E154" s="135" t="s">
        <v>182</v>
      </c>
      <c r="F154" s="135"/>
      <c r="G154" s="135"/>
      <c r="H154" s="135"/>
      <c r="I154" s="135"/>
      <c r="J154" s="135"/>
      <c r="K154" s="135"/>
      <c r="L154" s="135"/>
      <c r="M154" s="135"/>
      <c r="N154" s="135"/>
      <c r="O154" s="135"/>
      <c r="P154" s="42">
        <f>SUM(F154:O154)</f>
        <v>0</v>
      </c>
    </row>
    <row r="155" spans="1:16" ht="14.4" x14ac:dyDescent="0.3">
      <c r="A155" s="60" t="str">
        <f t="shared" si="42"/>
        <v>18(xi): Forecast Capital Expenditure</v>
      </c>
      <c r="B155" s="63">
        <f>ROW()</f>
        <v>155</v>
      </c>
      <c r="C155" s="68" t="s">
        <v>173</v>
      </c>
      <c r="D155" s="68"/>
      <c r="E155" s="135" t="s">
        <v>183</v>
      </c>
      <c r="F155" s="135"/>
      <c r="G155" s="135"/>
      <c r="H155" s="135"/>
      <c r="I155" s="135"/>
      <c r="J155" s="135"/>
      <c r="K155" s="135"/>
      <c r="L155" s="135"/>
      <c r="M155" s="135"/>
      <c r="N155" s="135"/>
      <c r="O155" s="135"/>
      <c r="P155" s="42">
        <f t="shared" si="44"/>
        <v>0</v>
      </c>
    </row>
    <row r="156" spans="1:16" ht="14.4" x14ac:dyDescent="0.3">
      <c r="A156" s="60" t="str">
        <f t="shared" si="42"/>
        <v>18(xi): Forecast Capital Expenditure</v>
      </c>
      <c r="B156" s="63">
        <f>ROW()</f>
        <v>156</v>
      </c>
      <c r="C156" s="68" t="s">
        <v>173</v>
      </c>
      <c r="D156" s="68"/>
      <c r="E156" s="135" t="s">
        <v>184</v>
      </c>
      <c r="F156" s="135"/>
      <c r="G156" s="135"/>
      <c r="H156" s="135"/>
      <c r="I156" s="135"/>
      <c r="J156" s="135"/>
      <c r="K156" s="135"/>
      <c r="L156" s="135"/>
      <c r="M156" s="135"/>
      <c r="N156" s="135"/>
      <c r="O156" s="135"/>
      <c r="P156" s="42">
        <f t="shared" si="44"/>
        <v>0</v>
      </c>
    </row>
    <row r="157" spans="1:16" ht="14.4" x14ac:dyDescent="0.3">
      <c r="A157" s="60" t="str">
        <f t="shared" si="42"/>
        <v>18(xi): Forecast Capital Expenditure</v>
      </c>
      <c r="B157" s="63">
        <f>ROW()</f>
        <v>157</v>
      </c>
      <c r="C157" s="68" t="s">
        <v>173</v>
      </c>
      <c r="D157" s="68"/>
      <c r="E157" s="135" t="s">
        <v>185</v>
      </c>
      <c r="F157" s="135"/>
      <c r="G157" s="135"/>
      <c r="H157" s="135"/>
      <c r="I157" s="135"/>
      <c r="J157" s="135"/>
      <c r="K157" s="135"/>
      <c r="L157" s="135"/>
      <c r="M157" s="135"/>
      <c r="N157" s="135"/>
      <c r="O157" s="135"/>
      <c r="P157" s="42">
        <f t="shared" si="44"/>
        <v>0</v>
      </c>
    </row>
    <row r="158" spans="1:16" ht="15" thickBot="1" x14ac:dyDescent="0.35">
      <c r="A158" s="60" t="str">
        <f>$A$141</f>
        <v>18(xi): Forecast Capital Expenditure</v>
      </c>
      <c r="B158" s="63">
        <f>ROW()</f>
        <v>158</v>
      </c>
      <c r="C158" s="68" t="s">
        <v>173</v>
      </c>
      <c r="D158" s="68" t="s">
        <v>186</v>
      </c>
      <c r="E158" s="134"/>
      <c r="F158" s="32"/>
      <c r="G158" s="32"/>
      <c r="H158" s="32"/>
      <c r="I158" s="32"/>
      <c r="J158" s="32"/>
      <c r="K158" s="32"/>
      <c r="L158" s="32"/>
      <c r="M158" s="32"/>
      <c r="N158" s="32"/>
      <c r="O158" s="32"/>
      <c r="P158" s="42">
        <f t="shared" si="44"/>
        <v>0</v>
      </c>
    </row>
    <row r="159" spans="1:16" ht="15" thickBot="1" x14ac:dyDescent="0.35">
      <c r="A159" s="104" t="str">
        <f t="shared" si="42"/>
        <v>18(xi): Forecast Capital Expenditure</v>
      </c>
      <c r="B159" s="36">
        <f>ROW()</f>
        <v>159</v>
      </c>
      <c r="C159" s="68" t="s">
        <v>173</v>
      </c>
      <c r="D159" s="166" t="s">
        <v>172</v>
      </c>
      <c r="E159" s="167"/>
      <c r="F159" s="168">
        <f>SUM(F146:F158)</f>
        <v>0</v>
      </c>
      <c r="G159" s="169">
        <f>SUM(G146:G158)</f>
        <v>0</v>
      </c>
      <c r="H159" s="169">
        <f t="shared" ref="H159:O159" si="45">SUM(H146:H158)</f>
        <v>0</v>
      </c>
      <c r="I159" s="169">
        <f t="shared" si="45"/>
        <v>0</v>
      </c>
      <c r="J159" s="169">
        <f t="shared" si="45"/>
        <v>0</v>
      </c>
      <c r="K159" s="169">
        <f t="shared" si="45"/>
        <v>0</v>
      </c>
      <c r="L159" s="169">
        <f t="shared" si="45"/>
        <v>0</v>
      </c>
      <c r="M159" s="169">
        <f>SUM(M146:M158)</f>
        <v>0</v>
      </c>
      <c r="N159" s="169">
        <f t="shared" si="45"/>
        <v>0</v>
      </c>
      <c r="O159" s="169">
        <f t="shared" si="45"/>
        <v>0</v>
      </c>
      <c r="P159" s="170">
        <f>SUM(P146:P158)</f>
        <v>0</v>
      </c>
    </row>
    <row r="160" spans="1:16" ht="14.4" x14ac:dyDescent="0.3">
      <c r="A160" s="38" t="s">
        <v>187</v>
      </c>
      <c r="B160" s="36"/>
      <c r="C160" s="48"/>
    </row>
    <row r="161" spans="1:16" ht="14.4" x14ac:dyDescent="0.3">
      <c r="A161" s="38" t="s">
        <v>188</v>
      </c>
      <c r="B161" s="38"/>
      <c r="C161" s="38"/>
      <c r="D161" s="38"/>
      <c r="E161" s="38"/>
      <c r="F161" s="41"/>
      <c r="G161" s="41"/>
      <c r="H161" s="41"/>
      <c r="I161" s="41"/>
      <c r="J161" s="41"/>
      <c r="K161" s="41"/>
      <c r="L161" s="41"/>
      <c r="M161" s="41"/>
      <c r="N161" s="41"/>
      <c r="O161" s="41"/>
      <c r="P161" s="41"/>
    </row>
    <row r="164" spans="1:16" ht="21" x14ac:dyDescent="0.4">
      <c r="A164" s="85" t="s">
        <v>189</v>
      </c>
    </row>
    <row r="165" spans="1:16" ht="43.2" x14ac:dyDescent="0.3">
      <c r="A165" s="58" t="s">
        <v>38</v>
      </c>
      <c r="B165" s="58" t="s">
        <v>39</v>
      </c>
      <c r="C165" s="72" t="s">
        <v>41</v>
      </c>
      <c r="D165" s="72" t="s">
        <v>44</v>
      </c>
      <c r="E165" s="23" t="s">
        <v>45</v>
      </c>
      <c r="F165" s="72" t="s">
        <v>46</v>
      </c>
      <c r="G165" s="72" t="s">
        <v>47</v>
      </c>
      <c r="H165" s="72" t="s">
        <v>48</v>
      </c>
    </row>
    <row r="166" spans="1:16" ht="14.4" x14ac:dyDescent="0.3">
      <c r="A166" s="60" t="str">
        <f>$A$164</f>
        <v>18(xii) Forecast operational expenditure</v>
      </c>
      <c r="B166" s="63">
        <f>ROW()</f>
        <v>166</v>
      </c>
      <c r="C166" s="45" t="s">
        <v>190</v>
      </c>
      <c r="D166" s="32"/>
      <c r="E166" s="32"/>
      <c r="F166" s="32"/>
      <c r="G166" s="32"/>
      <c r="H166" s="32"/>
    </row>
    <row r="167" spans="1:16" ht="14.4" x14ac:dyDescent="0.3">
      <c r="A167" s="60" t="str">
        <f t="shared" ref="A167:A169" si="46">$A$164</f>
        <v>18(xii) Forecast operational expenditure</v>
      </c>
      <c r="B167" s="63">
        <f>ROW()</f>
        <v>167</v>
      </c>
      <c r="C167" s="45" t="s">
        <v>191</v>
      </c>
      <c r="D167" s="32"/>
      <c r="E167" s="32"/>
      <c r="F167" s="32"/>
      <c r="G167" s="32"/>
      <c r="H167" s="32"/>
    </row>
    <row r="168" spans="1:16" ht="15" thickBot="1" x14ac:dyDescent="0.35">
      <c r="A168" s="60" t="str">
        <f t="shared" si="46"/>
        <v>18(xii) Forecast operational expenditure</v>
      </c>
      <c r="B168" s="63">
        <f>ROW()</f>
        <v>168</v>
      </c>
      <c r="C168" s="33" t="s">
        <v>192</v>
      </c>
      <c r="D168" s="32"/>
      <c r="E168" s="32"/>
      <c r="F168" s="32"/>
      <c r="G168" s="32"/>
      <c r="H168" s="32"/>
    </row>
    <row r="169" spans="1:16" ht="15" thickBot="1" x14ac:dyDescent="0.35">
      <c r="A169" s="60" t="str">
        <f t="shared" si="46"/>
        <v>18(xii) Forecast operational expenditure</v>
      </c>
      <c r="B169" s="63">
        <f>ROW()</f>
        <v>169</v>
      </c>
      <c r="C169" s="33" t="s">
        <v>193</v>
      </c>
      <c r="D169" s="147">
        <f>SUM(D166:D168)</f>
        <v>0</v>
      </c>
      <c r="E169" s="148">
        <f t="shared" ref="E169:H169" si="47">SUM(E166:E168)</f>
        <v>0</v>
      </c>
      <c r="F169" s="148">
        <f t="shared" si="47"/>
        <v>0</v>
      </c>
      <c r="G169" s="148">
        <f>SUM(G166:G168)</f>
        <v>0</v>
      </c>
      <c r="H169" s="149">
        <f t="shared" si="47"/>
        <v>0</v>
      </c>
    </row>
    <row r="172" spans="1:16" ht="21" x14ac:dyDescent="0.4">
      <c r="A172" s="85" t="s">
        <v>194</v>
      </c>
    </row>
    <row r="173" spans="1:16" ht="43.2" x14ac:dyDescent="0.3">
      <c r="A173" s="58" t="s">
        <v>38</v>
      </c>
      <c r="B173" s="58" t="s">
        <v>39</v>
      </c>
      <c r="C173" s="72" t="s">
        <v>41</v>
      </c>
      <c r="D173" s="72" t="s">
        <v>44</v>
      </c>
      <c r="E173" s="72" t="s">
        <v>45</v>
      </c>
      <c r="F173" s="163" t="s">
        <v>46</v>
      </c>
      <c r="G173" s="72" t="s">
        <v>47</v>
      </c>
      <c r="H173" s="72" t="s">
        <v>48</v>
      </c>
    </row>
    <row r="174" spans="1:16" ht="14.4" x14ac:dyDescent="0.3">
      <c r="A174" s="60" t="str">
        <f>$A$172</f>
        <v>18(xiii) Forecast financial incentives</v>
      </c>
      <c r="B174" s="63">
        <f>ROW()</f>
        <v>174</v>
      </c>
      <c r="C174" s="45" t="s">
        <v>195</v>
      </c>
      <c r="D174" s="32"/>
      <c r="E174" s="32"/>
      <c r="F174" s="32"/>
      <c r="G174" s="32"/>
      <c r="H174" s="32"/>
    </row>
    <row r="175" spans="1:16" ht="15" thickBot="1" x14ac:dyDescent="0.35">
      <c r="A175" s="60" t="str">
        <f t="shared" ref="A175:A176" si="48">$A$172</f>
        <v>18(xiii) Forecast financial incentives</v>
      </c>
      <c r="B175" s="63">
        <f>ROW()</f>
        <v>175</v>
      </c>
      <c r="C175" s="33" t="s">
        <v>196</v>
      </c>
      <c r="D175" s="32"/>
      <c r="E175" s="32"/>
      <c r="F175" s="32"/>
      <c r="G175" s="32"/>
      <c r="H175" s="32"/>
    </row>
    <row r="176" spans="1:16" ht="15" thickBot="1" x14ac:dyDescent="0.35">
      <c r="A176" s="60" t="str">
        <f t="shared" si="48"/>
        <v>18(xiii) Forecast financial incentives</v>
      </c>
      <c r="B176" s="63">
        <f>ROW()</f>
        <v>176</v>
      </c>
      <c r="C176" s="33" t="s">
        <v>197</v>
      </c>
      <c r="D176" s="147">
        <f>SUM(D174:D175)</f>
        <v>0</v>
      </c>
      <c r="E176" s="148">
        <f t="shared" ref="E176:G176" si="49">SUM(E174:E175)</f>
        <v>0</v>
      </c>
      <c r="F176" s="148">
        <f t="shared" si="49"/>
        <v>0</v>
      </c>
      <c r="G176" s="148">
        <f t="shared" si="49"/>
        <v>0</v>
      </c>
      <c r="H176" s="149">
        <f>SUM(H174:H175)</f>
        <v>0</v>
      </c>
    </row>
    <row r="179" spans="1:11" ht="21" x14ac:dyDescent="0.4">
      <c r="A179" s="85" t="s">
        <v>198</v>
      </c>
    </row>
    <row r="180" spans="1:11" ht="28.8" x14ac:dyDescent="0.3">
      <c r="A180" s="21" t="s">
        <v>38</v>
      </c>
      <c r="B180" s="21" t="s">
        <v>39</v>
      </c>
      <c r="C180" s="64" t="s">
        <v>41</v>
      </c>
      <c r="D180" s="64" t="s">
        <v>106</v>
      </c>
      <c r="E180" s="64" t="s">
        <v>303</v>
      </c>
      <c r="F180" s="64" t="s">
        <v>199</v>
      </c>
      <c r="G180" s="72" t="s">
        <v>58</v>
      </c>
      <c r="H180" s="72" t="s">
        <v>61</v>
      </c>
      <c r="I180" s="72" t="s">
        <v>64</v>
      </c>
      <c r="J180" s="72" t="s">
        <v>66</v>
      </c>
      <c r="K180" s="72" t="s">
        <v>68</v>
      </c>
    </row>
    <row r="181" spans="1:11" ht="14.4" x14ac:dyDescent="0.3">
      <c r="A181" s="60" t="str">
        <f t="shared" ref="A181:A191" si="50">$A$179</f>
        <v>18(xiv) Forecast revaluations</v>
      </c>
      <c r="B181" s="63">
        <f>ROW()</f>
        <v>181</v>
      </c>
      <c r="C181" s="68" t="s">
        <v>200</v>
      </c>
      <c r="D181" s="68" t="s">
        <v>201</v>
      </c>
      <c r="E181" s="3" t="s">
        <v>202</v>
      </c>
      <c r="F181" s="47"/>
      <c r="G181" s="47"/>
      <c r="H181" s="47"/>
      <c r="I181" s="47"/>
      <c r="J181" s="47"/>
      <c r="K181" s="47"/>
    </row>
    <row r="182" spans="1:11" ht="14.4" x14ac:dyDescent="0.3">
      <c r="A182" s="60" t="str">
        <f t="shared" si="50"/>
        <v>18(xiv) Forecast revaluations</v>
      </c>
      <c r="B182" s="63">
        <f>ROW()</f>
        <v>182</v>
      </c>
      <c r="C182" s="68" t="s">
        <v>203</v>
      </c>
      <c r="D182" s="68" t="s">
        <v>204</v>
      </c>
      <c r="E182" s="3" t="s">
        <v>202</v>
      </c>
      <c r="F182" s="47"/>
      <c r="G182" s="47"/>
      <c r="H182" s="47"/>
      <c r="I182" s="47"/>
      <c r="J182" s="47"/>
      <c r="K182" s="47"/>
    </row>
    <row r="183" spans="1:11" ht="14.4" x14ac:dyDescent="0.3">
      <c r="A183" s="60" t="str">
        <f t="shared" si="50"/>
        <v>18(xiv) Forecast revaluations</v>
      </c>
      <c r="B183" s="63">
        <f>ROW()</f>
        <v>183</v>
      </c>
      <c r="C183" s="68" t="s">
        <v>203</v>
      </c>
      <c r="D183" s="68" t="s">
        <v>205</v>
      </c>
      <c r="E183" s="3" t="s">
        <v>202</v>
      </c>
      <c r="F183" s="47"/>
      <c r="G183" s="47"/>
      <c r="H183" s="47"/>
      <c r="I183" s="47"/>
      <c r="J183" s="47"/>
      <c r="K183" s="47"/>
    </row>
    <row r="184" spans="1:11" ht="14.4" x14ac:dyDescent="0.3">
      <c r="A184" s="60" t="str">
        <f t="shared" si="50"/>
        <v>18(xiv) Forecast revaluations</v>
      </c>
      <c r="B184" s="63">
        <f>ROW()</f>
        <v>184</v>
      </c>
      <c r="C184" s="68" t="s">
        <v>203</v>
      </c>
      <c r="D184" s="68" t="s">
        <v>206</v>
      </c>
      <c r="E184" s="3" t="s">
        <v>202</v>
      </c>
      <c r="F184" s="47"/>
      <c r="G184" s="47"/>
      <c r="H184" s="47"/>
      <c r="I184" s="47"/>
      <c r="J184" s="47"/>
      <c r="K184" s="47"/>
    </row>
    <row r="185" spans="1:11" ht="14.4" x14ac:dyDescent="0.3">
      <c r="A185" s="60" t="str">
        <f t="shared" si="50"/>
        <v>18(xiv) Forecast revaluations</v>
      </c>
      <c r="B185" s="63">
        <f>ROW()</f>
        <v>185</v>
      </c>
      <c r="C185" s="68" t="s">
        <v>203</v>
      </c>
      <c r="D185" s="68" t="s">
        <v>207</v>
      </c>
      <c r="E185" s="3" t="s">
        <v>202</v>
      </c>
      <c r="F185" s="47"/>
      <c r="G185" s="47"/>
      <c r="H185" s="47"/>
      <c r="I185" s="47"/>
      <c r="J185" s="47"/>
      <c r="K185" s="47"/>
    </row>
    <row r="186" spans="1:11" ht="14.4" x14ac:dyDescent="0.3">
      <c r="A186" s="60" t="str">
        <f t="shared" si="50"/>
        <v>18(xiv) Forecast revaluations</v>
      </c>
      <c r="B186" s="63">
        <f>ROW()</f>
        <v>186</v>
      </c>
      <c r="C186" s="68" t="s">
        <v>208</v>
      </c>
      <c r="D186" s="68" t="s">
        <v>204</v>
      </c>
      <c r="E186" s="3" t="s">
        <v>209</v>
      </c>
      <c r="F186" s="32"/>
      <c r="G186" s="32"/>
      <c r="H186" s="32"/>
      <c r="I186" s="32"/>
      <c r="J186" s="32"/>
      <c r="K186" s="32"/>
    </row>
    <row r="187" spans="1:11" ht="14.4" x14ac:dyDescent="0.3">
      <c r="A187" s="60" t="str">
        <f t="shared" si="50"/>
        <v>18(xiv) Forecast revaluations</v>
      </c>
      <c r="B187" s="63">
        <f>ROW()</f>
        <v>187</v>
      </c>
      <c r="C187" s="68" t="s">
        <v>208</v>
      </c>
      <c r="D187" s="68" t="s">
        <v>205</v>
      </c>
      <c r="E187" s="3" t="s">
        <v>209</v>
      </c>
      <c r="F187" s="32"/>
      <c r="G187" s="32"/>
      <c r="H187" s="32"/>
      <c r="I187" s="32"/>
      <c r="J187" s="32"/>
      <c r="K187" s="32"/>
    </row>
    <row r="188" spans="1:11" ht="14.4" x14ac:dyDescent="0.3">
      <c r="A188" s="60" t="str">
        <f t="shared" si="50"/>
        <v>18(xiv) Forecast revaluations</v>
      </c>
      <c r="B188" s="63">
        <f>ROW()</f>
        <v>188</v>
      </c>
      <c r="C188" s="68" t="s">
        <v>208</v>
      </c>
      <c r="D188" s="68" t="s">
        <v>206</v>
      </c>
      <c r="E188" s="3" t="s">
        <v>209</v>
      </c>
      <c r="F188" s="32"/>
      <c r="G188" s="32"/>
      <c r="H188" s="32"/>
      <c r="I188" s="32"/>
      <c r="J188" s="32"/>
      <c r="K188" s="32"/>
    </row>
    <row r="189" spans="1:11" ht="15" thickBot="1" x14ac:dyDescent="0.35">
      <c r="A189" s="60" t="str">
        <f t="shared" si="50"/>
        <v>18(xiv) Forecast revaluations</v>
      </c>
      <c r="B189" s="63">
        <f>ROW()</f>
        <v>189</v>
      </c>
      <c r="C189" s="68" t="s">
        <v>208</v>
      </c>
      <c r="D189" s="68" t="s">
        <v>207</v>
      </c>
      <c r="E189" s="3" t="s">
        <v>209</v>
      </c>
      <c r="F189" s="32"/>
      <c r="G189" s="32"/>
      <c r="H189" s="32"/>
      <c r="I189" s="32"/>
      <c r="J189" s="32"/>
      <c r="K189" s="32"/>
    </row>
    <row r="190" spans="1:11" ht="15" thickBot="1" x14ac:dyDescent="0.35">
      <c r="A190" s="60" t="str">
        <f t="shared" si="50"/>
        <v>18(xiv) Forecast revaluations</v>
      </c>
      <c r="B190" s="63">
        <f>ROW()</f>
        <v>190</v>
      </c>
      <c r="C190" s="68" t="s">
        <v>208</v>
      </c>
      <c r="D190" s="68" t="s">
        <v>210</v>
      </c>
      <c r="E190" s="3" t="s">
        <v>209</v>
      </c>
      <c r="F190" s="147">
        <f>SUM(F186:F189)</f>
        <v>0</v>
      </c>
      <c r="G190" s="148">
        <f t="shared" ref="G190:K190" si="51">SUM(G186:G189)</f>
        <v>0</v>
      </c>
      <c r="H190" s="148">
        <f t="shared" si="51"/>
        <v>0</v>
      </c>
      <c r="I190" s="148">
        <f>SUM(I186:I189)</f>
        <v>0</v>
      </c>
      <c r="J190" s="148">
        <f t="shared" si="51"/>
        <v>0</v>
      </c>
      <c r="K190" s="149">
        <f t="shared" si="51"/>
        <v>0</v>
      </c>
    </row>
    <row r="191" spans="1:11" ht="14.4" x14ac:dyDescent="0.3">
      <c r="A191" s="60" t="str">
        <f t="shared" si="50"/>
        <v>18(xiv) Forecast revaluations</v>
      </c>
      <c r="B191" s="63">
        <f>ROW()</f>
        <v>191</v>
      </c>
      <c r="C191" s="68" t="s">
        <v>208</v>
      </c>
      <c r="D191" s="68" t="s">
        <v>211</v>
      </c>
      <c r="E191" s="3" t="s">
        <v>209</v>
      </c>
      <c r="F191" s="32"/>
      <c r="G191" s="32"/>
      <c r="H191" s="32"/>
      <c r="I191" s="32"/>
      <c r="J191" s="32"/>
      <c r="K191" s="32"/>
    </row>
    <row r="194" spans="1:1" ht="21" x14ac:dyDescent="0.4">
      <c r="A194" s="85" t="s">
        <v>212</v>
      </c>
    </row>
    <row r="195" spans="1:1" x14ac:dyDescent="0.3">
      <c r="A195" s="171" t="s">
        <v>213</v>
      </c>
    </row>
  </sheetData>
  <phoneticPr fontId="32" type="noConversion"/>
  <pageMargins left="0.23622047244094491" right="0.23622047244094491" top="0.74803149606299213" bottom="0.74803149606299213" header="0.31496062992125984" footer="0.31496062992125984"/>
  <pageSetup paperSize="9" scale="30" fitToHeight="10" orientation="landscape" r:id="rId1"/>
  <ignoredErrors>
    <ignoredError sqref="A1" unlockedFormula="1"/>
    <ignoredError sqref="E9:E20 F7:F8 F17 F21:F23 G30:G32 D30:D32 F40" calculatedColumn="1"/>
  </ignoredErrors>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D553-D3E0-493C-B93B-3A502CAA5F5B}">
  <sheetPr>
    <tabColor theme="6" tint="-9.9978637043366805E-2"/>
    <pageSetUpPr fitToPage="1"/>
  </sheetPr>
  <dimension ref="A1:U97"/>
  <sheetViews>
    <sheetView showGridLines="0" view="pageBreakPreview" zoomScaleNormal="55" zoomScaleSheetLayoutView="100" workbookViewId="0">
      <selection activeCell="A4" sqref="A4"/>
    </sheetView>
  </sheetViews>
  <sheetFormatPr defaultRowHeight="13.8" x14ac:dyDescent="0.3"/>
  <cols>
    <col min="1" max="1" width="56.21875" style="40" customWidth="1"/>
    <col min="2" max="2" width="9.109375" style="40" bestFit="1" customWidth="1"/>
    <col min="3" max="3" width="47.5546875" style="40" customWidth="1"/>
    <col min="4" max="4" width="80.5546875" style="40" customWidth="1"/>
    <col min="5" max="5" width="123.109375" style="40" bestFit="1" customWidth="1"/>
    <col min="6" max="6" width="46.5546875" style="40" customWidth="1"/>
    <col min="7" max="7" width="35.77734375" style="40" customWidth="1"/>
    <col min="8" max="12" width="18.77734375" style="40" customWidth="1"/>
    <col min="13" max="15" width="8.5546875" style="40"/>
    <col min="16" max="16" width="8.5546875" style="40" customWidth="1"/>
    <col min="17" max="17" width="27.44140625" style="40" bestFit="1" customWidth="1"/>
    <col min="18" max="18" width="19.5546875" style="40" customWidth="1"/>
    <col min="19" max="19" width="22" style="40" bestFit="1" customWidth="1"/>
    <col min="20" max="20" width="13.77734375" style="40" customWidth="1"/>
    <col min="21" max="21" width="15.77734375" style="40" customWidth="1"/>
  </cols>
  <sheetData>
    <row r="1" spans="1:21" ht="27" customHeight="1" x14ac:dyDescent="0.3">
      <c r="A1" s="84" t="str">
        <f>company_name&amp;"    |     Pricing period starting year - "&amp;TEXT(pp_starting_year,"dd mmmm yyyy")&amp;"    |     Disclosure year - "&amp;TEXT('Pricing CoverSheet'!C10,"yyyy")</f>
        <v>[select name of the airport]    |     Pricing period starting year - 30 June 2023    |     Disclosure year - 2026</v>
      </c>
    </row>
    <row r="2" spans="1:21" ht="21" customHeight="1" x14ac:dyDescent="0.3">
      <c r="A2" s="84"/>
    </row>
    <row r="3" spans="1:21" ht="23.4" x14ac:dyDescent="0.3">
      <c r="A3" s="84" t="s">
        <v>214</v>
      </c>
    </row>
    <row r="4" spans="1:21" ht="21" x14ac:dyDescent="0.4">
      <c r="A4" s="85" t="s">
        <v>215</v>
      </c>
    </row>
    <row r="5" spans="1:21" ht="43.2" x14ac:dyDescent="0.3">
      <c r="A5" s="58" t="s">
        <v>38</v>
      </c>
      <c r="B5" s="58" t="s">
        <v>39</v>
      </c>
      <c r="C5" s="58" t="s">
        <v>40</v>
      </c>
      <c r="D5" s="72" t="s">
        <v>41</v>
      </c>
      <c r="E5" s="72" t="s">
        <v>42</v>
      </c>
      <c r="F5" s="72" t="s">
        <v>43</v>
      </c>
      <c r="G5" s="72" t="s">
        <v>44</v>
      </c>
      <c r="H5" s="163" t="s">
        <v>45</v>
      </c>
      <c r="I5" s="72" t="s">
        <v>46</v>
      </c>
      <c r="J5" s="72" t="s">
        <v>47</v>
      </c>
      <c r="K5" s="72" t="s">
        <v>48</v>
      </c>
      <c r="L5" s="72" t="s">
        <v>49</v>
      </c>
      <c r="P5" s="30" t="s">
        <v>50</v>
      </c>
      <c r="Q5" s="31"/>
      <c r="R5" s="31"/>
      <c r="S5" s="31"/>
      <c r="T5" s="25"/>
      <c r="U5" s="28"/>
    </row>
    <row r="6" spans="1:21" ht="14.4" x14ac:dyDescent="0.3">
      <c r="A6" s="63" t="str">
        <f>$A$4</f>
        <v>19(i): Forecast Internal Rate of Return</v>
      </c>
      <c r="B6" s="63">
        <f>ROW()</f>
        <v>6</v>
      </c>
      <c r="C6" s="20"/>
      <c r="D6" s="63" t="s">
        <v>216</v>
      </c>
      <c r="E6" s="159">
        <f>$D$48</f>
        <v>44743</v>
      </c>
      <c r="F6" s="95">
        <f>$F$90</f>
        <v>0</v>
      </c>
      <c r="G6" s="71"/>
      <c r="H6" s="71"/>
      <c r="I6" s="71"/>
      <c r="J6" s="71"/>
      <c r="K6" s="71"/>
      <c r="L6" s="71"/>
      <c r="P6" s="70"/>
      <c r="R6" s="40" t="s">
        <v>52</v>
      </c>
      <c r="T6" s="40" t="s">
        <v>53</v>
      </c>
      <c r="U6" s="12" t="s">
        <v>54</v>
      </c>
    </row>
    <row r="7" spans="1:21" ht="15" thickBot="1" x14ac:dyDescent="0.35">
      <c r="A7" s="63" t="str">
        <f t="shared" ref="A7:A23" si="0">$A$4</f>
        <v>19(i): Forecast Internal Rate of Return</v>
      </c>
      <c r="B7" s="63">
        <f>ROW()</f>
        <v>7</v>
      </c>
      <c r="C7" s="20"/>
      <c r="D7" s="63" t="s">
        <v>55</v>
      </c>
      <c r="E7" s="159">
        <f t="shared" ref="E7:E8" si="1">$D$48</f>
        <v>44743</v>
      </c>
      <c r="F7" s="137">
        <f>$F$31</f>
        <v>0</v>
      </c>
      <c r="G7" s="71"/>
      <c r="H7" s="71"/>
      <c r="I7" s="71"/>
      <c r="J7" s="71"/>
      <c r="K7" s="71"/>
      <c r="L7" s="71"/>
      <c r="P7" s="70"/>
      <c r="Q7" s="40" t="s">
        <v>56</v>
      </c>
      <c r="R7" s="2">
        <f>$D$48</f>
        <v>44743</v>
      </c>
      <c r="T7" s="2">
        <f>$D$48</f>
        <v>44743</v>
      </c>
      <c r="U7" s="96">
        <f>F17</f>
        <v>0</v>
      </c>
    </row>
    <row r="8" spans="1:21" ht="15" thickBot="1" x14ac:dyDescent="0.35">
      <c r="A8" s="63" t="str">
        <f t="shared" si="0"/>
        <v>19(i): Forecast Internal Rate of Return</v>
      </c>
      <c r="B8" s="63">
        <f>ROW()</f>
        <v>8</v>
      </c>
      <c r="C8" s="20"/>
      <c r="D8" s="63" t="s">
        <v>57</v>
      </c>
      <c r="E8" s="159">
        <f t="shared" si="1"/>
        <v>44743</v>
      </c>
      <c r="F8" s="138">
        <f>F6-F7</f>
        <v>0</v>
      </c>
      <c r="G8" s="71"/>
      <c r="H8" s="71"/>
      <c r="I8" s="71"/>
      <c r="J8" s="71"/>
      <c r="K8" s="71"/>
      <c r="L8" s="71"/>
      <c r="P8" s="70"/>
      <c r="Q8" s="40" t="s">
        <v>58</v>
      </c>
      <c r="R8" s="2">
        <f>IF(ISNUMBER(pp_starting_year),DATE(YEAR(pp_starting_year),MONTH(pp_starting_year),DAY(pp_starting_year)),"")</f>
        <v>45107</v>
      </c>
      <c r="S8" s="40" t="s">
        <v>53</v>
      </c>
      <c r="T8" s="2">
        <f>pp_starting_year-IF(ISNUMBER(E54),E54,E55)</f>
        <v>44925</v>
      </c>
      <c r="U8" s="96">
        <f>G18</f>
        <v>0</v>
      </c>
    </row>
    <row r="9" spans="1:21" ht="14.4" x14ac:dyDescent="0.3">
      <c r="A9" s="63" t="str">
        <f t="shared" si="0"/>
        <v>19(i): Forecast Internal Rate of Return</v>
      </c>
      <c r="B9" s="63">
        <f>ROW()</f>
        <v>9</v>
      </c>
      <c r="C9" s="56" t="s">
        <v>59</v>
      </c>
      <c r="D9" s="63" t="s">
        <v>217</v>
      </c>
      <c r="E9" s="67" t="str">
        <f>"(Starting year) " &amp; TEXT(pp_starting_year - IF(ISNUMBER($E$52), $E$52, $E$53), "d mmm yyyy")</f>
        <v>(Starting year) 2 Feb 2023</v>
      </c>
      <c r="F9" s="55"/>
      <c r="G9" s="66">
        <f>F64</f>
        <v>0</v>
      </c>
      <c r="H9" s="66">
        <f>G64</f>
        <v>0</v>
      </c>
      <c r="I9" s="66">
        <f>H64</f>
        <v>0</v>
      </c>
      <c r="J9" s="66">
        <f>I64</f>
        <v>0</v>
      </c>
      <c r="K9" s="66">
        <f>J64</f>
        <v>0</v>
      </c>
      <c r="L9" s="71"/>
      <c r="P9" s="70"/>
      <c r="Q9" s="40" t="s">
        <v>61</v>
      </c>
      <c r="R9" s="2">
        <f>IF(ISNUMBER(pp_starting_year),DATE(YEAR(pp_starting_year)+1,MONTH(pp_starting_year),DAY(pp_starting_year)),"")</f>
        <v>45473</v>
      </c>
      <c r="S9" s="40" t="s">
        <v>53</v>
      </c>
      <c r="T9" s="2">
        <f>EOMONTH(pp_starting_year,12)-IF(ISNUMBER($E$54),$E$54,$E$55)</f>
        <v>45291</v>
      </c>
      <c r="U9" s="96">
        <f>H18</f>
        <v>0</v>
      </c>
    </row>
    <row r="10" spans="1:21" ht="14.4" x14ac:dyDescent="0.3">
      <c r="A10" s="63" t="str">
        <f t="shared" si="0"/>
        <v>19(i): Forecast Internal Rate of Return</v>
      </c>
      <c r="B10" s="63">
        <f>ROW()</f>
        <v>10</v>
      </c>
      <c r="C10" s="56" t="s">
        <v>62</v>
      </c>
      <c r="D10" s="63" t="s">
        <v>63</v>
      </c>
      <c r="E10" s="67" t="str">
        <f>"(Starting year) " &amp; TEXT(pp_starting_year - IF(ISNUMBER($E$54), $E$54, $E$55), "d mmm yyyy")</f>
        <v>(Starting year) 30 Dec 2022</v>
      </c>
      <c r="F10" s="55"/>
      <c r="G10" s="66">
        <f>F93</f>
        <v>0</v>
      </c>
      <c r="H10" s="66">
        <f>G93</f>
        <v>0</v>
      </c>
      <c r="I10" s="66">
        <f t="shared" ref="I10:J10" si="2">H93</f>
        <v>0</v>
      </c>
      <c r="J10" s="66">
        <f t="shared" si="2"/>
        <v>0</v>
      </c>
      <c r="K10" s="66">
        <f>J93</f>
        <v>0</v>
      </c>
      <c r="L10" s="71"/>
      <c r="P10" s="70"/>
      <c r="Q10" s="40" t="s">
        <v>64</v>
      </c>
      <c r="R10" s="2">
        <f>IF(ISNUMBER(pp_starting_year),DATE(YEAR(pp_starting_year)+2,MONTH(pp_starting_year),DAY(pp_starting_year)),"")</f>
        <v>45838</v>
      </c>
      <c r="S10" s="40" t="s">
        <v>53</v>
      </c>
      <c r="T10" s="2">
        <f>EOMONTH(pp_starting_year,24)-IF(ISNUMBER($E$54),$E$54,$E$55)</f>
        <v>45656</v>
      </c>
      <c r="U10" s="96">
        <f>I18</f>
        <v>0</v>
      </c>
    </row>
    <row r="11" spans="1:21" ht="14.4" x14ac:dyDescent="0.3">
      <c r="A11" s="63" t="str">
        <f t="shared" si="0"/>
        <v>19(i): Forecast Internal Rate of Return</v>
      </c>
      <c r="B11" s="63">
        <f>ROW()</f>
        <v>11</v>
      </c>
      <c r="C11" s="56" t="s">
        <v>59</v>
      </c>
      <c r="D11" s="63" t="s">
        <v>65</v>
      </c>
      <c r="E11" s="67" t="str">
        <f>"(Starting year) " &amp; TEXT(pp_starting_year - IF(ISNUMBER($E$54), $E$54, $E$55), "d mmm yyyy")</f>
        <v>(Starting year) 30 Dec 2022</v>
      </c>
      <c r="F11" s="55"/>
      <c r="G11" s="32"/>
      <c r="H11" s="32"/>
      <c r="I11" s="32"/>
      <c r="J11" s="32"/>
      <c r="K11" s="32"/>
      <c r="L11" s="71"/>
      <c r="P11" s="70"/>
      <c r="Q11" s="40" t="s">
        <v>66</v>
      </c>
      <c r="R11" s="2">
        <f>IF(ISNUMBER(pp_starting_year),DATE(YEAR(pp_starting_year)+3,MONTH(pp_starting_year),DAY(pp_starting_year)),"")</f>
        <v>46203</v>
      </c>
      <c r="S11" s="40" t="s">
        <v>53</v>
      </c>
      <c r="T11" s="2">
        <f>EOMONTH(pp_starting_year,36)-IF(ISNUMBER($E$54),$E$54,$E$55)</f>
        <v>46021</v>
      </c>
      <c r="U11" s="96">
        <f>J18</f>
        <v>0</v>
      </c>
    </row>
    <row r="12" spans="1:21" ht="14.4" x14ac:dyDescent="0.3">
      <c r="A12" s="63" t="str">
        <f t="shared" si="0"/>
        <v>19(i): Forecast Internal Rate of Return</v>
      </c>
      <c r="B12" s="63">
        <f>ROW()</f>
        <v>12</v>
      </c>
      <c r="C12" s="56" t="s">
        <v>62</v>
      </c>
      <c r="D12" s="63" t="s">
        <v>67</v>
      </c>
      <c r="E12" s="67" t="str">
        <f>"(Starting year) " &amp; TEXT(pp_starting_year - IF(ISNUMBER($E$54), $E$54, $E$55), "d mmm yyyy")</f>
        <v>(Starting year) 30 Dec 2022</v>
      </c>
      <c r="F12" s="55"/>
      <c r="G12" s="66">
        <f>F65</f>
        <v>0</v>
      </c>
      <c r="H12" s="66">
        <f>G65</f>
        <v>0</v>
      </c>
      <c r="I12" s="66">
        <f>H65</f>
        <v>0</v>
      </c>
      <c r="J12" s="66">
        <f>I65</f>
        <v>0</v>
      </c>
      <c r="K12" s="66">
        <f>J65</f>
        <v>0</v>
      </c>
      <c r="L12" s="71"/>
      <c r="P12" s="70"/>
      <c r="Q12" s="40" t="s">
        <v>68</v>
      </c>
      <c r="R12" s="2">
        <f>IF(ISNUMBER(pp_starting_year),DATE(YEAR(pp_starting_year)+4,MONTH(pp_starting_year),DAY(pp_starting_year)),"")</f>
        <v>46568</v>
      </c>
      <c r="S12" s="40" t="s">
        <v>53</v>
      </c>
      <c r="T12" s="2">
        <f>EOMONTH(pp_starting_year,48)-IF(ISNUMBER($E$54),$E$54,$E$55)</f>
        <v>46386</v>
      </c>
      <c r="U12" s="96">
        <f>K18</f>
        <v>0</v>
      </c>
    </row>
    <row r="13" spans="1:21" ht="14.4" x14ac:dyDescent="0.3">
      <c r="A13" s="63" t="str">
        <f t="shared" si="0"/>
        <v>19(i): Forecast Internal Rate of Return</v>
      </c>
      <c r="B13" s="63">
        <f>ROW()</f>
        <v>13</v>
      </c>
      <c r="C13" s="56" t="s">
        <v>62</v>
      </c>
      <c r="D13" s="63" t="s">
        <v>69</v>
      </c>
      <c r="E13" s="67" t="str">
        <f>"(Starting year) " &amp; TEXT(pp_starting_year - IF(ISNUMBER($E$54), $E$54, $E$55), "d mmm yyyy")</f>
        <v>(Starting year) 30 Dec 2022</v>
      </c>
      <c r="F13" s="55"/>
      <c r="G13" s="66">
        <f>F67</f>
        <v>0</v>
      </c>
      <c r="H13" s="66">
        <f>G67</f>
        <v>0</v>
      </c>
      <c r="I13" s="66">
        <f>H67</f>
        <v>0</v>
      </c>
      <c r="J13" s="66">
        <f>I67</f>
        <v>0</v>
      </c>
      <c r="K13" s="66">
        <f>J67</f>
        <v>0</v>
      </c>
      <c r="L13" s="71"/>
      <c r="P13" s="70"/>
      <c r="Q13" s="40" t="s">
        <v>58</v>
      </c>
      <c r="R13" s="2">
        <f>IF(ISNUMBER(pp_starting_year),DATE(YEAR(pp_starting_year),MONTH(pp_starting_year),DAY(pp_starting_year)),"")</f>
        <v>45107</v>
      </c>
      <c r="S13" s="40" t="s">
        <v>70</v>
      </c>
      <c r="T13" s="2">
        <f>pp_starting_year-IF(ISNUMBER(E52),E52,E53)</f>
        <v>44959</v>
      </c>
      <c r="U13" s="96">
        <f>G19</f>
        <v>0</v>
      </c>
    </row>
    <row r="14" spans="1:21" ht="14.4" x14ac:dyDescent="0.3">
      <c r="A14" s="63" t="str">
        <f t="shared" si="0"/>
        <v>19(i): Forecast Internal Rate of Return</v>
      </c>
      <c r="B14" s="63">
        <f>ROW()</f>
        <v>14</v>
      </c>
      <c r="C14" s="20"/>
      <c r="D14" s="63" t="s">
        <v>71</v>
      </c>
      <c r="E14" s="159">
        <f>EOMONTH(pp_starting_year,48)</f>
        <v>46568</v>
      </c>
      <c r="F14" s="55"/>
      <c r="G14" s="71"/>
      <c r="H14" s="71"/>
      <c r="I14" s="71"/>
      <c r="J14" s="71"/>
      <c r="K14" s="71"/>
      <c r="L14" s="66">
        <f>J96</f>
        <v>0</v>
      </c>
      <c r="P14" s="70"/>
      <c r="Q14" s="40" t="s">
        <v>61</v>
      </c>
      <c r="R14" s="2">
        <f>IF(ISNUMBER(pp_starting_year),DATE(YEAR(pp_starting_year)+1,MONTH(pp_starting_year),DAY(pp_starting_year)),"")</f>
        <v>45473</v>
      </c>
      <c r="S14" s="40" t="s">
        <v>70</v>
      </c>
      <c r="T14" s="2">
        <f>EOMONTH(pp_starting_year,12)-IF(ISNUMBER($E$52),$E$52,$E$53)</f>
        <v>45325</v>
      </c>
      <c r="U14" s="96">
        <f>H19</f>
        <v>0</v>
      </c>
    </row>
    <row r="15" spans="1:21" ht="15" thickBot="1" x14ac:dyDescent="0.35">
      <c r="A15" s="63" t="str">
        <f t="shared" si="0"/>
        <v>19(i): Forecast Internal Rate of Return</v>
      </c>
      <c r="B15" s="63">
        <f>ROW()</f>
        <v>15</v>
      </c>
      <c r="C15" s="20"/>
      <c r="D15" s="63" t="s">
        <v>72</v>
      </c>
      <c r="E15" s="159">
        <f>EOMONTH(pp_starting_year,48)</f>
        <v>46568</v>
      </c>
      <c r="F15" s="55"/>
      <c r="G15" s="71"/>
      <c r="H15" s="71"/>
      <c r="I15" s="71"/>
      <c r="J15" s="71"/>
      <c r="K15" s="71"/>
      <c r="L15" s="137">
        <f>D37</f>
        <v>0</v>
      </c>
      <c r="P15" s="70"/>
      <c r="Q15" s="40" t="s">
        <v>64</v>
      </c>
      <c r="R15" s="2">
        <f>IF(ISNUMBER(pp_starting_year),DATE(YEAR(pp_starting_year)+2,MONTH(pp_starting_year),DAY(pp_starting_year)),"")</f>
        <v>45838</v>
      </c>
      <c r="S15" s="40" t="s">
        <v>70</v>
      </c>
      <c r="T15" s="2">
        <f>EOMONTH(pp_starting_year,24)-IF(ISNUMBER($E$52),$E$52,$E$53)</f>
        <v>45690</v>
      </c>
      <c r="U15" s="96">
        <f>I19</f>
        <v>0</v>
      </c>
    </row>
    <row r="16" spans="1:21" ht="15" thickBot="1" x14ac:dyDescent="0.35">
      <c r="A16" s="63" t="str">
        <f t="shared" si="0"/>
        <v>19(i): Forecast Internal Rate of Return</v>
      </c>
      <c r="B16" s="63">
        <f>ROW()</f>
        <v>16</v>
      </c>
      <c r="C16" s="20"/>
      <c r="D16" s="63" t="s">
        <v>73</v>
      </c>
      <c r="E16" s="159">
        <f>EOMONTH(pp_starting_year,48)</f>
        <v>46568</v>
      </c>
      <c r="F16" s="55"/>
      <c r="G16" s="71"/>
      <c r="H16" s="71"/>
      <c r="I16" s="71"/>
      <c r="J16" s="71"/>
      <c r="K16" s="71"/>
      <c r="L16" s="138">
        <f>L14-L15</f>
        <v>0</v>
      </c>
      <c r="P16" s="70"/>
      <c r="Q16" s="40" t="s">
        <v>66</v>
      </c>
      <c r="R16" s="2">
        <f>IF(ISNUMBER(pp_starting_year),DATE(YEAR(pp_starting_year)+3,MONTH(pp_starting_year),DAY(pp_starting_year)),"")</f>
        <v>46203</v>
      </c>
      <c r="S16" s="40" t="s">
        <v>70</v>
      </c>
      <c r="T16" s="2">
        <f>EOMONTH(pp_starting_year,36)-IF(ISNUMBER($E$52),$E$52,$E$53)</f>
        <v>46055</v>
      </c>
      <c r="U16" s="96">
        <f>J19</f>
        <v>0</v>
      </c>
    </row>
    <row r="17" spans="1:21" ht="14.4" x14ac:dyDescent="0.3">
      <c r="A17" s="63" t="str">
        <f t="shared" si="0"/>
        <v>19(i): Forecast Internal Rate of Return</v>
      </c>
      <c r="B17" s="63">
        <f>ROW()</f>
        <v>17</v>
      </c>
      <c r="C17" s="20"/>
      <c r="D17" s="63" t="s">
        <v>74</v>
      </c>
      <c r="E17" s="159">
        <f>$D$48</f>
        <v>44743</v>
      </c>
      <c r="F17" s="66">
        <f>-F8</f>
        <v>0</v>
      </c>
      <c r="G17" s="71"/>
      <c r="H17" s="71"/>
      <c r="I17" s="71"/>
      <c r="J17" s="71"/>
      <c r="K17" s="71"/>
      <c r="L17" s="71"/>
      <c r="P17" s="70"/>
      <c r="Q17" s="40" t="s">
        <v>68</v>
      </c>
      <c r="R17" s="2">
        <f>IF(ISNUMBER(pp_starting_year),DATE(YEAR(pp_starting_year)+4,MONTH(pp_starting_year),DAY(pp_starting_year)),"")</f>
        <v>46568</v>
      </c>
      <c r="S17" s="40" t="s">
        <v>70</v>
      </c>
      <c r="T17" s="2">
        <f>EOMONTH(pp_starting_year,48)-IF(ISNUMBER($E$52),$E$52,$E$53)</f>
        <v>46420</v>
      </c>
      <c r="U17" s="96">
        <f>K19</f>
        <v>0</v>
      </c>
    </row>
    <row r="18" spans="1:21" ht="14.4" x14ac:dyDescent="0.3">
      <c r="A18" s="63" t="str">
        <f t="shared" si="0"/>
        <v>19(i): Forecast Internal Rate of Return</v>
      </c>
      <c r="B18" s="63">
        <f>ROW()</f>
        <v>18</v>
      </c>
      <c r="C18" s="20"/>
      <c r="D18" s="63" t="s">
        <v>74</v>
      </c>
      <c r="E18" s="67" t="str">
        <f>"(Starting year) " &amp; TEXT(pp_starting_year- IF(ISNUMBER($E$54), $E$54, $E$55), "d mmm yyyy")</f>
        <v>(Starting year) 30 Dec 2022</v>
      </c>
      <c r="F18" s="71"/>
      <c r="G18" s="66">
        <f>-G10+G11-G12-G13</f>
        <v>0</v>
      </c>
      <c r="H18" s="66">
        <f t="shared" ref="H18:J18" si="3">-H10+H11-H12-H13</f>
        <v>0</v>
      </c>
      <c r="I18" s="66">
        <f t="shared" si="3"/>
        <v>0</v>
      </c>
      <c r="J18" s="66">
        <f t="shared" si="3"/>
        <v>0</v>
      </c>
      <c r="K18" s="66">
        <f>-K10+K11-K12-K13</f>
        <v>0</v>
      </c>
      <c r="L18" s="71"/>
      <c r="P18" s="70"/>
      <c r="Q18" s="40" t="s">
        <v>75</v>
      </c>
      <c r="R18" s="2">
        <f>EOMONTH(pp_starting_year,48)</f>
        <v>46568</v>
      </c>
      <c r="T18" s="2">
        <f>EOMONTH(pp_starting_year,48)</f>
        <v>46568</v>
      </c>
      <c r="U18" s="96">
        <f>L20</f>
        <v>0</v>
      </c>
    </row>
    <row r="19" spans="1:21" ht="14.4" x14ac:dyDescent="0.3">
      <c r="A19" s="63" t="str">
        <f t="shared" si="0"/>
        <v>19(i): Forecast Internal Rate of Return</v>
      </c>
      <c r="B19" s="63">
        <f>ROW()</f>
        <v>19</v>
      </c>
      <c r="C19" s="20"/>
      <c r="D19" s="63" t="s">
        <v>74</v>
      </c>
      <c r="E19" s="67" t="str">
        <f>"(Starting year) " &amp; TEXT(pp_starting_year - IF(ISNUMBER($E$52), $E$52, $E$53), "d mmm yyyy")</f>
        <v>(Starting year) 2 Feb 2023</v>
      </c>
      <c r="F19" s="71"/>
      <c r="G19" s="66">
        <f>G9</f>
        <v>0</v>
      </c>
      <c r="H19" s="66">
        <f t="shared" ref="H19:I19" si="4">H9</f>
        <v>0</v>
      </c>
      <c r="I19" s="66">
        <f t="shared" si="4"/>
        <v>0</v>
      </c>
      <c r="J19" s="66">
        <f>J9</f>
        <v>0</v>
      </c>
      <c r="K19" s="66">
        <f>K9</f>
        <v>0</v>
      </c>
      <c r="L19" s="71"/>
      <c r="P19" s="7"/>
      <c r="Q19" s="6"/>
      <c r="R19" s="6"/>
      <c r="S19" s="6"/>
      <c r="T19" s="6"/>
      <c r="U19" s="5"/>
    </row>
    <row r="20" spans="1:21" ht="15" thickBot="1" x14ac:dyDescent="0.35">
      <c r="A20" s="63" t="str">
        <f t="shared" si="0"/>
        <v>19(i): Forecast Internal Rate of Return</v>
      </c>
      <c r="B20" s="36">
        <f>ROW()</f>
        <v>20</v>
      </c>
      <c r="C20" s="62"/>
      <c r="D20" s="36" t="s">
        <v>74</v>
      </c>
      <c r="E20" s="159">
        <f>EOMONTH(pp_starting_year,48)</f>
        <v>46568</v>
      </c>
      <c r="F20" s="71"/>
      <c r="G20" s="71"/>
      <c r="H20" s="71"/>
      <c r="I20" s="71"/>
      <c r="J20" s="71"/>
      <c r="K20" s="71"/>
      <c r="L20" s="66">
        <f>L16</f>
        <v>0</v>
      </c>
    </row>
    <row r="21" spans="1:21" ht="15" thickBot="1" x14ac:dyDescent="0.35">
      <c r="A21" s="63" t="str">
        <f t="shared" si="0"/>
        <v>19(i): Forecast Internal Rate of Return</v>
      </c>
      <c r="B21" s="63">
        <f>ROW()</f>
        <v>21</v>
      </c>
      <c r="C21" s="20"/>
      <c r="D21" s="54" t="str">
        <f>"Forcast post-tax IRR as at "&amp;TEXT(E6,"dd mmmm yyy")</f>
        <v>Forcast post-tax IRR as at 01 July 2022</v>
      </c>
      <c r="E21" s="160">
        <f>$D$48</f>
        <v>44743</v>
      </c>
      <c r="F21" s="22" t="str">
        <f>IFERROR(XIRR(U7:U18,T7:T18,7%),"")</f>
        <v/>
      </c>
      <c r="G21" s="29"/>
      <c r="H21" s="29"/>
      <c r="I21" s="29"/>
      <c r="J21" s="29"/>
      <c r="K21" s="29"/>
      <c r="L21" s="29"/>
    </row>
    <row r="22" spans="1:21" ht="14.4" x14ac:dyDescent="0.3">
      <c r="A22" s="63" t="str">
        <f t="shared" si="0"/>
        <v>19(i): Forecast Internal Rate of Return</v>
      </c>
      <c r="B22" s="63">
        <f>ROW()</f>
        <v>22</v>
      </c>
      <c r="C22" s="20"/>
      <c r="D22" s="63" t="s">
        <v>77</v>
      </c>
      <c r="E22" s="159">
        <f>$D$48</f>
        <v>44743</v>
      </c>
      <c r="F22" s="97">
        <f>IFERROR(XNPV(F21,U7:U18,T7:T18),0)</f>
        <v>0</v>
      </c>
      <c r="G22" s="29"/>
      <c r="H22" s="29"/>
      <c r="I22" s="29"/>
      <c r="J22" s="29"/>
      <c r="K22" s="29"/>
      <c r="L22" s="29"/>
    </row>
    <row r="23" spans="1:21" ht="14.4" x14ac:dyDescent="0.3">
      <c r="A23" s="63" t="str">
        <f t="shared" si="0"/>
        <v>19(i): Forecast Internal Rate of Return</v>
      </c>
      <c r="B23" s="36">
        <f>ROW()</f>
        <v>23</v>
      </c>
      <c r="C23" s="62"/>
      <c r="D23" s="36" t="s">
        <v>78</v>
      </c>
      <c r="E23" s="159">
        <f>$D$48</f>
        <v>44743</v>
      </c>
      <c r="F23" s="24" t="str">
        <f>IF(ABS(F22)&lt;0.01,"OK","ERROR")</f>
        <v>OK</v>
      </c>
      <c r="G23" s="29"/>
      <c r="H23" s="29"/>
      <c r="I23" s="29"/>
      <c r="J23" s="29"/>
      <c r="K23" s="29"/>
      <c r="L23" s="29"/>
    </row>
    <row r="26" spans="1:21" ht="21" x14ac:dyDescent="0.4">
      <c r="A26" s="85" t="s">
        <v>218</v>
      </c>
    </row>
    <row r="27" spans="1:21" ht="56.1" customHeight="1" x14ac:dyDescent="0.3">
      <c r="A27" s="21" t="s">
        <v>38</v>
      </c>
      <c r="B27" s="21" t="s">
        <v>39</v>
      </c>
      <c r="C27" s="64" t="s">
        <v>41</v>
      </c>
      <c r="D27" s="64" t="s">
        <v>219</v>
      </c>
      <c r="E27" s="64" t="s">
        <v>88</v>
      </c>
      <c r="F27" s="164" t="s">
        <v>220</v>
      </c>
      <c r="G27" s="64" t="s">
        <v>90</v>
      </c>
    </row>
    <row r="28" spans="1:21" ht="56.55" customHeight="1" x14ac:dyDescent="0.3">
      <c r="A28" s="39" t="str">
        <f t="shared" ref="A28:A31" si="5">$A$26</f>
        <v>19(ii): Opening carry forward adjustment</v>
      </c>
      <c r="B28" s="39">
        <f>ROW()</f>
        <v>28</v>
      </c>
      <c r="C28" s="39" t="s">
        <v>92</v>
      </c>
      <c r="D28" s="32"/>
      <c r="E28" s="32"/>
      <c r="F28" s="97">
        <f>D28+E28</f>
        <v>0</v>
      </c>
      <c r="G28" s="98"/>
    </row>
    <row r="29" spans="1:21" ht="56.55" customHeight="1" x14ac:dyDescent="0.3">
      <c r="A29" s="63" t="str">
        <f t="shared" si="5"/>
        <v>19(ii): Opening carry forward adjustment</v>
      </c>
      <c r="B29" s="63">
        <f>ROW()</f>
        <v>29</v>
      </c>
      <c r="C29" s="63" t="s">
        <v>93</v>
      </c>
      <c r="D29" s="32"/>
      <c r="E29" s="32"/>
      <c r="F29" s="66">
        <f t="shared" ref="F29" si="6">D29+E29</f>
        <v>0</v>
      </c>
      <c r="G29" s="98"/>
    </row>
    <row r="30" spans="1:21" ht="56.55" customHeight="1" thickBot="1" x14ac:dyDescent="0.35">
      <c r="A30" s="39" t="str">
        <f t="shared" si="5"/>
        <v>19(ii): Opening carry forward adjustment</v>
      </c>
      <c r="B30" s="39">
        <f>ROW()</f>
        <v>30</v>
      </c>
      <c r="C30" s="39" t="s">
        <v>94</v>
      </c>
      <c r="D30" s="32"/>
      <c r="E30" s="32"/>
      <c r="F30" s="137">
        <f>D30+E30</f>
        <v>0</v>
      </c>
      <c r="G30" s="98"/>
    </row>
    <row r="31" spans="1:21" ht="15" thickBot="1" x14ac:dyDescent="0.35">
      <c r="A31" s="63" t="str">
        <f t="shared" si="5"/>
        <v>19(ii): Opening carry forward adjustment</v>
      </c>
      <c r="B31" s="63">
        <f>ROW()</f>
        <v>31</v>
      </c>
      <c r="C31" s="63" t="s">
        <v>55</v>
      </c>
      <c r="D31" s="147">
        <f>SUM(D28:D30)</f>
        <v>0</v>
      </c>
      <c r="E31" s="148">
        <f t="shared" ref="E31" si="7">SUM(E28:E30)</f>
        <v>0</v>
      </c>
      <c r="F31" s="149">
        <f>SUM(F28:F30)</f>
        <v>0</v>
      </c>
      <c r="G31" s="71"/>
    </row>
    <row r="32" spans="1:21" ht="14.4" x14ac:dyDescent="0.3">
      <c r="A32" s="34" t="s">
        <v>128</v>
      </c>
      <c r="B32" s="17"/>
      <c r="C32" s="17"/>
      <c r="D32" s="41"/>
      <c r="E32" s="41"/>
      <c r="F32" s="150"/>
      <c r="G32" s="8"/>
    </row>
    <row r="35" spans="1:5" ht="21" x14ac:dyDescent="0.4">
      <c r="A35" s="85" t="s">
        <v>221</v>
      </c>
    </row>
    <row r="36" spans="1:5" ht="28.8" x14ac:dyDescent="0.3">
      <c r="A36" s="58" t="s">
        <v>38</v>
      </c>
      <c r="B36" s="58" t="s">
        <v>39</v>
      </c>
      <c r="C36" s="64" t="s">
        <v>97</v>
      </c>
      <c r="D36" s="165" t="s">
        <v>222</v>
      </c>
      <c r="E36" s="164" t="s">
        <v>90</v>
      </c>
    </row>
    <row r="37" spans="1:5" ht="14.4" x14ac:dyDescent="0.3">
      <c r="A37" s="63" t="str">
        <f t="shared" ref="A37:A41" si="8">$A$35</f>
        <v>19(iii): Forecast closing carry forward adjustment</v>
      </c>
      <c r="B37" s="63">
        <f>ROW()</f>
        <v>37</v>
      </c>
      <c r="C37" s="63" t="s">
        <v>99</v>
      </c>
      <c r="D37" s="66">
        <f>SUM(D38:D41)</f>
        <v>0</v>
      </c>
      <c r="E37" s="71"/>
    </row>
    <row r="38" spans="1:5" ht="50.1" customHeight="1" x14ac:dyDescent="0.3">
      <c r="A38" s="63" t="str">
        <f>$A$35</f>
        <v>19(iii): Forecast closing carry forward adjustment</v>
      </c>
      <c r="B38" s="63">
        <f>ROW()</f>
        <v>38</v>
      </c>
      <c r="C38" s="98"/>
      <c r="D38" s="32"/>
      <c r="E38" s="98"/>
    </row>
    <row r="39" spans="1:5" ht="50.1" customHeight="1" x14ac:dyDescent="0.3">
      <c r="A39" s="63" t="str">
        <f>$A$35</f>
        <v>19(iii): Forecast closing carry forward adjustment</v>
      </c>
      <c r="B39" s="63">
        <f>ROW()</f>
        <v>39</v>
      </c>
      <c r="C39" s="98"/>
      <c r="D39" s="32"/>
      <c r="E39" s="98"/>
    </row>
    <row r="40" spans="1:5" ht="50.1" customHeight="1" x14ac:dyDescent="0.3">
      <c r="A40" s="63" t="str">
        <f t="shared" si="8"/>
        <v>19(iii): Forecast closing carry forward adjustment</v>
      </c>
      <c r="B40" s="63">
        <f>ROW()</f>
        <v>40</v>
      </c>
      <c r="C40" s="98"/>
      <c r="D40" s="32"/>
      <c r="E40" s="98"/>
    </row>
    <row r="41" spans="1:5" ht="50.1" customHeight="1" x14ac:dyDescent="0.3">
      <c r="A41" s="63" t="str">
        <f t="shared" si="8"/>
        <v>19(iii): Forecast closing carry forward adjustment</v>
      </c>
      <c r="B41" s="63">
        <f>ROW()</f>
        <v>41</v>
      </c>
      <c r="C41" s="98"/>
      <c r="D41" s="32"/>
      <c r="E41" s="98"/>
    </row>
    <row r="42" spans="1:5" x14ac:dyDescent="0.3">
      <c r="A42" s="34" t="s">
        <v>100</v>
      </c>
      <c r="B42" s="17"/>
      <c r="C42" s="17"/>
      <c r="D42" s="99"/>
      <c r="E42" s="99"/>
    </row>
    <row r="45" spans="1:5" ht="21" x14ac:dyDescent="0.4">
      <c r="A45" s="85" t="s">
        <v>223</v>
      </c>
    </row>
    <row r="46" spans="1:5" ht="14.4" x14ac:dyDescent="0.3">
      <c r="A46" s="51" t="s">
        <v>38</v>
      </c>
      <c r="B46" s="21" t="s">
        <v>39</v>
      </c>
      <c r="C46" s="64" t="s">
        <v>102</v>
      </c>
      <c r="D46" s="64" t="s">
        <v>81</v>
      </c>
    </row>
    <row r="47" spans="1:5" ht="14.4" x14ac:dyDescent="0.3">
      <c r="A47" s="63" t="str">
        <f t="shared" ref="A47:A48" si="9">$A$45</f>
        <v>19(iv): Cash flow timing assumptions</v>
      </c>
      <c r="B47" s="63">
        <f>ROW()</f>
        <v>47</v>
      </c>
      <c r="C47" s="63" t="s">
        <v>103</v>
      </c>
      <c r="D47" s="15">
        <f>IF(ISNUMBER('Pricing CoverSheet'!$C$13),'Pricing CoverSheet'!$C$13,"")</f>
        <v>46203</v>
      </c>
    </row>
    <row r="48" spans="1:5" ht="14.4" x14ac:dyDescent="0.3">
      <c r="A48" s="63" t="str">
        <f t="shared" si="9"/>
        <v>19(iv): Cash flow timing assumptions</v>
      </c>
      <c r="B48" s="63">
        <f>ROW()</f>
        <v>48</v>
      </c>
      <c r="C48" s="63" t="s">
        <v>104</v>
      </c>
      <c r="D48" s="15">
        <f>'S18.Total revenue requirement'!$D$57</f>
        <v>44743</v>
      </c>
    </row>
    <row r="50" spans="1:10" ht="21" x14ac:dyDescent="0.4">
      <c r="A50" s="85" t="s">
        <v>224</v>
      </c>
    </row>
    <row r="51" spans="1:10" ht="14.4" x14ac:dyDescent="0.3">
      <c r="A51" s="51" t="s">
        <v>38</v>
      </c>
      <c r="B51" s="21" t="s">
        <v>39</v>
      </c>
      <c r="C51" s="64" t="s">
        <v>102</v>
      </c>
      <c r="D51" s="64" t="s">
        <v>106</v>
      </c>
      <c r="E51" s="18" t="s">
        <v>107</v>
      </c>
    </row>
    <row r="52" spans="1:10" ht="14.4" x14ac:dyDescent="0.3">
      <c r="A52" s="63" t="str">
        <f t="shared" ref="A52:A55" si="10">$A$50</f>
        <v>19(iv): Cash flow timing assumptions: Days from year end</v>
      </c>
      <c r="B52" s="63">
        <f>ROW()</f>
        <v>52</v>
      </c>
      <c r="C52" s="63" t="s">
        <v>108</v>
      </c>
      <c r="D52" s="68" t="s">
        <v>109</v>
      </c>
      <c r="E52" s="32"/>
    </row>
    <row r="53" spans="1:10" ht="14.4" x14ac:dyDescent="0.3">
      <c r="A53" s="63" t="str">
        <f t="shared" si="10"/>
        <v>19(iv): Cash flow timing assumptions: Days from year end</v>
      </c>
      <c r="B53" s="63">
        <f>ROW()</f>
        <v>53</v>
      </c>
      <c r="C53" s="63" t="s">
        <v>108</v>
      </c>
      <c r="D53" s="68" t="s">
        <v>110</v>
      </c>
      <c r="E53" s="32">
        <v>148</v>
      </c>
    </row>
    <row r="54" spans="1:10" ht="14.4" x14ac:dyDescent="0.3">
      <c r="A54" s="63" t="str">
        <f t="shared" si="10"/>
        <v>19(iv): Cash flow timing assumptions: Days from year end</v>
      </c>
      <c r="B54" s="63">
        <f>ROW()</f>
        <v>54</v>
      </c>
      <c r="C54" s="63" t="s">
        <v>111</v>
      </c>
      <c r="D54" s="68" t="s">
        <v>109</v>
      </c>
      <c r="E54" s="32"/>
    </row>
    <row r="55" spans="1:10" ht="14.4" x14ac:dyDescent="0.3">
      <c r="A55" s="36" t="str">
        <f t="shared" si="10"/>
        <v>19(iv): Cash flow timing assumptions: Days from year end</v>
      </c>
      <c r="B55" s="36">
        <f>ROW()</f>
        <v>55</v>
      </c>
      <c r="C55" s="36" t="s">
        <v>112</v>
      </c>
      <c r="D55" s="68" t="s">
        <v>110</v>
      </c>
      <c r="E55" s="32">
        <v>182</v>
      </c>
    </row>
    <row r="56" spans="1:10" x14ac:dyDescent="0.3">
      <c r="A56" s="34" t="s">
        <v>113</v>
      </c>
      <c r="B56" s="17"/>
      <c r="C56" s="17"/>
      <c r="D56" s="38"/>
      <c r="E56" s="13"/>
    </row>
    <row r="59" spans="1:10" ht="21" x14ac:dyDescent="0.4">
      <c r="A59" s="85" t="s">
        <v>225</v>
      </c>
    </row>
    <row r="60" spans="1:10" ht="43.2" x14ac:dyDescent="0.3">
      <c r="A60" s="58" t="s">
        <v>38</v>
      </c>
      <c r="B60" s="58" t="s">
        <v>39</v>
      </c>
      <c r="C60" s="72" t="s">
        <v>40</v>
      </c>
      <c r="D60" s="72" t="s">
        <v>41</v>
      </c>
      <c r="E60" s="72" t="s">
        <v>106</v>
      </c>
      <c r="F60" s="72" t="s">
        <v>44</v>
      </c>
      <c r="G60" s="23" t="s">
        <v>45</v>
      </c>
      <c r="H60" s="72" t="s">
        <v>46</v>
      </c>
      <c r="I60" s="72" t="s">
        <v>47</v>
      </c>
      <c r="J60" s="72" t="s">
        <v>48</v>
      </c>
    </row>
    <row r="61" spans="1:10" ht="14.4" x14ac:dyDescent="0.3">
      <c r="A61" s="63" t="str">
        <f t="shared" ref="A61:A73" si="11">$A$59</f>
        <v>19(v): Total Revenue Requirement for Pricing Assets</v>
      </c>
      <c r="B61" s="63">
        <f>ROW()</f>
        <v>61</v>
      </c>
      <c r="C61" s="49"/>
      <c r="D61" s="37" t="s">
        <v>292</v>
      </c>
      <c r="E61" s="45" t="s">
        <v>226</v>
      </c>
      <c r="F61" s="32"/>
      <c r="G61" s="32"/>
      <c r="H61" s="32"/>
      <c r="I61" s="32"/>
      <c r="J61" s="32"/>
    </row>
    <row r="62" spans="1:10" ht="14.55" customHeight="1" x14ac:dyDescent="0.3">
      <c r="A62" s="63" t="str">
        <f t="shared" si="11"/>
        <v>19(v): Total Revenue Requirement for Pricing Assets</v>
      </c>
      <c r="B62" s="63">
        <f>ROW()</f>
        <v>62</v>
      </c>
      <c r="C62" s="49"/>
      <c r="D62" s="37" t="s">
        <v>292</v>
      </c>
      <c r="E62" s="33" t="s">
        <v>227</v>
      </c>
      <c r="F62" s="32"/>
      <c r="G62" s="32"/>
      <c r="H62" s="32"/>
      <c r="I62" s="32"/>
      <c r="J62" s="32"/>
    </row>
    <row r="63" spans="1:10" ht="14.55" customHeight="1" x14ac:dyDescent="0.3">
      <c r="A63" s="63" t="str">
        <f t="shared" si="11"/>
        <v>19(v): Total Revenue Requirement for Pricing Assets</v>
      </c>
      <c r="B63" s="63">
        <f>ROW()</f>
        <v>63</v>
      </c>
      <c r="C63" s="49" t="s">
        <v>59</v>
      </c>
      <c r="D63" s="37" t="s">
        <v>292</v>
      </c>
      <c r="E63" s="33" t="s">
        <v>228</v>
      </c>
      <c r="F63" s="32"/>
      <c r="G63" s="32"/>
      <c r="H63" s="32"/>
      <c r="I63" s="32"/>
      <c r="J63" s="32"/>
    </row>
    <row r="64" spans="1:10" ht="14.55" customHeight="1" x14ac:dyDescent="0.3">
      <c r="A64" s="63" t="str">
        <f t="shared" si="11"/>
        <v>19(v): Total Revenue Requirement for Pricing Assets</v>
      </c>
      <c r="B64" s="63">
        <f>ROW()</f>
        <v>64</v>
      </c>
      <c r="C64" s="49"/>
      <c r="D64" s="37" t="s">
        <v>292</v>
      </c>
      <c r="E64" s="33" t="s">
        <v>229</v>
      </c>
      <c r="F64" s="66">
        <f>SUM(F61:F63)</f>
        <v>0</v>
      </c>
      <c r="G64" s="66">
        <f t="shared" ref="G64:J64" si="12">SUM(G61:G63)</f>
        <v>0</v>
      </c>
      <c r="H64" s="66">
        <f t="shared" si="12"/>
        <v>0</v>
      </c>
      <c r="I64" s="66">
        <f t="shared" si="12"/>
        <v>0</v>
      </c>
      <c r="J64" s="66">
        <f t="shared" si="12"/>
        <v>0</v>
      </c>
    </row>
    <row r="65" spans="1:10" ht="14.55" customHeight="1" x14ac:dyDescent="0.3">
      <c r="A65" s="63" t="str">
        <f t="shared" si="11"/>
        <v>19(v): Total Revenue Requirement for Pricing Assets</v>
      </c>
      <c r="B65" s="63">
        <f>ROW()</f>
        <v>65</v>
      </c>
      <c r="C65" s="49" t="s">
        <v>62</v>
      </c>
      <c r="D65" s="37" t="s">
        <v>292</v>
      </c>
      <c r="E65" s="48" t="s">
        <v>67</v>
      </c>
      <c r="F65" s="32"/>
      <c r="G65" s="32"/>
      <c r="H65" s="32"/>
      <c r="I65" s="32"/>
      <c r="J65" s="32"/>
    </row>
    <row r="66" spans="1:10" ht="14.55" customHeight="1" x14ac:dyDescent="0.3">
      <c r="A66" s="63" t="str">
        <f t="shared" si="11"/>
        <v>19(v): Total Revenue Requirement for Pricing Assets</v>
      </c>
      <c r="B66" s="63">
        <f>ROW()</f>
        <v>66</v>
      </c>
      <c r="C66" s="49" t="s">
        <v>62</v>
      </c>
      <c r="D66" s="37" t="s">
        <v>292</v>
      </c>
      <c r="E66" s="33" t="s">
        <v>119</v>
      </c>
      <c r="F66" s="66">
        <f>F91</f>
        <v>0</v>
      </c>
      <c r="G66" s="66">
        <f t="shared" ref="G66:J66" si="13">G91</f>
        <v>0</v>
      </c>
      <c r="H66" s="66">
        <f t="shared" si="13"/>
        <v>0</v>
      </c>
      <c r="I66" s="66">
        <f t="shared" si="13"/>
        <v>0</v>
      </c>
      <c r="J66" s="66">
        <f t="shared" si="13"/>
        <v>0</v>
      </c>
    </row>
    <row r="67" spans="1:10" ht="14.55" customHeight="1" x14ac:dyDescent="0.3">
      <c r="A67" s="63" t="str">
        <f t="shared" si="11"/>
        <v>19(v): Total Revenue Requirement for Pricing Assets</v>
      </c>
      <c r="B67" s="63">
        <f>ROW()</f>
        <v>67</v>
      </c>
      <c r="C67" s="49" t="s">
        <v>62</v>
      </c>
      <c r="D67" s="37" t="s">
        <v>292</v>
      </c>
      <c r="E67" s="33" t="s">
        <v>69</v>
      </c>
      <c r="F67" s="32"/>
      <c r="G67" s="32"/>
      <c r="H67" s="32"/>
      <c r="I67" s="32"/>
      <c r="J67" s="32"/>
    </row>
    <row r="68" spans="1:10" ht="14.55" customHeight="1" x14ac:dyDescent="0.3">
      <c r="A68" s="63" t="str">
        <f t="shared" si="11"/>
        <v>19(v): Total Revenue Requirement for Pricing Assets</v>
      </c>
      <c r="B68" s="63">
        <f>ROW()</f>
        <v>68</v>
      </c>
      <c r="C68" s="49" t="s">
        <v>59</v>
      </c>
      <c r="D68" s="37" t="s">
        <v>292</v>
      </c>
      <c r="E68" s="33" t="s">
        <v>120</v>
      </c>
      <c r="F68" s="66">
        <f>-F92</f>
        <v>0</v>
      </c>
      <c r="G68" s="66">
        <f t="shared" ref="G68:J68" si="14">-G92</f>
        <v>0</v>
      </c>
      <c r="H68" s="66">
        <f>-H92</f>
        <v>0</v>
      </c>
      <c r="I68" s="66">
        <f t="shared" si="14"/>
        <v>0</v>
      </c>
      <c r="J68" s="66">
        <f t="shared" si="14"/>
        <v>0</v>
      </c>
    </row>
    <row r="69" spans="1:10" ht="14.55" customHeight="1" x14ac:dyDescent="0.3">
      <c r="A69" s="63" t="str">
        <f t="shared" si="11"/>
        <v>19(v): Total Revenue Requirement for Pricing Assets</v>
      </c>
      <c r="B69" s="63">
        <f>ROW()</f>
        <v>69</v>
      </c>
      <c r="C69" s="49"/>
      <c r="D69" s="37" t="s">
        <v>292</v>
      </c>
      <c r="E69" s="33" t="s">
        <v>121</v>
      </c>
      <c r="F69" s="66">
        <f>F64-F65-F66-F67+F68</f>
        <v>0</v>
      </c>
      <c r="G69" s="66">
        <f t="shared" ref="G69:J69" si="15">G64-G65-G66-G67+G68</f>
        <v>0</v>
      </c>
      <c r="H69" s="66">
        <f t="shared" si="15"/>
        <v>0</v>
      </c>
      <c r="I69" s="66">
        <f t="shared" si="15"/>
        <v>0</v>
      </c>
      <c r="J69" s="66">
        <f t="shared" si="15"/>
        <v>0</v>
      </c>
    </row>
    <row r="70" spans="1:10" ht="14.55" customHeight="1" x14ac:dyDescent="0.3">
      <c r="A70" s="63" t="str">
        <f t="shared" si="11"/>
        <v>19(v): Total Revenue Requirement for Pricing Assets</v>
      </c>
      <c r="B70" s="63">
        <f>ROW()</f>
        <v>70</v>
      </c>
      <c r="C70" s="49"/>
      <c r="D70" s="37" t="s">
        <v>292</v>
      </c>
      <c r="E70" s="33" t="s">
        <v>122</v>
      </c>
      <c r="F70" s="101"/>
      <c r="G70" s="71"/>
      <c r="H70" s="71"/>
      <c r="I70" s="71"/>
      <c r="J70" s="71"/>
    </row>
    <row r="71" spans="1:10" ht="14.55" customHeight="1" x14ac:dyDescent="0.3">
      <c r="A71" s="63" t="str">
        <f t="shared" si="11"/>
        <v>19(v): Total Revenue Requirement for Pricing Assets</v>
      </c>
      <c r="B71" s="63">
        <f>ROW()</f>
        <v>71</v>
      </c>
      <c r="C71" s="68"/>
      <c r="D71" s="100" t="s">
        <v>291</v>
      </c>
      <c r="E71" s="45" t="s">
        <v>230</v>
      </c>
      <c r="F71" s="66">
        <f>F61</f>
        <v>0</v>
      </c>
      <c r="G71" s="66">
        <f t="shared" ref="G71:I71" si="16">G61</f>
        <v>0</v>
      </c>
      <c r="H71" s="66">
        <f t="shared" si="16"/>
        <v>0</v>
      </c>
      <c r="I71" s="66">
        <f t="shared" si="16"/>
        <v>0</v>
      </c>
      <c r="J71" s="66">
        <f>J61</f>
        <v>0</v>
      </c>
    </row>
    <row r="72" spans="1:10" ht="14.55" customHeight="1" thickBot="1" x14ac:dyDescent="0.35">
      <c r="A72" s="63" t="str">
        <f t="shared" si="11"/>
        <v>19(v): Total Revenue Requirement for Pricing Assets</v>
      </c>
      <c r="B72" s="63">
        <f>ROW()</f>
        <v>72</v>
      </c>
      <c r="C72" s="68"/>
      <c r="D72" s="100" t="s">
        <v>291</v>
      </c>
      <c r="E72" s="33" t="s">
        <v>231</v>
      </c>
      <c r="F72" s="32"/>
      <c r="G72" s="32"/>
      <c r="H72" s="32"/>
      <c r="I72" s="32"/>
      <c r="J72" s="32"/>
    </row>
    <row r="73" spans="1:10" ht="14.55" customHeight="1" thickBot="1" x14ac:dyDescent="0.35">
      <c r="A73" s="63" t="str">
        <f t="shared" si="11"/>
        <v>19(v): Total Revenue Requirement for Pricing Assets</v>
      </c>
      <c r="B73" s="63">
        <f>ROW()</f>
        <v>73</v>
      </c>
      <c r="C73" s="68"/>
      <c r="D73" s="100" t="s">
        <v>291</v>
      </c>
      <c r="E73" s="33" t="s">
        <v>232</v>
      </c>
      <c r="F73" s="147">
        <f>F71+F72</f>
        <v>0</v>
      </c>
      <c r="G73" s="148">
        <f>G71+G72</f>
        <v>0</v>
      </c>
      <c r="H73" s="148">
        <f t="shared" ref="H73:J73" si="17">H71+H72</f>
        <v>0</v>
      </c>
      <c r="I73" s="148">
        <f t="shared" si="17"/>
        <v>0</v>
      </c>
      <c r="J73" s="149">
        <f t="shared" si="17"/>
        <v>0</v>
      </c>
    </row>
    <row r="74" spans="1:10" ht="14.4" x14ac:dyDescent="0.3">
      <c r="A74" s="145" t="s">
        <v>294</v>
      </c>
      <c r="B74" s="46"/>
      <c r="C74" s="146"/>
      <c r="D74" s="144"/>
      <c r="E74" s="144"/>
      <c r="F74" s="136"/>
      <c r="G74" s="136"/>
      <c r="H74" s="136"/>
      <c r="I74" s="136"/>
      <c r="J74" s="143"/>
    </row>
    <row r="75" spans="1:10" ht="14.4" x14ac:dyDescent="0.3">
      <c r="A75" s="141"/>
      <c r="B75" s="142"/>
      <c r="C75" s="38"/>
      <c r="D75" s="139"/>
      <c r="E75" s="136"/>
      <c r="F75" s="136"/>
      <c r="G75" s="136"/>
      <c r="H75" s="136"/>
      <c r="I75" s="143"/>
    </row>
    <row r="76" spans="1:10" ht="14.4" x14ac:dyDescent="0.3">
      <c r="A76" s="141"/>
      <c r="B76" s="142"/>
      <c r="C76" s="38"/>
      <c r="D76" s="139"/>
      <c r="E76" s="136"/>
      <c r="F76" s="136"/>
      <c r="G76" s="136"/>
      <c r="H76" s="136"/>
      <c r="I76" s="143"/>
    </row>
    <row r="77" spans="1:10" ht="21" x14ac:dyDescent="0.4">
      <c r="A77" s="85" t="s">
        <v>233</v>
      </c>
      <c r="E77" s="102">
        <f>D48-1</f>
        <v>44742</v>
      </c>
    </row>
    <row r="78" spans="1:10" ht="17.100000000000001" customHeight="1" x14ac:dyDescent="0.3">
      <c r="A78" s="51" t="s">
        <v>38</v>
      </c>
      <c r="B78" s="21" t="s">
        <v>39</v>
      </c>
      <c r="C78" s="64" t="s">
        <v>40</v>
      </c>
      <c r="D78" s="64" t="s">
        <v>41</v>
      </c>
      <c r="E78" s="43" t="s">
        <v>130</v>
      </c>
    </row>
    <row r="79" spans="1:10" ht="14.4" x14ac:dyDescent="0.3">
      <c r="A79" s="60" t="str">
        <f t="shared" ref="A79:A85" si="18">$A$77</f>
        <v>19(vi): Opening Regulated Asset Base (applicable to price setting)</v>
      </c>
      <c r="B79" s="63">
        <f>ROW()</f>
        <v>79</v>
      </c>
      <c r="C79" s="49"/>
      <c r="D79" s="33" t="str">
        <f>"Regulated asset base (applicable to price setting) as at "&amp;TEXT(D47,"dd mmmm yyy")</f>
        <v>Regulated asset base (applicable to price setting) as at 30 June 2026</v>
      </c>
      <c r="E79" s="32"/>
    </row>
    <row r="80" spans="1:10" ht="14.4" x14ac:dyDescent="0.3">
      <c r="A80" s="60" t="str">
        <f t="shared" si="18"/>
        <v>19(vi): Opening Regulated Asset Base (applicable to price setting)</v>
      </c>
      <c r="B80" s="63">
        <f>ROW()</f>
        <v>80</v>
      </c>
      <c r="C80" s="49" t="s">
        <v>62</v>
      </c>
      <c r="D80" s="33" t="s">
        <v>119</v>
      </c>
      <c r="E80" s="32"/>
    </row>
    <row r="81" spans="1:10" ht="14.4" x14ac:dyDescent="0.3">
      <c r="A81" s="60" t="str">
        <f t="shared" si="18"/>
        <v>19(vi): Opening Regulated Asset Base (applicable to price setting)</v>
      </c>
      <c r="B81" s="63">
        <f>ROW()</f>
        <v>81</v>
      </c>
      <c r="C81" s="49" t="s">
        <v>59</v>
      </c>
      <c r="D81" s="33" t="s">
        <v>120</v>
      </c>
      <c r="E81" s="32"/>
    </row>
    <row r="82" spans="1:10" ht="14.4" x14ac:dyDescent="0.3">
      <c r="A82" s="60" t="str">
        <f t="shared" si="18"/>
        <v>19(vi): Opening Regulated Asset Base (applicable to price setting)</v>
      </c>
      <c r="B82" s="63">
        <f>ROW()</f>
        <v>82</v>
      </c>
      <c r="C82" s="49" t="s">
        <v>59</v>
      </c>
      <c r="D82" s="33" t="s">
        <v>131</v>
      </c>
      <c r="E82" s="32"/>
    </row>
    <row r="83" spans="1:10" ht="14.4" x14ac:dyDescent="0.3">
      <c r="A83" s="60" t="str">
        <f t="shared" si="18"/>
        <v>19(vi): Opening Regulated Asset Base (applicable to price setting)</v>
      </c>
      <c r="B83" s="63">
        <f>ROW()</f>
        <v>83</v>
      </c>
      <c r="C83" s="49" t="s">
        <v>132</v>
      </c>
      <c r="D83" s="33" t="s">
        <v>133</v>
      </c>
      <c r="E83" s="32"/>
    </row>
    <row r="84" spans="1:10" ht="15" thickBot="1" x14ac:dyDescent="0.35">
      <c r="A84" s="60" t="str">
        <f t="shared" si="18"/>
        <v>19(vi): Opening Regulated Asset Base (applicable to price setting)</v>
      </c>
      <c r="B84" s="63">
        <f>ROW()</f>
        <v>84</v>
      </c>
      <c r="C84" s="49" t="s">
        <v>134</v>
      </c>
      <c r="D84" s="33" t="s">
        <v>135</v>
      </c>
      <c r="E84" s="32"/>
    </row>
    <row r="85" spans="1:10" ht="15" thickBot="1" x14ac:dyDescent="0.35">
      <c r="A85" s="60" t="str">
        <f t="shared" si="18"/>
        <v>19(vi): Opening Regulated Asset Base (applicable to price setting)</v>
      </c>
      <c r="B85" s="63">
        <f>ROW()</f>
        <v>85</v>
      </c>
      <c r="C85" s="49"/>
      <c r="D85" s="33" t="s">
        <v>234</v>
      </c>
      <c r="E85" s="138">
        <f>E79-E80+E81+E82-E83+E84</f>
        <v>0</v>
      </c>
    </row>
    <row r="88" spans="1:10" ht="21" x14ac:dyDescent="0.4">
      <c r="A88" s="85" t="s">
        <v>235</v>
      </c>
    </row>
    <row r="89" spans="1:10" ht="43.2" x14ac:dyDescent="0.3">
      <c r="A89" s="21" t="s">
        <v>38</v>
      </c>
      <c r="B89" s="21" t="s">
        <v>39</v>
      </c>
      <c r="C89" s="64" t="s">
        <v>40</v>
      </c>
      <c r="D89" s="64" t="s">
        <v>41</v>
      </c>
      <c r="E89" s="64" t="s">
        <v>138</v>
      </c>
      <c r="F89" s="72" t="s">
        <v>44</v>
      </c>
      <c r="G89" s="72" t="s">
        <v>45</v>
      </c>
      <c r="H89" s="72" t="s">
        <v>46</v>
      </c>
      <c r="I89" s="72" t="s">
        <v>47</v>
      </c>
      <c r="J89" s="72" t="s">
        <v>48</v>
      </c>
    </row>
    <row r="90" spans="1:10" ht="14.4" x14ac:dyDescent="0.3">
      <c r="A90" s="60" t="str">
        <f t="shared" ref="A90:A96" si="19">$A$88</f>
        <v>19(vii): Forecast Asset Base (applicable to price setting)</v>
      </c>
      <c r="B90" s="63">
        <f>ROW()</f>
        <v>90</v>
      </c>
      <c r="C90" s="56"/>
      <c r="D90" s="68" t="s">
        <v>236</v>
      </c>
      <c r="E90" s="32"/>
      <c r="F90" s="66">
        <f>E96</f>
        <v>0</v>
      </c>
      <c r="G90" s="66">
        <f>F96</f>
        <v>0</v>
      </c>
      <c r="H90" s="66">
        <f t="shared" ref="H90:I90" si="20">G96</f>
        <v>0</v>
      </c>
      <c r="I90" s="66">
        <f t="shared" si="20"/>
        <v>0</v>
      </c>
      <c r="J90" s="66">
        <f>I96</f>
        <v>0</v>
      </c>
    </row>
    <row r="91" spans="1:10" ht="14.4" x14ac:dyDescent="0.3">
      <c r="A91" s="60" t="str">
        <f t="shared" si="19"/>
        <v>19(vii): Forecast Asset Base (applicable to price setting)</v>
      </c>
      <c r="B91" s="63">
        <f>ROW()</f>
        <v>91</v>
      </c>
      <c r="C91" s="56" t="s">
        <v>62</v>
      </c>
      <c r="D91" s="68" t="s">
        <v>119</v>
      </c>
      <c r="E91" s="32"/>
      <c r="F91" s="32"/>
      <c r="G91" s="32"/>
      <c r="H91" s="32"/>
      <c r="I91" s="32"/>
      <c r="J91" s="32"/>
    </row>
    <row r="92" spans="1:10" ht="14.4" x14ac:dyDescent="0.3">
      <c r="A92" s="60" t="str">
        <f t="shared" si="19"/>
        <v>19(vii): Forecast Asset Base (applicable to price setting)</v>
      </c>
      <c r="B92" s="63">
        <f>ROW()</f>
        <v>92</v>
      </c>
      <c r="C92" s="56" t="s">
        <v>59</v>
      </c>
      <c r="D92" s="68" t="s">
        <v>120</v>
      </c>
      <c r="E92" s="32"/>
      <c r="F92" s="32"/>
      <c r="G92" s="32"/>
      <c r="H92" s="32"/>
      <c r="I92" s="32"/>
      <c r="J92" s="32"/>
    </row>
    <row r="93" spans="1:10" ht="14.4" x14ac:dyDescent="0.3">
      <c r="A93" s="60" t="str">
        <f t="shared" si="19"/>
        <v>19(vii): Forecast Asset Base (applicable to price setting)</v>
      </c>
      <c r="B93" s="63">
        <f>ROW()</f>
        <v>93</v>
      </c>
      <c r="C93" s="56" t="s">
        <v>59</v>
      </c>
      <c r="D93" s="68" t="s">
        <v>131</v>
      </c>
      <c r="E93" s="32"/>
      <c r="F93" s="32"/>
      <c r="G93" s="32"/>
      <c r="H93" s="32"/>
      <c r="I93" s="32"/>
      <c r="J93" s="32"/>
    </row>
    <row r="94" spans="1:10" ht="14.4" x14ac:dyDescent="0.3">
      <c r="A94" s="60" t="str">
        <f t="shared" si="19"/>
        <v>19(vii): Forecast Asset Base (applicable to price setting)</v>
      </c>
      <c r="B94" s="63">
        <f>ROW()</f>
        <v>94</v>
      </c>
      <c r="C94" s="56" t="s">
        <v>132</v>
      </c>
      <c r="D94" s="68" t="s">
        <v>133</v>
      </c>
      <c r="E94" s="32"/>
      <c r="F94" s="32"/>
      <c r="G94" s="32"/>
      <c r="H94" s="32"/>
      <c r="I94" s="32"/>
      <c r="J94" s="32"/>
    </row>
    <row r="95" spans="1:10" ht="15" thickBot="1" x14ac:dyDescent="0.35">
      <c r="A95" s="60" t="str">
        <f t="shared" si="19"/>
        <v>19(vii): Forecast Asset Base (applicable to price setting)</v>
      </c>
      <c r="B95" s="63">
        <f>ROW()</f>
        <v>95</v>
      </c>
      <c r="C95" s="56" t="s">
        <v>134</v>
      </c>
      <c r="D95" s="68" t="s">
        <v>135</v>
      </c>
      <c r="E95" s="32"/>
      <c r="F95" s="32"/>
      <c r="G95" s="32"/>
      <c r="H95" s="32"/>
      <c r="I95" s="32"/>
      <c r="J95" s="32"/>
    </row>
    <row r="96" spans="1:10" ht="15" thickBot="1" x14ac:dyDescent="0.35">
      <c r="A96" s="60" t="str">
        <f t="shared" si="19"/>
        <v>19(vii): Forecast Asset Base (applicable to price setting)</v>
      </c>
      <c r="B96" s="36">
        <f>ROW()</f>
        <v>96</v>
      </c>
      <c r="C96" s="16"/>
      <c r="D96" s="68" t="s">
        <v>237</v>
      </c>
      <c r="E96" s="147">
        <f>E90-E91+E92+E93-E94+E95</f>
        <v>0</v>
      </c>
      <c r="F96" s="148">
        <f t="shared" ref="F96:J96" si="21">F90-F91+F92+F93-F94+F95</f>
        <v>0</v>
      </c>
      <c r="G96" s="148">
        <f t="shared" si="21"/>
        <v>0</v>
      </c>
      <c r="H96" s="148">
        <f t="shared" si="21"/>
        <v>0</v>
      </c>
      <c r="I96" s="148">
        <f t="shared" si="21"/>
        <v>0</v>
      </c>
      <c r="J96" s="149">
        <f t="shared" si="21"/>
        <v>0</v>
      </c>
    </row>
    <row r="97" spans="1:10" ht="14.4" x14ac:dyDescent="0.3">
      <c r="A97" s="34" t="s">
        <v>238</v>
      </c>
      <c r="B97" s="17"/>
      <c r="C97" s="17"/>
      <c r="D97" s="35"/>
      <c r="E97" s="38"/>
      <c r="F97" s="38"/>
      <c r="G97" s="38"/>
      <c r="H97" s="38"/>
      <c r="I97" s="38"/>
      <c r="J97" s="38"/>
    </row>
  </sheetData>
  <phoneticPr fontId="32" type="noConversion"/>
  <pageMargins left="0.23622047244094491" right="0.23622047244094491" top="0.74803149606299213" bottom="0.74803149606299213" header="0.31496062992125984" footer="0.31496062992125984"/>
  <pageSetup paperSize="9" scale="29" fitToHeight="10" orientation="landscape" r:id="rId1"/>
  <ignoredErrors>
    <ignoredError sqref="A1" unlockedFormula="1"/>
    <ignoredError sqref="E6:E23 F6:F23 F28:F31" calculatedColumn="1"/>
  </ignoredErrors>
  <tableParts count="8">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AEC6-0C75-4657-BAD7-B30DE37570AD}">
  <sheetPr>
    <tabColor theme="6" tint="-9.9978637043366805E-2"/>
    <pageSetUpPr fitToPage="1"/>
  </sheetPr>
  <dimension ref="A1:O41"/>
  <sheetViews>
    <sheetView showGridLines="0" view="pageBreakPreview" zoomScaleNormal="100" zoomScaleSheetLayoutView="100" workbookViewId="0">
      <selection activeCell="D34" sqref="D34:O34"/>
    </sheetView>
  </sheetViews>
  <sheetFormatPr defaultRowHeight="13.8" x14ac:dyDescent="0.3"/>
  <cols>
    <col min="1" max="1" width="30.5546875" style="40" customWidth="1"/>
    <col min="2" max="2" width="8.5546875" style="40"/>
    <col min="3" max="3" width="46.5546875" style="40" customWidth="1"/>
    <col min="4" max="4" width="51.44140625" style="40" customWidth="1"/>
    <col min="5" max="5" width="13.77734375" style="40" customWidth="1"/>
    <col min="6" max="15" width="21.5546875" style="40" customWidth="1"/>
    <col min="16" max="16" width="19.44140625" customWidth="1"/>
  </cols>
  <sheetData>
    <row r="1" spans="1:15" ht="23.4" x14ac:dyDescent="0.3">
      <c r="A1" s="84" t="str">
        <f>company_name&amp;"    |     Pricing period starting year - "&amp;TEXT(pp_starting_year,"dd mmmm yyyy")&amp;"    |     Disclosure year - "&amp;TEXT('Pricing CoverSheet'!C10,"yyyy")</f>
        <v>[select name of the airport]    |     Pricing period starting year - 30 June 2023    |     Disclosure year - 2026</v>
      </c>
    </row>
    <row r="2" spans="1:15" ht="23.4" x14ac:dyDescent="0.3">
      <c r="A2" s="84"/>
    </row>
    <row r="3" spans="1:15" ht="23.4" x14ac:dyDescent="0.3">
      <c r="A3" s="84" t="s">
        <v>239</v>
      </c>
    </row>
    <row r="4" spans="1:15" ht="21" x14ac:dyDescent="0.4">
      <c r="A4" s="85" t="s">
        <v>240</v>
      </c>
    </row>
    <row r="5" spans="1:15" ht="28.8" x14ac:dyDescent="0.25">
      <c r="A5" s="21" t="s">
        <v>38</v>
      </c>
      <c r="B5" s="21" t="s">
        <v>39</v>
      </c>
      <c r="C5" s="64" t="s">
        <v>41</v>
      </c>
      <c r="D5" s="64" t="s">
        <v>161</v>
      </c>
      <c r="E5" s="64" t="s">
        <v>241</v>
      </c>
      <c r="F5" s="72" t="s">
        <v>58</v>
      </c>
      <c r="G5" s="72" t="s">
        <v>61</v>
      </c>
      <c r="H5" s="72" t="s">
        <v>64</v>
      </c>
      <c r="I5" s="72" t="s">
        <v>66</v>
      </c>
      <c r="J5" s="72" t="s">
        <v>68</v>
      </c>
      <c r="K5" s="72" t="s">
        <v>242</v>
      </c>
      <c r="L5" s="72" t="s">
        <v>243</v>
      </c>
      <c r="M5" s="72" t="s">
        <v>244</v>
      </c>
      <c r="N5" s="72" t="s">
        <v>245</v>
      </c>
      <c r="O5" s="72" t="s">
        <v>246</v>
      </c>
    </row>
    <row r="6" spans="1:15" ht="14.4" x14ac:dyDescent="0.3">
      <c r="A6" s="60" t="str">
        <f t="shared" ref="A6:A12" si="0">$A$4</f>
        <v>20a: Passenger terminal demand</v>
      </c>
      <c r="B6" s="63">
        <f>ROW()</f>
        <v>6</v>
      </c>
      <c r="C6" s="68" t="s">
        <v>247</v>
      </c>
      <c r="D6" s="68" t="s">
        <v>248</v>
      </c>
      <c r="E6" s="68" t="s">
        <v>249</v>
      </c>
      <c r="F6" s="32"/>
      <c r="G6" s="32"/>
      <c r="H6" s="32"/>
      <c r="I6" s="32"/>
      <c r="J6" s="32"/>
      <c r="K6" s="32"/>
      <c r="L6" s="32"/>
      <c r="M6" s="32"/>
      <c r="N6" s="32"/>
      <c r="O6" s="32"/>
    </row>
    <row r="7" spans="1:15" ht="14.4" x14ac:dyDescent="0.3">
      <c r="A7" s="60" t="str">
        <f t="shared" si="0"/>
        <v>20a: Passenger terminal demand</v>
      </c>
      <c r="B7" s="63">
        <f>ROW()</f>
        <v>7</v>
      </c>
      <c r="C7" s="68" t="s">
        <v>247</v>
      </c>
      <c r="D7" s="68" t="s">
        <v>248</v>
      </c>
      <c r="E7" s="68" t="s">
        <v>250</v>
      </c>
      <c r="F7" s="32"/>
      <c r="G7" s="32"/>
      <c r="H7" s="32"/>
      <c r="I7" s="32"/>
      <c r="J7" s="32"/>
      <c r="K7" s="32"/>
      <c r="L7" s="32"/>
      <c r="M7" s="32"/>
      <c r="N7" s="32"/>
      <c r="O7" s="32"/>
    </row>
    <row r="8" spans="1:15" ht="14.4" x14ac:dyDescent="0.3">
      <c r="A8" s="60" t="str">
        <f t="shared" si="0"/>
        <v>20a: Passenger terminal demand</v>
      </c>
      <c r="B8" s="63">
        <f>ROW()</f>
        <v>8</v>
      </c>
      <c r="C8" s="68" t="s">
        <v>247</v>
      </c>
      <c r="D8" s="68" t="s">
        <v>248</v>
      </c>
      <c r="E8" s="68" t="s">
        <v>251</v>
      </c>
      <c r="F8" s="32"/>
      <c r="G8" s="32"/>
      <c r="H8" s="32"/>
      <c r="I8" s="32"/>
      <c r="J8" s="32"/>
      <c r="K8" s="32"/>
      <c r="L8" s="32"/>
      <c r="M8" s="32"/>
      <c r="N8" s="32"/>
      <c r="O8" s="32"/>
    </row>
    <row r="9" spans="1:15" ht="14.4" x14ac:dyDescent="0.3">
      <c r="A9" s="60" t="str">
        <f t="shared" si="0"/>
        <v>20a: Passenger terminal demand</v>
      </c>
      <c r="B9" s="63">
        <f>ROW()</f>
        <v>9</v>
      </c>
      <c r="C9" s="68" t="s">
        <v>247</v>
      </c>
      <c r="D9" s="68" t="s">
        <v>252</v>
      </c>
      <c r="E9" s="68" t="s">
        <v>249</v>
      </c>
      <c r="F9" s="32"/>
      <c r="G9" s="32"/>
      <c r="H9" s="32"/>
      <c r="I9" s="32"/>
      <c r="J9" s="32"/>
      <c r="K9" s="32"/>
      <c r="L9" s="32"/>
      <c r="M9" s="32"/>
      <c r="N9" s="32"/>
      <c r="O9" s="32"/>
    </row>
    <row r="10" spans="1:15" ht="14.4" x14ac:dyDescent="0.3">
      <c r="A10" s="60" t="str">
        <f t="shared" si="0"/>
        <v>20a: Passenger terminal demand</v>
      </c>
      <c r="B10" s="63">
        <f>ROW()</f>
        <v>10</v>
      </c>
      <c r="C10" s="68" t="s">
        <v>247</v>
      </c>
      <c r="D10" s="68" t="s">
        <v>252</v>
      </c>
      <c r="E10" s="68" t="s">
        <v>250</v>
      </c>
      <c r="F10" s="32"/>
      <c r="G10" s="32"/>
      <c r="H10" s="32"/>
      <c r="I10" s="32"/>
      <c r="J10" s="32"/>
      <c r="K10" s="32"/>
      <c r="L10" s="32"/>
      <c r="M10" s="32"/>
      <c r="N10" s="32"/>
      <c r="O10" s="32"/>
    </row>
    <row r="11" spans="1:15" ht="14.4" x14ac:dyDescent="0.3">
      <c r="A11" s="60" t="str">
        <f t="shared" si="0"/>
        <v>20a: Passenger terminal demand</v>
      </c>
      <c r="B11" s="63">
        <f>ROW()</f>
        <v>11</v>
      </c>
      <c r="C11" s="68" t="s">
        <v>247</v>
      </c>
      <c r="D11" s="68" t="s">
        <v>252</v>
      </c>
      <c r="E11" s="68" t="s">
        <v>251</v>
      </c>
      <c r="F11" s="32"/>
      <c r="G11" s="32"/>
      <c r="H11" s="32"/>
      <c r="I11" s="32"/>
      <c r="J11" s="32"/>
      <c r="K11" s="32"/>
      <c r="L11" s="32"/>
      <c r="M11" s="32"/>
      <c r="N11" s="32"/>
      <c r="O11" s="32"/>
    </row>
    <row r="12" spans="1:15" ht="14.4" x14ac:dyDescent="0.3">
      <c r="A12" s="60" t="str">
        <f t="shared" si="0"/>
        <v>20a: Passenger terminal demand</v>
      </c>
      <c r="B12" s="63">
        <f>ROW()</f>
        <v>12</v>
      </c>
      <c r="C12" s="68" t="s">
        <v>253</v>
      </c>
      <c r="D12" s="68" t="s">
        <v>248</v>
      </c>
      <c r="E12" s="68" t="s">
        <v>249</v>
      </c>
      <c r="F12" s="32"/>
      <c r="G12" s="32"/>
      <c r="H12" s="32"/>
      <c r="I12" s="32"/>
      <c r="J12" s="32"/>
      <c r="K12" s="32"/>
      <c r="L12" s="32"/>
      <c r="M12" s="32"/>
      <c r="N12" s="32"/>
      <c r="O12" s="32"/>
    </row>
    <row r="13" spans="1:15" ht="15" thickBot="1" x14ac:dyDescent="0.35">
      <c r="A13" s="60" t="str">
        <f t="shared" ref="A13:A14" si="1">$A$4</f>
        <v>20a: Passenger terminal demand</v>
      </c>
      <c r="B13" s="63">
        <f>ROW()</f>
        <v>13</v>
      </c>
      <c r="C13" s="68" t="s">
        <v>253</v>
      </c>
      <c r="D13" s="68" t="s">
        <v>248</v>
      </c>
      <c r="E13" s="103" t="s">
        <v>250</v>
      </c>
      <c r="F13" s="32"/>
      <c r="G13" s="32"/>
      <c r="H13" s="32"/>
      <c r="I13" s="32"/>
      <c r="J13" s="32"/>
      <c r="K13" s="32"/>
      <c r="L13" s="32"/>
      <c r="M13" s="32"/>
      <c r="N13" s="32"/>
      <c r="O13" s="32"/>
    </row>
    <row r="14" spans="1:15" ht="15" thickBot="1" x14ac:dyDescent="0.35">
      <c r="A14" s="60" t="str">
        <f t="shared" si="1"/>
        <v>20a: Passenger terminal demand</v>
      </c>
      <c r="B14" s="63">
        <f>ROW()</f>
        <v>14</v>
      </c>
      <c r="C14" s="68" t="s">
        <v>253</v>
      </c>
      <c r="D14" s="166" t="s">
        <v>248</v>
      </c>
      <c r="E14" s="172" t="s">
        <v>254</v>
      </c>
      <c r="F14" s="168">
        <f>SUM(F12:F13)</f>
        <v>0</v>
      </c>
      <c r="G14" s="169">
        <f t="shared" ref="G14" si="2">SUM(G12:G13)</f>
        <v>0</v>
      </c>
      <c r="H14" s="169">
        <f t="shared" ref="H14" si="3">SUM(H12:H13)</f>
        <v>0</v>
      </c>
      <c r="I14" s="169">
        <f t="shared" ref="I14" si="4">SUM(I12:I13)</f>
        <v>0</v>
      </c>
      <c r="J14" s="169">
        <f t="shared" ref="J14" si="5">SUM(J12:J13)</f>
        <v>0</v>
      </c>
      <c r="K14" s="169">
        <f t="shared" ref="K14" si="6">SUM(K12:K13)</f>
        <v>0</v>
      </c>
      <c r="L14" s="169">
        <f t="shared" ref="L14" si="7">SUM(L12:L13)</f>
        <v>0</v>
      </c>
      <c r="M14" s="169">
        <f t="shared" ref="M14" si="8">SUM(M12:M13)</f>
        <v>0</v>
      </c>
      <c r="N14" s="169">
        <f t="shared" ref="N14" si="9">SUM(N12:N13)</f>
        <v>0</v>
      </c>
      <c r="O14" s="173">
        <f t="shared" ref="O14" si="10">SUM(O12:O13)</f>
        <v>0</v>
      </c>
    </row>
    <row r="15" spans="1:15" ht="14.4" x14ac:dyDescent="0.3">
      <c r="A15" s="60" t="str">
        <f t="shared" ref="A15:A17" si="11">$A$4</f>
        <v>20a: Passenger terminal demand</v>
      </c>
      <c r="B15" s="63">
        <f>ROW()</f>
        <v>15</v>
      </c>
      <c r="C15" s="68" t="s">
        <v>253</v>
      </c>
      <c r="D15" s="68" t="s">
        <v>252</v>
      </c>
      <c r="E15" s="103" t="s">
        <v>249</v>
      </c>
      <c r="F15" s="32"/>
      <c r="G15" s="32"/>
      <c r="H15" s="32"/>
      <c r="I15" s="32"/>
      <c r="J15" s="32"/>
      <c r="K15" s="32"/>
      <c r="L15" s="32"/>
      <c r="M15" s="32"/>
      <c r="N15" s="32"/>
      <c r="O15" s="32"/>
    </row>
    <row r="16" spans="1:15" ht="15" thickBot="1" x14ac:dyDescent="0.35">
      <c r="A16" s="60" t="str">
        <f t="shared" si="11"/>
        <v>20a: Passenger terminal demand</v>
      </c>
      <c r="B16" s="63">
        <f>ROW()</f>
        <v>16</v>
      </c>
      <c r="C16" s="68" t="s">
        <v>253</v>
      </c>
      <c r="D16" s="68" t="s">
        <v>252</v>
      </c>
      <c r="E16" s="103" t="s">
        <v>250</v>
      </c>
      <c r="F16" s="32"/>
      <c r="G16" s="32"/>
      <c r="H16" s="32"/>
      <c r="I16" s="32"/>
      <c r="J16" s="32"/>
      <c r="K16" s="32"/>
      <c r="L16" s="32"/>
      <c r="M16" s="32"/>
      <c r="N16" s="32"/>
      <c r="O16" s="32"/>
    </row>
    <row r="17" spans="1:15" ht="15" thickBot="1" x14ac:dyDescent="0.35">
      <c r="A17" s="104" t="str">
        <f t="shared" si="11"/>
        <v>20a: Passenger terminal demand</v>
      </c>
      <c r="B17" s="36">
        <f>ROW()</f>
        <v>17</v>
      </c>
      <c r="C17" s="68" t="s">
        <v>253</v>
      </c>
      <c r="D17" s="166" t="s">
        <v>252</v>
      </c>
      <c r="E17" s="172" t="s">
        <v>254</v>
      </c>
      <c r="F17" s="168">
        <f>SUM(F15:F16)</f>
        <v>0</v>
      </c>
      <c r="G17" s="169">
        <f t="shared" ref="G17:O17" si="12">SUM(G15:G16)</f>
        <v>0</v>
      </c>
      <c r="H17" s="169">
        <f t="shared" si="12"/>
        <v>0</v>
      </c>
      <c r="I17" s="169">
        <f t="shared" si="12"/>
        <v>0</v>
      </c>
      <c r="J17" s="169">
        <f>SUM(J15:J16)</f>
        <v>0</v>
      </c>
      <c r="K17" s="169">
        <f t="shared" si="12"/>
        <v>0</v>
      </c>
      <c r="L17" s="169">
        <f t="shared" si="12"/>
        <v>0</v>
      </c>
      <c r="M17" s="169">
        <f t="shared" si="12"/>
        <v>0</v>
      </c>
      <c r="N17" s="169">
        <f t="shared" si="12"/>
        <v>0</v>
      </c>
      <c r="O17" s="173">
        <f t="shared" si="12"/>
        <v>0</v>
      </c>
    </row>
    <row r="18" spans="1:15" ht="14.4" x14ac:dyDescent="0.3">
      <c r="A18" s="104" t="str">
        <f>$A$4</f>
        <v>20a: Passenger terminal demand</v>
      </c>
      <c r="B18" s="36">
        <f>ROW()</f>
        <v>18</v>
      </c>
      <c r="C18" s="68" t="s">
        <v>253</v>
      </c>
      <c r="D18" s="36" t="s">
        <v>255</v>
      </c>
      <c r="E18" s="103"/>
      <c r="F18" s="32"/>
      <c r="G18" s="32"/>
      <c r="H18" s="32"/>
      <c r="I18" s="32"/>
      <c r="J18" s="32"/>
      <c r="K18" s="32"/>
      <c r="L18" s="32"/>
      <c r="M18" s="32"/>
      <c r="N18" s="32"/>
      <c r="O18" s="32"/>
    </row>
    <row r="19" spans="1:15" x14ac:dyDescent="0.3">
      <c r="A19" s="38" t="s">
        <v>256</v>
      </c>
    </row>
    <row r="20" spans="1:15" x14ac:dyDescent="0.3">
      <c r="A20" s="38" t="s">
        <v>257</v>
      </c>
    </row>
    <row r="23" spans="1:15" ht="21" x14ac:dyDescent="0.4">
      <c r="A23" s="85" t="s">
        <v>258</v>
      </c>
    </row>
    <row r="24" spans="1:15" ht="28.8" x14ac:dyDescent="0.25">
      <c r="A24" s="21" t="s">
        <v>38</v>
      </c>
      <c r="B24" s="21" t="s">
        <v>39</v>
      </c>
      <c r="C24" s="64" t="s">
        <v>41</v>
      </c>
      <c r="D24" s="64" t="s">
        <v>161</v>
      </c>
      <c r="E24" s="64" t="s">
        <v>241</v>
      </c>
      <c r="F24" s="72" t="s">
        <v>58</v>
      </c>
      <c r="G24" s="72" t="s">
        <v>61</v>
      </c>
      <c r="H24" s="72" t="s">
        <v>64</v>
      </c>
      <c r="I24" s="72" t="s">
        <v>66</v>
      </c>
      <c r="J24" s="72" t="s">
        <v>68</v>
      </c>
      <c r="K24" s="72" t="s">
        <v>242</v>
      </c>
      <c r="L24" s="72" t="s">
        <v>243</v>
      </c>
      <c r="M24" s="72" t="s">
        <v>244</v>
      </c>
      <c r="N24" s="72" t="s">
        <v>245</v>
      </c>
      <c r="O24" s="72" t="s">
        <v>246</v>
      </c>
    </row>
    <row r="25" spans="1:15" ht="14.4" x14ac:dyDescent="0.3">
      <c r="A25" s="60" t="str">
        <f t="shared" ref="A25:A37" si="13">$A$23</f>
        <v>20b: Aircraft Runway Movements</v>
      </c>
      <c r="B25" s="63">
        <f>ROW()</f>
        <v>25</v>
      </c>
      <c r="C25" s="68" t="s">
        <v>259</v>
      </c>
      <c r="D25" s="68" t="s">
        <v>260</v>
      </c>
      <c r="E25" s="68"/>
      <c r="F25" s="32"/>
      <c r="G25" s="32"/>
      <c r="H25" s="32"/>
      <c r="I25" s="32"/>
      <c r="J25" s="32"/>
      <c r="K25" s="32"/>
      <c r="L25" s="32"/>
      <c r="M25" s="32"/>
      <c r="N25" s="32"/>
      <c r="O25" s="32"/>
    </row>
    <row r="26" spans="1:15" ht="14.4" x14ac:dyDescent="0.3">
      <c r="A26" s="60" t="str">
        <f t="shared" si="13"/>
        <v>20b: Aircraft Runway Movements</v>
      </c>
      <c r="B26" s="63">
        <f>ROW()</f>
        <v>26</v>
      </c>
      <c r="C26" s="68" t="s">
        <v>259</v>
      </c>
      <c r="D26" s="68" t="s">
        <v>261</v>
      </c>
      <c r="E26" s="68"/>
      <c r="F26" s="32"/>
      <c r="G26" s="32"/>
      <c r="H26" s="32"/>
      <c r="I26" s="32"/>
      <c r="J26" s="32"/>
      <c r="K26" s="32"/>
      <c r="L26" s="32"/>
      <c r="M26" s="32"/>
      <c r="N26" s="32"/>
      <c r="O26" s="32"/>
    </row>
    <row r="27" spans="1:15" ht="14.4" x14ac:dyDescent="0.3">
      <c r="A27" s="60" t="str">
        <f t="shared" si="13"/>
        <v>20b: Aircraft Runway Movements</v>
      </c>
      <c r="B27" s="63">
        <f>ROW()</f>
        <v>27</v>
      </c>
      <c r="C27" s="68" t="s">
        <v>262</v>
      </c>
      <c r="D27" s="68" t="s">
        <v>263</v>
      </c>
      <c r="E27" s="68"/>
      <c r="F27" s="32"/>
      <c r="G27" s="32"/>
      <c r="H27" s="32"/>
      <c r="I27" s="32"/>
      <c r="J27" s="32"/>
      <c r="K27" s="32"/>
      <c r="L27" s="32"/>
      <c r="M27" s="32"/>
      <c r="N27" s="32"/>
      <c r="O27" s="32"/>
    </row>
    <row r="28" spans="1:15" ht="14.4" x14ac:dyDescent="0.3">
      <c r="A28" s="60" t="str">
        <f t="shared" si="13"/>
        <v>20b: Aircraft Runway Movements</v>
      </c>
      <c r="B28" s="63">
        <f>ROW()</f>
        <v>28</v>
      </c>
      <c r="C28" s="68" t="s">
        <v>262</v>
      </c>
      <c r="D28" s="68" t="s">
        <v>264</v>
      </c>
      <c r="E28" s="68"/>
      <c r="F28" s="32"/>
      <c r="G28" s="32"/>
      <c r="H28" s="32"/>
      <c r="I28" s="32"/>
      <c r="J28" s="32"/>
      <c r="K28" s="32"/>
      <c r="L28" s="32"/>
      <c r="M28" s="32"/>
      <c r="N28" s="32"/>
      <c r="O28" s="32"/>
    </row>
    <row r="29" spans="1:15" ht="15" thickBot="1" x14ac:dyDescent="0.35">
      <c r="A29" s="60" t="str">
        <f t="shared" si="13"/>
        <v>20b: Aircraft Runway Movements</v>
      </c>
      <c r="B29" s="63">
        <f>ROW()</f>
        <v>29</v>
      </c>
      <c r="C29" s="68" t="s">
        <v>262</v>
      </c>
      <c r="D29" s="68" t="s">
        <v>265</v>
      </c>
      <c r="E29" s="68"/>
      <c r="F29" s="32"/>
      <c r="G29" s="32"/>
      <c r="H29" s="32"/>
      <c r="I29" s="32"/>
      <c r="J29" s="32"/>
      <c r="K29" s="32"/>
      <c r="L29" s="32"/>
      <c r="M29" s="32"/>
      <c r="N29" s="32"/>
      <c r="O29" s="32"/>
    </row>
    <row r="30" spans="1:15" ht="15" thickBot="1" x14ac:dyDescent="0.35">
      <c r="A30" s="60" t="str">
        <f t="shared" si="13"/>
        <v>20b: Aircraft Runway Movements</v>
      </c>
      <c r="B30" s="63">
        <f>ROW()</f>
        <v>30</v>
      </c>
      <c r="C30" s="68" t="s">
        <v>262</v>
      </c>
      <c r="D30" s="166" t="s">
        <v>254</v>
      </c>
      <c r="E30" s="166"/>
      <c r="F30" s="168">
        <f>SUM(F27:F29)</f>
        <v>0</v>
      </c>
      <c r="G30" s="169">
        <f t="shared" ref="G30" si="14">SUM(G27:G29)</f>
        <v>0</v>
      </c>
      <c r="H30" s="169">
        <f>SUM(H27:H29)</f>
        <v>0</v>
      </c>
      <c r="I30" s="169">
        <f t="shared" ref="I30" si="15">SUM(I27:I29)</f>
        <v>0</v>
      </c>
      <c r="J30" s="169">
        <f t="shared" ref="J30" si="16">SUM(J27:J29)</f>
        <v>0</v>
      </c>
      <c r="K30" s="169">
        <f t="shared" ref="K30" si="17">SUM(K27:K29)</f>
        <v>0</v>
      </c>
      <c r="L30" s="169">
        <f t="shared" ref="L30" si="18">SUM(L27:L29)</f>
        <v>0</v>
      </c>
      <c r="M30" s="169">
        <f t="shared" ref="M30" si="19">SUM(M27:M29)</f>
        <v>0</v>
      </c>
      <c r="N30" s="169">
        <f t="shared" ref="N30" si="20">SUM(N27:N29)</f>
        <v>0</v>
      </c>
      <c r="O30" s="173">
        <f t="shared" ref="O30" si="21">SUM(O27:O29)</f>
        <v>0</v>
      </c>
    </row>
    <row r="31" spans="1:15" ht="14.4" x14ac:dyDescent="0.3">
      <c r="A31" s="60" t="str">
        <f t="shared" si="13"/>
        <v>20b: Aircraft Runway Movements</v>
      </c>
      <c r="B31" s="63">
        <f>ROW()</f>
        <v>31</v>
      </c>
      <c r="C31" s="68" t="s">
        <v>266</v>
      </c>
      <c r="D31" s="68" t="s">
        <v>263</v>
      </c>
      <c r="E31" s="68"/>
      <c r="F31" s="32"/>
      <c r="G31" s="32"/>
      <c r="H31" s="32"/>
      <c r="I31" s="32"/>
      <c r="J31" s="32"/>
      <c r="K31" s="32"/>
      <c r="L31" s="32"/>
      <c r="M31" s="32"/>
      <c r="N31" s="32"/>
      <c r="O31" s="32"/>
    </row>
    <row r="32" spans="1:15" ht="14.4" x14ac:dyDescent="0.3">
      <c r="A32" s="60" t="str">
        <f t="shared" si="13"/>
        <v>20b: Aircraft Runway Movements</v>
      </c>
      <c r="B32" s="63">
        <f>ROW()</f>
        <v>32</v>
      </c>
      <c r="C32" s="68" t="s">
        <v>266</v>
      </c>
      <c r="D32" s="68" t="s">
        <v>264</v>
      </c>
      <c r="E32" s="103"/>
      <c r="F32" s="32"/>
      <c r="G32" s="32"/>
      <c r="H32" s="32"/>
      <c r="I32" s="32"/>
      <c r="J32" s="32"/>
      <c r="K32" s="32"/>
      <c r="L32" s="32"/>
      <c r="M32" s="32"/>
      <c r="N32" s="32"/>
      <c r="O32" s="32"/>
    </row>
    <row r="33" spans="1:15" ht="15" thickBot="1" x14ac:dyDescent="0.35">
      <c r="A33" s="60" t="str">
        <f t="shared" si="13"/>
        <v>20b: Aircraft Runway Movements</v>
      </c>
      <c r="B33" s="63">
        <f>ROW()</f>
        <v>33</v>
      </c>
      <c r="C33" s="68" t="s">
        <v>266</v>
      </c>
      <c r="D33" s="68" t="s">
        <v>265</v>
      </c>
      <c r="E33" s="103"/>
      <c r="F33" s="32"/>
      <c r="G33" s="32"/>
      <c r="H33" s="32"/>
      <c r="I33" s="32"/>
      <c r="J33" s="32"/>
      <c r="K33" s="32"/>
      <c r="L33" s="32"/>
      <c r="M33" s="32"/>
      <c r="N33" s="32"/>
      <c r="O33" s="32"/>
    </row>
    <row r="34" spans="1:15" ht="15" thickBot="1" x14ac:dyDescent="0.35">
      <c r="A34" s="60" t="str">
        <f t="shared" si="13"/>
        <v>20b: Aircraft Runway Movements</v>
      </c>
      <c r="B34" s="63">
        <f>ROW()</f>
        <v>34</v>
      </c>
      <c r="C34" s="68" t="s">
        <v>266</v>
      </c>
      <c r="D34" s="166" t="s">
        <v>254</v>
      </c>
      <c r="E34" s="172"/>
      <c r="F34" s="168">
        <f>SUM(F31:F33)</f>
        <v>0</v>
      </c>
      <c r="G34" s="169">
        <f>SUM(G31:G33)</f>
        <v>0</v>
      </c>
      <c r="H34" s="169">
        <f>SUM(H31:H33)</f>
        <v>0</v>
      </c>
      <c r="I34" s="169">
        <f t="shared" ref="I34:O34" si="22">SUM(I31:I33)</f>
        <v>0</v>
      </c>
      <c r="J34" s="169">
        <f t="shared" si="22"/>
        <v>0</v>
      </c>
      <c r="K34" s="169">
        <f t="shared" si="22"/>
        <v>0</v>
      </c>
      <c r="L34" s="169">
        <f t="shared" si="22"/>
        <v>0</v>
      </c>
      <c r="M34" s="169">
        <f t="shared" si="22"/>
        <v>0</v>
      </c>
      <c r="N34" s="169">
        <f t="shared" si="22"/>
        <v>0</v>
      </c>
      <c r="O34" s="173">
        <f t="shared" si="22"/>
        <v>0</v>
      </c>
    </row>
    <row r="35" spans="1:15" ht="14.4" x14ac:dyDescent="0.3">
      <c r="A35" s="60" t="str">
        <f t="shared" si="13"/>
        <v>20b: Aircraft Runway Movements</v>
      </c>
      <c r="B35" s="63">
        <f>ROW()</f>
        <v>35</v>
      </c>
      <c r="C35" s="68" t="s">
        <v>262</v>
      </c>
      <c r="D35" s="68" t="s">
        <v>267</v>
      </c>
      <c r="E35" s="103"/>
      <c r="F35" s="32"/>
      <c r="G35" s="32"/>
      <c r="H35" s="32"/>
      <c r="I35" s="32"/>
      <c r="J35" s="32"/>
      <c r="K35" s="32"/>
      <c r="L35" s="32"/>
      <c r="M35" s="32"/>
      <c r="N35" s="32"/>
      <c r="O35" s="32"/>
    </row>
    <row r="36" spans="1:15" ht="14.4" x14ac:dyDescent="0.3">
      <c r="A36" s="104" t="str">
        <f t="shared" si="13"/>
        <v>20b: Aircraft Runway Movements</v>
      </c>
      <c r="B36" s="36">
        <f>ROW()</f>
        <v>36</v>
      </c>
      <c r="C36" s="68" t="s">
        <v>262</v>
      </c>
      <c r="D36" s="68" t="s">
        <v>268</v>
      </c>
      <c r="E36" s="103"/>
      <c r="F36" s="32"/>
      <c r="G36" s="32"/>
      <c r="H36" s="32"/>
      <c r="I36" s="32"/>
      <c r="J36" s="32"/>
      <c r="K36" s="32"/>
      <c r="L36" s="32"/>
      <c r="M36" s="32"/>
      <c r="N36" s="32"/>
      <c r="O36" s="32"/>
    </row>
    <row r="37" spans="1:15" ht="15" customHeight="1" x14ac:dyDescent="0.3">
      <c r="A37" s="104" t="str">
        <f t="shared" si="13"/>
        <v>20b: Aircraft Runway Movements</v>
      </c>
      <c r="B37" s="36">
        <f>ROW()</f>
        <v>37</v>
      </c>
      <c r="C37" s="68" t="s">
        <v>262</v>
      </c>
      <c r="D37" s="68" t="s">
        <v>269</v>
      </c>
      <c r="E37" s="103"/>
      <c r="F37" s="105"/>
      <c r="G37" s="32"/>
      <c r="H37" s="32"/>
      <c r="I37" s="32"/>
      <c r="J37" s="32"/>
      <c r="K37" s="32"/>
      <c r="L37" s="32"/>
      <c r="M37" s="32"/>
      <c r="N37" s="32"/>
      <c r="O37" s="32"/>
    </row>
    <row r="38" spans="1:15" ht="14.4" x14ac:dyDescent="0.3">
      <c r="A38" s="60" t="str">
        <f t="shared" ref="A38:A40" si="23">$A$23</f>
        <v>20b: Aircraft Runway Movements</v>
      </c>
      <c r="B38" s="63">
        <f>ROW()</f>
        <v>38</v>
      </c>
      <c r="C38" s="68" t="s">
        <v>266</v>
      </c>
      <c r="D38" s="68" t="s">
        <v>267</v>
      </c>
      <c r="E38" s="68"/>
      <c r="F38" s="32"/>
      <c r="G38" s="32"/>
      <c r="H38" s="32"/>
      <c r="I38" s="32"/>
      <c r="J38" s="32"/>
      <c r="K38" s="32"/>
      <c r="L38" s="32"/>
      <c r="M38" s="32"/>
      <c r="N38" s="32"/>
      <c r="O38" s="32"/>
    </row>
    <row r="39" spans="1:15" ht="14.4" x14ac:dyDescent="0.3">
      <c r="A39" s="60" t="str">
        <f t="shared" si="23"/>
        <v>20b: Aircraft Runway Movements</v>
      </c>
      <c r="B39" s="63">
        <f>ROW()</f>
        <v>39</v>
      </c>
      <c r="C39" s="68" t="s">
        <v>266</v>
      </c>
      <c r="D39" s="68" t="s">
        <v>268</v>
      </c>
      <c r="E39" s="68"/>
      <c r="F39" s="32"/>
      <c r="G39" s="32"/>
      <c r="H39" s="32"/>
      <c r="I39" s="32"/>
      <c r="J39" s="32"/>
      <c r="K39" s="32"/>
      <c r="L39" s="32"/>
      <c r="M39" s="32"/>
      <c r="N39" s="32"/>
      <c r="O39" s="32"/>
    </row>
    <row r="40" spans="1:15" ht="14.4" x14ac:dyDescent="0.3">
      <c r="A40" s="60" t="str">
        <f t="shared" si="23"/>
        <v>20b: Aircraft Runway Movements</v>
      </c>
      <c r="B40" s="63">
        <f>ROW()</f>
        <v>40</v>
      </c>
      <c r="C40" s="68" t="s">
        <v>266</v>
      </c>
      <c r="D40" s="68" t="s">
        <v>269</v>
      </c>
      <c r="E40" s="68"/>
      <c r="F40" s="32"/>
      <c r="G40" s="32"/>
      <c r="H40" s="32"/>
      <c r="I40" s="32"/>
      <c r="J40" s="32"/>
      <c r="K40" s="32"/>
      <c r="L40" s="32"/>
      <c r="M40" s="32"/>
      <c r="N40" s="32"/>
      <c r="O40" s="32"/>
    </row>
    <row r="41" spans="1:15" x14ac:dyDescent="0.3">
      <c r="A41" s="34" t="s">
        <v>270</v>
      </c>
      <c r="B41" s="4"/>
    </row>
  </sheetData>
  <phoneticPr fontId="32" type="noConversion"/>
  <pageMargins left="0.23622047244094491" right="0.23622047244094491" top="0.74803149606299213" bottom="0.74803149606299213" header="0.31496062992125984" footer="0.31496062992125984"/>
  <pageSetup paperSize="9" scale="39" fitToHeight="10" orientation="landscape" r:id="rId1"/>
  <ignoredErrors>
    <ignoredError sqref="A1" unlockedFormula="1"/>
  </ignoredError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7BE0-1F1E-4502-B62B-9E70A21BAA26}">
  <sheetPr>
    <tabColor theme="6" tint="-9.9978637043366805E-2"/>
    <pageSetUpPr fitToPage="1"/>
  </sheetPr>
  <dimension ref="A1:F23"/>
  <sheetViews>
    <sheetView showGridLines="0" view="pageBreakPreview" zoomScaleNormal="100" zoomScaleSheetLayoutView="100" workbookViewId="0"/>
  </sheetViews>
  <sheetFormatPr defaultRowHeight="13.8" x14ac:dyDescent="0.3"/>
  <cols>
    <col min="1" max="1" width="43.44140625" style="40" customWidth="1"/>
    <col min="2" max="2" width="9.109375" style="40" bestFit="1" customWidth="1"/>
    <col min="3" max="3" width="15.5546875" style="40" customWidth="1"/>
    <col min="4" max="4" width="34.44140625" style="40" customWidth="1"/>
    <col min="5" max="5" width="32.5546875" style="40" customWidth="1"/>
    <col min="6" max="6" width="96.77734375" style="40" customWidth="1"/>
  </cols>
  <sheetData>
    <row r="1" spans="1:6" ht="23.4" x14ac:dyDescent="0.3">
      <c r="A1" s="84" t="str">
        <f>company_name&amp;"    |     Pricing period starting year - "&amp;TEXT(pp_starting_year,"dd mmmm yyyy")&amp;"    |     Disclosure year - "&amp;TEXT('Pricing CoverSheet'!C10,"yyyy")</f>
        <v>[select name of the airport]    |     Pricing period starting year - 30 June 2023    |     Disclosure year - 2026</v>
      </c>
    </row>
    <row r="2" spans="1:6" ht="23.4" x14ac:dyDescent="0.3">
      <c r="A2" s="84"/>
    </row>
    <row r="3" spans="1:6" ht="23.4" x14ac:dyDescent="0.3">
      <c r="A3" s="84" t="s">
        <v>21</v>
      </c>
      <c r="C3" s="106"/>
      <c r="D3" s="106"/>
    </row>
    <row r="4" spans="1:6" ht="13.5" customHeight="1" x14ac:dyDescent="0.25">
      <c r="A4" s="51" t="s">
        <v>38</v>
      </c>
      <c r="B4" s="107" t="s">
        <v>39</v>
      </c>
      <c r="C4" s="107" t="s">
        <v>40</v>
      </c>
      <c r="D4" s="108" t="s">
        <v>41</v>
      </c>
      <c r="E4" s="109" t="s">
        <v>271</v>
      </c>
      <c r="F4" s="109" t="s">
        <v>272</v>
      </c>
    </row>
    <row r="5" spans="1:6" ht="151.05000000000001" customHeight="1" x14ac:dyDescent="0.3">
      <c r="A5" s="68" t="s">
        <v>86</v>
      </c>
      <c r="B5" s="68">
        <f>ROW()</f>
        <v>5</v>
      </c>
      <c r="C5" s="110"/>
      <c r="D5" s="111" t="s">
        <v>273</v>
      </c>
      <c r="E5" s="112"/>
      <c r="F5" s="113"/>
    </row>
    <row r="6" spans="1:6" ht="151.05000000000001" customHeight="1" x14ac:dyDescent="0.3">
      <c r="A6" s="68" t="s">
        <v>96</v>
      </c>
      <c r="B6" s="68">
        <f>ROW()</f>
        <v>6</v>
      </c>
      <c r="C6" s="110"/>
      <c r="D6" s="111" t="s">
        <v>274</v>
      </c>
      <c r="E6" s="112"/>
      <c r="F6" s="113"/>
    </row>
    <row r="7" spans="1:6" ht="151.05000000000001" customHeight="1" x14ac:dyDescent="0.3">
      <c r="A7" s="68" t="s">
        <v>101</v>
      </c>
      <c r="B7" s="68">
        <f>ROW()</f>
        <v>7</v>
      </c>
      <c r="C7" s="110"/>
      <c r="D7" s="111" t="s">
        <v>275</v>
      </c>
      <c r="E7" s="111"/>
      <c r="F7" s="113"/>
    </row>
    <row r="8" spans="1:6" ht="151.05000000000001" customHeight="1" x14ac:dyDescent="0.3">
      <c r="A8" s="68" t="s">
        <v>114</v>
      </c>
      <c r="B8" s="68">
        <f>ROW()</f>
        <v>8</v>
      </c>
      <c r="C8" s="110"/>
      <c r="D8" s="111" t="s">
        <v>276</v>
      </c>
      <c r="E8" s="111"/>
      <c r="F8" s="113"/>
    </row>
    <row r="9" spans="1:6" ht="151.05000000000001" customHeight="1" x14ac:dyDescent="0.3">
      <c r="A9" s="68" t="s">
        <v>114</v>
      </c>
      <c r="B9" s="68">
        <f>ROW()</f>
        <v>9</v>
      </c>
      <c r="C9" s="110"/>
      <c r="D9" s="111" t="s">
        <v>277</v>
      </c>
      <c r="E9" s="111"/>
      <c r="F9" s="113"/>
    </row>
    <row r="10" spans="1:6" ht="151.05000000000001" customHeight="1" x14ac:dyDescent="0.3">
      <c r="A10" s="68" t="s">
        <v>114</v>
      </c>
      <c r="B10" s="68">
        <f>ROW()</f>
        <v>10</v>
      </c>
      <c r="C10" s="110"/>
      <c r="D10" s="111" t="s">
        <v>278</v>
      </c>
      <c r="E10" s="111"/>
      <c r="F10" s="113"/>
    </row>
    <row r="11" spans="1:6" ht="151.05000000000001" customHeight="1" x14ac:dyDescent="0.3">
      <c r="A11" s="68" t="s">
        <v>137</v>
      </c>
      <c r="B11" s="68">
        <f>ROW()</f>
        <v>11</v>
      </c>
      <c r="C11" s="110"/>
      <c r="D11" s="111" t="s">
        <v>279</v>
      </c>
      <c r="E11" s="111"/>
      <c r="F11" s="113"/>
    </row>
    <row r="12" spans="1:6" ht="151.05000000000001" customHeight="1" x14ac:dyDescent="0.3">
      <c r="A12" s="68" t="s">
        <v>145</v>
      </c>
      <c r="B12" s="68">
        <f>ROW()</f>
        <v>12</v>
      </c>
      <c r="C12" s="110"/>
      <c r="D12" s="111" t="s">
        <v>280</v>
      </c>
      <c r="E12" s="111"/>
      <c r="F12" s="113"/>
    </row>
    <row r="13" spans="1:6" ht="151.05000000000001" customHeight="1" x14ac:dyDescent="0.3">
      <c r="A13" s="68" t="s">
        <v>160</v>
      </c>
      <c r="B13" s="68">
        <f>ROW()</f>
        <v>13</v>
      </c>
      <c r="C13" s="110"/>
      <c r="D13" s="114" t="s">
        <v>281</v>
      </c>
      <c r="E13" s="112" t="s">
        <v>282</v>
      </c>
      <c r="F13" s="113"/>
    </row>
    <row r="14" spans="1:6" ht="151.05000000000001" customHeight="1" x14ac:dyDescent="0.3">
      <c r="A14" s="68" t="s">
        <v>160</v>
      </c>
      <c r="B14" s="68">
        <f>ROW()</f>
        <v>14</v>
      </c>
      <c r="C14" s="110"/>
      <c r="D14" s="114" t="s">
        <v>283</v>
      </c>
      <c r="E14" s="112" t="s">
        <v>284</v>
      </c>
      <c r="F14" s="113"/>
    </row>
    <row r="15" spans="1:6" ht="151.05000000000001" customHeight="1" x14ac:dyDescent="0.3">
      <c r="A15" s="68" t="s">
        <v>212</v>
      </c>
      <c r="B15" s="68">
        <f>ROW()</f>
        <v>15</v>
      </c>
      <c r="C15" s="110"/>
      <c r="D15" s="112" t="s">
        <v>285</v>
      </c>
      <c r="E15" s="112"/>
      <c r="F15" s="113"/>
    </row>
    <row r="16" spans="1:6" ht="151.05000000000001" customHeight="1" x14ac:dyDescent="0.3">
      <c r="A16" s="68" t="s">
        <v>218</v>
      </c>
      <c r="B16" s="68">
        <f>ROW()</f>
        <v>16</v>
      </c>
      <c r="C16" s="110"/>
      <c r="D16" s="112" t="s">
        <v>286</v>
      </c>
      <c r="E16" s="112"/>
      <c r="F16" s="113"/>
    </row>
    <row r="17" spans="1:6" ht="151.05000000000001" customHeight="1" x14ac:dyDescent="0.3">
      <c r="A17" s="68" t="s">
        <v>221</v>
      </c>
      <c r="B17" s="68">
        <f>ROW()</f>
        <v>17</v>
      </c>
      <c r="C17" s="110"/>
      <c r="D17" s="112" t="s">
        <v>274</v>
      </c>
      <c r="E17" s="112"/>
      <c r="F17" s="113"/>
    </row>
    <row r="18" spans="1:6" ht="151.05000000000001" customHeight="1" x14ac:dyDescent="0.3">
      <c r="A18" s="68" t="s">
        <v>223</v>
      </c>
      <c r="B18" s="68">
        <f>ROW()</f>
        <v>18</v>
      </c>
      <c r="C18" s="110"/>
      <c r="D18" s="112" t="s">
        <v>275</v>
      </c>
      <c r="E18" s="112"/>
      <c r="F18" s="113"/>
    </row>
    <row r="19" spans="1:6" ht="151.05000000000001" customHeight="1" x14ac:dyDescent="0.3">
      <c r="A19" s="68" t="s">
        <v>225</v>
      </c>
      <c r="B19" s="68">
        <f>ROW()</f>
        <v>19</v>
      </c>
      <c r="C19" s="110"/>
      <c r="D19" s="112" t="s">
        <v>287</v>
      </c>
      <c r="E19" s="112"/>
      <c r="F19" s="113"/>
    </row>
    <row r="20" spans="1:6" ht="151.05000000000001" customHeight="1" x14ac:dyDescent="0.3">
      <c r="A20" s="68" t="s">
        <v>225</v>
      </c>
      <c r="B20" s="68">
        <f>ROW()</f>
        <v>20</v>
      </c>
      <c r="C20" s="110"/>
      <c r="D20" s="112" t="s">
        <v>288</v>
      </c>
      <c r="E20" s="112"/>
      <c r="F20" s="113"/>
    </row>
    <row r="21" spans="1:6" ht="151.05000000000001" customHeight="1" x14ac:dyDescent="0.3">
      <c r="A21" s="68" t="s">
        <v>225</v>
      </c>
      <c r="B21" s="68">
        <f>ROW()</f>
        <v>21</v>
      </c>
      <c r="C21" s="110"/>
      <c r="D21" s="112" t="s">
        <v>278</v>
      </c>
      <c r="E21" s="112"/>
      <c r="F21" s="113"/>
    </row>
    <row r="22" spans="1:6" ht="151.05000000000001" customHeight="1" x14ac:dyDescent="0.3">
      <c r="A22" s="68" t="s">
        <v>235</v>
      </c>
      <c r="B22" s="68">
        <f>ROW()</f>
        <v>22</v>
      </c>
      <c r="C22" s="110"/>
      <c r="D22" s="112" t="s">
        <v>279</v>
      </c>
      <c r="E22" s="112"/>
      <c r="F22" s="113"/>
    </row>
    <row r="23" spans="1:6" ht="151.05000000000001" customHeight="1" x14ac:dyDescent="0.3">
      <c r="A23" s="68" t="s">
        <v>289</v>
      </c>
      <c r="B23" s="68">
        <f>ROW()</f>
        <v>23</v>
      </c>
      <c r="C23" s="110"/>
      <c r="D23" s="112" t="s">
        <v>290</v>
      </c>
      <c r="E23" s="112"/>
      <c r="F23" s="113"/>
    </row>
  </sheetData>
  <pageMargins left="0.23622047244094491" right="0.23622047244094491" top="0.74803149606299213" bottom="0.74803149606299213" header="0.31496062992125984" footer="0.31496062992125984"/>
  <pageSetup paperSize="9" scale="63" fitToHeight="10" orientation="landscape" r:id="rId1"/>
  <rowBreaks count="1" manualBreakCount="1">
    <brk id="14" max="16383" man="1"/>
  </rowBreaks>
  <ignoredErrors>
    <ignoredError sqref="A1" unlockedFormula="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Pricing CoverSheet</vt:lpstr>
      <vt:lpstr>TOC</vt:lpstr>
      <vt:lpstr>Guidelines</vt:lpstr>
      <vt:lpstr>S18.Total revenue requirement</vt:lpstr>
      <vt:lpstr>S19.Pricing Asset Revenue</vt:lpstr>
      <vt:lpstr>S20.Demand Forecast</vt:lpstr>
      <vt:lpstr>Commentary</vt:lpstr>
      <vt:lpstr>company_name</vt:lpstr>
      <vt:lpstr>pp_starting_year</vt:lpstr>
      <vt:lpstr>Guidelines!Print_Area</vt:lpstr>
      <vt:lpstr>'Pricing CoverSheet'!Print_Area</vt:lpstr>
      <vt:lpstr>'S18.Total revenue requirement'!Print_Area</vt:lpstr>
      <vt:lpstr>'S19.Pricing Asset Revenue'!Print_Area</vt:lpstr>
      <vt:lpstr>'S20.Demand Forecast'!Print_Area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2026-04-20T22:20:45Z</dcterms:created>
  <dcterms:modified xsi:type="dcterms:W3CDTF">2026-04-21T20:29:28Z</dcterms:modified>
  <cp:category/>
  <cp:contentStatus/>
</cp:coreProperties>
</file>