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202300"/>
  <xr:revisionPtr revIDLastSave="0" documentId="13_ncr:1_{C7E7D1B8-A871-43E6-8185-CEFD1197A7A5}" xr6:coauthVersionLast="47" xr6:coauthVersionMax="47" xr10:uidLastSave="{00000000-0000-0000-0000-000000000000}"/>
  <bookViews>
    <workbookView xWindow="20990" yWindow="-18140" windowWidth="16920" windowHeight="10450" xr2:uid="{3DF12C36-BD90-467F-8B65-31CC63905239}"/>
  </bookViews>
  <sheets>
    <sheet name="CoverSheet" sheetId="1" r:id="rId1"/>
    <sheet name="Description" sheetId="17" r:id="rId2"/>
    <sheet name="Table of Contents" sheetId="18" r:id="rId3"/>
    <sheet name="External data" sheetId="14" r:id="rId4"/>
    <sheet name="Inputs and definitions" sheetId="15" r:id="rId5"/>
    <sheet name="Mechanical hybrid TAMRP =&gt;" sheetId="16" r:id="rId6"/>
    <sheet name="Ibbotson TAMRP" sheetId="6" r:id="rId7"/>
    <sheet name="Siegel 1 TAMRP" sheetId="7" r:id="rId8"/>
    <sheet name="Long-term risk-free rate" sheetId="10" r:id="rId9"/>
    <sheet name="Siegel 2 TAMRP" sheetId="8" r:id="rId10"/>
    <sheet name="Forecast CPI inflation" sheetId="20" r:id="rId11"/>
    <sheet name="Output" sheetId="4" r:id="rId12"/>
    <sheet name="Conditioning variables =&gt;" sheetId="13" r:id="rId13"/>
    <sheet name="DGM TAMRP" sheetId="11" r:id="rId14"/>
  </sheets>
  <definedNames>
    <definedName name="_xlnm.Print_Area" localSheetId="0">CoverSheet!$A$1:$D$6</definedName>
    <definedName name="_xlnm.Print_Area" localSheetId="1">Description!$A$1:$E$42</definedName>
    <definedName name="_xlnm.Print_Area" localSheetId="13">'DGM TAMRP'!$A$1:$Q$85</definedName>
    <definedName name="_xlnm.Print_Area" localSheetId="3">'External data'!$A$1:$K$157</definedName>
    <definedName name="_xlnm.Print_Area" localSheetId="10">'Forecast CPI inflation'!$A$1:$F$28</definedName>
    <definedName name="_xlnm.Print_Area" localSheetId="6">'Ibbotson TAMRP'!$A$1:$G$32</definedName>
    <definedName name="_xlnm.Print_Area" localSheetId="4">'Inputs and definitions'!$A$1:$M$41</definedName>
    <definedName name="_xlnm.Print_Area" localSheetId="8">'Long-term risk-free rate'!$A$1:$F$15</definedName>
    <definedName name="_xlnm.Print_Area" localSheetId="11">Output!$A$1:$F$12</definedName>
    <definedName name="_xlnm.Print_Area" localSheetId="7">'Siegel 1 TAMRP'!$A$1:$G$37</definedName>
    <definedName name="_xlnm.Print_Area" localSheetId="9">'Siegel 2 TAMRP'!$A$1:$U$37</definedName>
    <definedName name="_xlnm.Print_Area" localSheetId="2">'Table of Contents'!$A$1:$F$21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1" l="1"/>
  <c r="C31" i="11"/>
  <c r="C29" i="11"/>
  <c r="F21" i="8"/>
  <c r="C7" i="11" s="1"/>
  <c r="E21" i="8"/>
  <c r="D21" i="8"/>
  <c r="E6" i="20"/>
  <c r="D6" i="20"/>
  <c r="C6" i="20"/>
  <c r="E23" i="8"/>
  <c r="D23" i="8"/>
  <c r="C23" i="8"/>
  <c r="E8" i="20" l="1"/>
  <c r="E9" i="20"/>
  <c r="E10" i="20"/>
  <c r="E11" i="20"/>
  <c r="E12" i="20"/>
  <c r="E13" i="20"/>
  <c r="E14" i="20"/>
  <c r="E15" i="20"/>
  <c r="E16" i="20"/>
  <c r="E17" i="20"/>
  <c r="E18" i="20"/>
  <c r="E7" i="20"/>
  <c r="C7" i="20"/>
  <c r="C13" i="8"/>
  <c r="C12" i="8"/>
  <c r="C14" i="7"/>
  <c r="C13" i="7"/>
  <c r="C12" i="7"/>
  <c r="C13" i="6"/>
  <c r="C12" i="6"/>
  <c r="D72" i="11"/>
  <c r="C17" i="18"/>
  <c r="C14" i="18"/>
  <c r="E13" i="18"/>
  <c r="C13" i="18"/>
  <c r="E12" i="18"/>
  <c r="C12" i="18"/>
  <c r="C11" i="18"/>
  <c r="C8" i="18"/>
  <c r="C7" i="18"/>
  <c r="E57" i="11"/>
  <c r="G78" i="11" s="1"/>
  <c r="D57" i="11"/>
  <c r="F78" i="11" s="1"/>
  <c r="C57" i="11"/>
  <c r="C42" i="11"/>
  <c r="D73" i="11" s="1"/>
  <c r="C41" i="11"/>
  <c r="D7" i="20"/>
  <c r="D8" i="20"/>
  <c r="D9" i="20"/>
  <c r="D10" i="20"/>
  <c r="D11" i="20"/>
  <c r="D12" i="20"/>
  <c r="D13" i="20"/>
  <c r="D14" i="20"/>
  <c r="D15" i="20"/>
  <c r="D16" i="20"/>
  <c r="D17" i="20"/>
  <c r="D18" i="20"/>
  <c r="C8" i="20"/>
  <c r="C9" i="20"/>
  <c r="C10" i="20"/>
  <c r="C11" i="20"/>
  <c r="C12" i="20"/>
  <c r="C13" i="20"/>
  <c r="C14" i="20"/>
  <c r="C15" i="20"/>
  <c r="C16" i="20"/>
  <c r="C17" i="20"/>
  <c r="C18" i="20"/>
  <c r="E22" i="7"/>
  <c r="D22" i="7"/>
  <c r="C22" i="7"/>
  <c r="E80" i="14"/>
  <c r="E79" i="14"/>
  <c r="E78" i="14"/>
  <c r="D74" i="11" l="1"/>
  <c r="L43" i="11"/>
  <c r="L44" i="11" s="1"/>
  <c r="L45" i="11" s="1"/>
  <c r="L46" i="11" s="1"/>
  <c r="L47" i="11" s="1"/>
  <c r="L48" i="11" s="1"/>
  <c r="L49" i="11" s="1"/>
  <c r="L50" i="11" s="1"/>
  <c r="E78" i="11"/>
  <c r="E26" i="20"/>
  <c r="F20" i="8" s="1"/>
  <c r="C20" i="6"/>
  <c r="C22" i="8"/>
  <c r="E20" i="6"/>
  <c r="E21" i="7" s="1"/>
  <c r="E22" i="8"/>
  <c r="E29" i="8" s="1"/>
  <c r="D20" i="6"/>
  <c r="D22" i="8"/>
  <c r="D26" i="20"/>
  <c r="E20" i="8" s="1"/>
  <c r="C26" i="20"/>
  <c r="D20" i="8" s="1"/>
  <c r="C43" i="11" l="1"/>
  <c r="F53" i="14"/>
  <c r="E9" i="10" s="1"/>
  <c r="H55" i="14"/>
  <c r="E10" i="10" s="1"/>
  <c r="H43" i="14"/>
  <c r="D10" i="10" s="1"/>
  <c r="F43" i="14"/>
  <c r="D9" i="10" s="1"/>
  <c r="H31" i="14"/>
  <c r="C10" i="10" s="1"/>
  <c r="F31" i="14"/>
  <c r="C9" i="10" s="1"/>
  <c r="D55" i="14"/>
  <c r="D43" i="14"/>
  <c r="D31" i="14"/>
  <c r="D11" i="10" l="1"/>
  <c r="C11" i="10"/>
  <c r="C19" i="6"/>
  <c r="C29" i="6" s="1"/>
  <c r="C20" i="7"/>
  <c r="D19" i="6"/>
  <c r="D29" i="6" s="1"/>
  <c r="D20" i="7"/>
  <c r="E19" i="6"/>
  <c r="E29" i="6" s="1"/>
  <c r="E33" i="7" s="1"/>
  <c r="E20" i="7"/>
  <c r="E31" i="7" s="1"/>
  <c r="E11" i="10"/>
  <c r="D12" i="10" l="1"/>
  <c r="D23" i="7" s="1"/>
  <c r="C12" i="10"/>
  <c r="C23" i="7" s="1"/>
  <c r="E12" i="10"/>
  <c r="E23" i="7" s="1"/>
  <c r="F77" i="11"/>
  <c r="G77" i="11" s="1"/>
  <c r="H77" i="11" s="1"/>
  <c r="I77" i="11" s="1"/>
  <c r="J77" i="11" s="1"/>
  <c r="K77" i="11" s="1"/>
  <c r="L77" i="11" s="1"/>
  <c r="M77" i="11" s="1"/>
  <c r="N77" i="11" s="1"/>
  <c r="O77" i="11" s="1"/>
  <c r="E77" i="11"/>
  <c r="D14" i="11"/>
  <c r="E14" i="11" s="1"/>
  <c r="D61" i="11" s="1"/>
  <c r="D15" i="11"/>
  <c r="E15" i="11" s="1"/>
  <c r="E61" i="11" s="1"/>
  <c r="D16" i="11"/>
  <c r="E16" i="11" s="1"/>
  <c r="D17" i="11"/>
  <c r="E17" i="11" s="1"/>
  <c r="D18" i="11"/>
  <c r="E18" i="11" s="1"/>
  <c r="D19" i="11"/>
  <c r="E19" i="11" s="1"/>
  <c r="D20" i="11"/>
  <c r="E20" i="11" s="1"/>
  <c r="D21" i="11"/>
  <c r="E21" i="11" s="1"/>
  <c r="D22" i="11"/>
  <c r="E22" i="11" s="1"/>
  <c r="D23" i="11"/>
  <c r="E23" i="11" s="1"/>
  <c r="D13" i="11"/>
  <c r="E13" i="11" s="1"/>
  <c r="C61" i="11" s="1"/>
  <c r="E80" i="11" l="1"/>
  <c r="E81" i="11" s="1"/>
  <c r="G80" i="11"/>
  <c r="G81" i="11" s="1"/>
  <c r="D75" i="11" l="1"/>
  <c r="H76" i="11" s="1"/>
  <c r="H78" i="11" s="1"/>
  <c r="F80" i="11"/>
  <c r="F81" i="11" s="1"/>
  <c r="I76" i="11" l="1"/>
  <c r="J76" i="11" s="1"/>
  <c r="K76" i="11" s="1"/>
  <c r="L76" i="11" s="1"/>
  <c r="M76" i="11" s="1"/>
  <c r="N76" i="11" s="1"/>
  <c r="O76" i="11" s="1"/>
  <c r="H80" i="11"/>
  <c r="H81" i="11" s="1"/>
  <c r="I78" i="11" l="1"/>
  <c r="I80" i="11" s="1"/>
  <c r="I81" i="11" s="1"/>
  <c r="J78" i="11" l="1"/>
  <c r="K78" i="11" s="1"/>
  <c r="J80" i="11"/>
  <c r="J81" i="11" s="1"/>
  <c r="L78" i="11" l="1"/>
  <c r="K80" i="11"/>
  <c r="K81" i="11" s="1"/>
  <c r="M78" i="11" l="1"/>
  <c r="L80" i="11"/>
  <c r="L81" i="11" s="1"/>
  <c r="N78" i="11" l="1"/>
  <c r="M80" i="11"/>
  <c r="M81" i="11" s="1"/>
  <c r="O78" i="11" l="1"/>
  <c r="O79" i="11" s="1"/>
  <c r="N80" i="11"/>
  <c r="N81" i="11" s="1"/>
  <c r="D21" i="7"/>
  <c r="C21" i="7"/>
  <c r="D31" i="7"/>
  <c r="D33" i="7"/>
  <c r="C31" i="7"/>
  <c r="D28" i="6"/>
  <c r="E28" i="6"/>
  <c r="C28" i="6"/>
  <c r="C27" i="6" s="1"/>
  <c r="D29" i="8" l="1"/>
  <c r="D27" i="6"/>
  <c r="D30" i="8"/>
  <c r="D31" i="8" s="1"/>
  <c r="E27" i="6"/>
  <c r="E30" i="8"/>
  <c r="E31" i="8" s="1"/>
  <c r="E30" i="6"/>
  <c r="E29" i="7"/>
  <c r="D29" i="7"/>
  <c r="C33" i="7"/>
  <c r="D30" i="6"/>
  <c r="E7" i="6" s="1"/>
  <c r="D6" i="4" s="1"/>
  <c r="O80" i="11"/>
  <c r="O81" i="11" s="1"/>
  <c r="D81" i="11" s="1"/>
  <c r="D30" i="7"/>
  <c r="C29" i="8"/>
  <c r="C30" i="7"/>
  <c r="C32" i="7" s="1"/>
  <c r="C30" i="6"/>
  <c r="E30" i="7"/>
  <c r="E32" i="7" s="1"/>
  <c r="E34" i="7" s="1"/>
  <c r="C30" i="8"/>
  <c r="C31" i="8" s="1"/>
  <c r="C29" i="7"/>
  <c r="D32" i="8" l="1"/>
  <c r="D33" i="8" s="1"/>
  <c r="D34" i="8" s="1"/>
  <c r="E7" i="8" s="1"/>
  <c r="D8" i="4" s="1"/>
  <c r="D7" i="6"/>
  <c r="C6" i="4" s="1"/>
  <c r="C34" i="7"/>
  <c r="C35" i="7" s="1"/>
  <c r="F7" i="6"/>
  <c r="E6" i="4" s="1"/>
  <c r="E32" i="8"/>
  <c r="E33" i="8" s="1"/>
  <c r="E34" i="8" s="1"/>
  <c r="F7" i="8" s="1"/>
  <c r="E8" i="4" s="1"/>
  <c r="D32" i="7"/>
  <c r="D34" i="7" s="1"/>
  <c r="D82" i="11"/>
  <c r="F57" i="11"/>
  <c r="F61" i="11" s="1"/>
  <c r="C32" i="8"/>
  <c r="D7" i="7" l="1"/>
  <c r="C7" i="4" s="1"/>
  <c r="E35" i="7"/>
  <c r="C33" i="8"/>
  <c r="C34" i="8" s="1"/>
  <c r="D35" i="7"/>
  <c r="C44" i="11"/>
  <c r="G57" i="11" s="1"/>
  <c r="G61" i="11" s="1"/>
  <c r="D7" i="8" l="1"/>
  <c r="C8" i="4" s="1"/>
  <c r="C9" i="4" s="1"/>
  <c r="E7" i="7"/>
  <c r="D7" i="4" s="1"/>
  <c r="D9" i="4" s="1"/>
  <c r="F7" i="7"/>
  <c r="E7" i="4" s="1"/>
  <c r="E9" i="4" s="1"/>
  <c r="C45" i="11"/>
  <c r="H57" i="11" s="1"/>
  <c r="H61" i="11" s="1"/>
  <c r="C46" i="11" l="1"/>
  <c r="I57" i="11" s="1"/>
  <c r="I61" i="11" s="1"/>
  <c r="C47" i="11" l="1"/>
  <c r="J57" i="11" s="1"/>
  <c r="J61" i="11" s="1"/>
  <c r="C48" i="11" l="1"/>
  <c r="K57" i="11" s="1"/>
  <c r="K61" i="11" s="1"/>
  <c r="C49" i="11" l="1"/>
  <c r="L57" i="11" s="1"/>
  <c r="L61" i="11" s="1"/>
  <c r="C50" i="11" l="1"/>
  <c r="M57" i="11" s="1"/>
  <c r="C51" i="11" l="1"/>
  <c r="M58" i="11" s="1"/>
  <c r="M59" i="11" s="1"/>
  <c r="M61" i="11" s="1"/>
  <c r="M62" i="1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0">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future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<sst xmlns="http://schemas.openxmlformats.org/spreadsheetml/2006/main" count="344" uniqueCount="247">
  <si>
    <t>Ibbotson TAMRP</t>
  </si>
  <si>
    <t>Inputs</t>
  </si>
  <si>
    <t>TAMRP_H^Ibb</t>
  </si>
  <si>
    <t>External data</t>
  </si>
  <si>
    <t>R_t^f</t>
  </si>
  <si>
    <t>R_t^m</t>
  </si>
  <si>
    <t>N_H</t>
  </si>
  <si>
    <t>T^C</t>
  </si>
  <si>
    <t>Calculations</t>
  </si>
  <si>
    <t>N_C</t>
  </si>
  <si>
    <t>N_T</t>
  </si>
  <si>
    <t>TAMRP_t^Ibb</t>
  </si>
  <si>
    <t>TAMRP_C^Ibb</t>
  </si>
  <si>
    <t>Siegel 1 TAMRP</t>
  </si>
  <si>
    <t>TAMRP_H^S1</t>
  </si>
  <si>
    <t>R_t^(fr)</t>
  </si>
  <si>
    <t>R_L^f</t>
  </si>
  <si>
    <t>R_L^f (1995-2022)</t>
  </si>
  <si>
    <t>TAMRP_t^S1</t>
  </si>
  <si>
    <t>TAMRP_C^S1</t>
  </si>
  <si>
    <t>Siegel 2 TAMRP</t>
  </si>
  <si>
    <t>R_H^(mr)</t>
  </si>
  <si>
    <t>N_Y</t>
  </si>
  <si>
    <t>R_C^(mr)</t>
  </si>
  <si>
    <t>i</t>
  </si>
  <si>
    <t>R_f</t>
  </si>
  <si>
    <t>R_t^(mr)</t>
  </si>
  <si>
    <t>N_Z</t>
  </si>
  <si>
    <t>R^(mr)</t>
  </si>
  <si>
    <t>R^(mc)</t>
  </si>
  <si>
    <t>For estimation year</t>
  </si>
  <si>
    <t>Average</t>
  </si>
  <si>
    <t>Data year</t>
  </si>
  <si>
    <t>Real long-term risk-free rate</t>
  </si>
  <si>
    <t>R_L^f (Jan 2023 - )</t>
  </si>
  <si>
    <t>TAMRP^Ibb</t>
  </si>
  <si>
    <t>TAMRP^S1</t>
  </si>
  <si>
    <t>Outputs</t>
  </si>
  <si>
    <t>TAMRP^S2</t>
  </si>
  <si>
    <t>No. of years (1995-2022)</t>
  </si>
  <si>
    <t>DGM TAMRP</t>
  </si>
  <si>
    <t>y (% of current FY remaining)</t>
  </si>
  <si>
    <t>D1 (expressed as a % of index value on determination date)</t>
  </si>
  <si>
    <t>D2 (expressed as a % of index value on determination date)</t>
  </si>
  <si>
    <t>D3 (expressed as a % of index value on determination date)</t>
  </si>
  <si>
    <t>implied growth rate in last forecast year</t>
  </si>
  <si>
    <t>long-run expected real growth in GDP</t>
  </si>
  <si>
    <t>long-run expected growth rate in DPS</t>
  </si>
  <si>
    <t>D4</t>
  </si>
  <si>
    <t>D5</t>
  </si>
  <si>
    <t>D6</t>
  </si>
  <si>
    <t>D7</t>
  </si>
  <si>
    <t>D8</t>
  </si>
  <si>
    <t>D9</t>
  </si>
  <si>
    <t>D10</t>
  </si>
  <si>
    <t>D11</t>
  </si>
  <si>
    <t>k</t>
  </si>
  <si>
    <t>For determination year</t>
  </si>
  <si>
    <t>long-run expected inflation rate</t>
  </si>
  <si>
    <t>Year</t>
  </si>
  <si>
    <t>convergence period rates</t>
  </si>
  <si>
    <t>Year 1</t>
  </si>
  <si>
    <t>Year 2</t>
  </si>
  <si>
    <t>Year 3</t>
  </si>
  <si>
    <t>Year 4</t>
  </si>
  <si>
    <t>Year 5</t>
  </si>
  <si>
    <t>Year 6</t>
  </si>
  <si>
    <t>Year 7</t>
  </si>
  <si>
    <t>Year 8</t>
  </si>
  <si>
    <t>Year 9</t>
  </si>
  <si>
    <t>Year 10</t>
  </si>
  <si>
    <t>Year 11</t>
  </si>
  <si>
    <t>deduction for net creation of new shares from new companies and new share issues (net of buybacks) from existing companies</t>
  </si>
  <si>
    <t>Long run growth rate</t>
  </si>
  <si>
    <t>Growth rate last year</t>
  </si>
  <si>
    <t>Smoothing rate</t>
  </si>
  <si>
    <t>Smoothing factor</t>
  </si>
  <si>
    <t>Years remaining</t>
  </si>
  <si>
    <t>Cross check</t>
  </si>
  <si>
    <t>part way through calendar year</t>
  </si>
  <si>
    <t>Term of discounting, adjusted for -&gt;</t>
  </si>
  <si>
    <t>&lt;- y/2</t>
  </si>
  <si>
    <t>&lt;-0.5+y</t>
  </si>
  <si>
    <t>&lt;-1.5+y</t>
  </si>
  <si>
    <t>&lt;-2.5+y</t>
  </si>
  <si>
    <t>&lt;-3.5+y</t>
  </si>
  <si>
    <t>&lt;-4.5+y</t>
  </si>
  <si>
    <t>&lt;-5.5+y</t>
  </si>
  <si>
    <t>&lt;-6.5+y</t>
  </si>
  <si>
    <t>&lt;-7.5+y</t>
  </si>
  <si>
    <t>&lt;-8.5+y</t>
  </si>
  <si>
    <t>&lt;-9.5+y</t>
  </si>
  <si>
    <t>CF</t>
  </si>
  <si>
    <t>Proportion of year remaining</t>
  </si>
  <si>
    <t>PV (at t=0)</t>
  </si>
  <si>
    <t>Terminal value</t>
  </si>
  <si>
    <t>contin div stream, average term till receipt 6 months</t>
  </si>
  <si>
    <t xml:space="preserve"> At financial year ending 30 June _</t>
  </si>
  <si>
    <t>Rounded</t>
  </si>
  <si>
    <t>RBNZ Wholesale Interest Rates - B2 Monthly close (2018-current)</t>
  </si>
  <si>
    <t>Secondary market government bond yields</t>
  </si>
  <si>
    <t>5 year</t>
  </si>
  <si>
    <t>%</t>
  </si>
  <si>
    <t>Inflation indexed bond</t>
  </si>
  <si>
    <t>%pa</t>
  </si>
  <si>
    <t>Inputs and definitions</t>
  </si>
  <si>
    <t>T_t^c</t>
  </si>
  <si>
    <t>RBNZ Prices - M1 (1988-current)</t>
  </si>
  <si>
    <t>Consumers price index (CPI)</t>
  </si>
  <si>
    <t>(y/y%)</t>
  </si>
  <si>
    <t>Bloomberg's S&amp;P/NZX50 Gross Index (BB:NZSE50FG)</t>
  </si>
  <si>
    <t>BoY</t>
  </si>
  <si>
    <t>EoY</t>
  </si>
  <si>
    <t>Weighting on inflation indexed bond 1</t>
  </si>
  <si>
    <t>Weighting on inflation indexed bond 2</t>
  </si>
  <si>
    <t>Midpoint of data year</t>
  </si>
  <si>
    <t>Average yield bond 1</t>
  </si>
  <si>
    <t>Average yield bond 2</t>
  </si>
  <si>
    <t>Weighted average yield in data year</t>
  </si>
  <si>
    <t>Weighted average yield 2023-</t>
  </si>
  <si>
    <t>Note:</t>
  </si>
  <si>
    <t>Weightings are determined by calculating the term to maturity from the midpoint date to the maturity date of the two bonds that straddle the desired maturity date and then calculating the weightings which give a weighted average TtM of 5 years</t>
  </si>
  <si>
    <t>Q1</t>
  </si>
  <si>
    <t>Q2</t>
  </si>
  <si>
    <t>Q3</t>
  </si>
  <si>
    <t>Q4</t>
  </si>
  <si>
    <t>Q5</t>
  </si>
  <si>
    <t>Q6</t>
  </si>
  <si>
    <t>Q7</t>
  </si>
  <si>
    <t>Q8</t>
  </si>
  <si>
    <t>Q9</t>
  </si>
  <si>
    <t>Q10</t>
  </si>
  <si>
    <t>Q11</t>
  </si>
  <si>
    <t>Q12</t>
  </si>
  <si>
    <t>Q13</t>
  </si>
  <si>
    <t>Forecast CPI inflation</t>
  </si>
  <si>
    <t>Q14</t>
  </si>
  <si>
    <t>Q15</t>
  </si>
  <si>
    <t>Q16</t>
  </si>
  <si>
    <t>Q17</t>
  </si>
  <si>
    <t>Q18</t>
  </si>
  <si>
    <t>Q19</t>
  </si>
  <si>
    <t>Q20</t>
  </si>
  <si>
    <t>Table of Contents</t>
  </si>
  <si>
    <t>Sheet Name</t>
  </si>
  <si>
    <t>Link</t>
  </si>
  <si>
    <t>Mechancial hybrid TAMRP</t>
  </si>
  <si>
    <t>Long term risk-free rate</t>
  </si>
  <si>
    <t>Conditioning variables</t>
  </si>
  <si>
    <t>Output</t>
  </si>
  <si>
    <t>Related sheet</t>
  </si>
  <si>
    <t>Description</t>
  </si>
  <si>
    <t>General description</t>
  </si>
  <si>
    <t>High level calculation steps</t>
  </si>
  <si>
    <t>This model calculates the mechanical hybrid TAMRP, per the Input Methodologies (IMs), and the DGM TAMRP:</t>
  </si>
  <si>
    <t>Part of Table 7.1 of the May 2024 Monetary Policy Statement by RBNZ</t>
  </si>
  <si>
    <t>Part of Table 6.1 of the May 2025 Monetary Policy Statement by RBNZ</t>
  </si>
  <si>
    <t>Ibbotson TAMRP in 2024, 2025 and 2026</t>
  </si>
  <si>
    <t>Siegel 1 TAMRP in 2024, 2025 and 2026</t>
  </si>
  <si>
    <t>Siegel 2 TAMRP in 2024, 2025 and 2026</t>
  </si>
  <si>
    <t>Mechanical hybrid TAMRP in 2024, 2025 and 2026</t>
  </si>
  <si>
    <t>Rounded mechancial hybrid TAMRP in 2024, 2025 and 2026</t>
  </si>
  <si>
    <t>The 'Output' sheet contains:</t>
  </si>
  <si>
    <t>The 'DGM TAMRP' sheet contains:</t>
  </si>
  <si>
    <t>DGM TAMRP in 2026</t>
  </si>
  <si>
    <t>From Schedule H of the Electricity Distribution Services IMs, Gas Distribution Businesses IMs, Gas Transmission Services IMs; Schedule C of the Fibre IMs; Schedule B of the Transpower IMs</t>
  </si>
  <si>
    <t>Ibbotson TAMRP, as described in subclauses (3) to (5) in Schedule H of the Electricity Distribution Services IMs, Gas Distribution Businesses IMs, Gas Transmission Services IMs; subclauses (3) to (5) of Schedule C of the Fibre IMs; subclauses (3) to (5) of the Transpower IMs</t>
  </si>
  <si>
    <t>DGM TAMRP, as described in the cost of capital draft decision paper</t>
  </si>
  <si>
    <t>Siegel 1 TAMRP, as described in subclauses (6) to (8) in Schedule H of the Electricity Distribution Services IMs, Gas Distribution Businesses IMs, Gas Transmission Services IMs; subclauses (6) to (8) of Schedule C of the Fibre IMs; subclauses (6) to (8) of the Transpower IMs</t>
  </si>
  <si>
    <t>Siegel 2 TAMRP, as described in subclauses (9) to (12) in Schedule H of the Electricity Distribution Services IMs, Gas Distribution Businesses IMs, Gas Transmission Services IMs; subclauses (9) to (12) of Schedule C of the Fibre IMs; subclauses (9) to (12) of the Transpower IMs</t>
  </si>
  <si>
    <t>Mechanical hybrid TAMRP, as described in clause 4.4.3A of the Electricity Distribution Services IMs, Gas Distribution Businesses IMs, Gas Transmission Services IMs; clause 3.5.3A of the Fibre IMs; clause 3.5.4A of the Transpower IMs</t>
  </si>
  <si>
    <t>equals 7.4% (being the Ibbotson TAMRP from 1931 to 2022)</t>
  </si>
  <si>
    <t>equals 92 (being the number of years from 1931 to 2022)</t>
  </si>
  <si>
    <t>is the number of years from 1931 to one year prior to the current year</t>
  </si>
  <si>
    <r>
      <rPr>
        <b/>
        <sz val="11"/>
        <color theme="1"/>
        <rFont val="Calibri"/>
        <family val="2"/>
      </rPr>
      <t>TAMRP_C^Ibb</t>
    </r>
    <r>
      <rPr>
        <sz val="11"/>
        <color theme="1"/>
        <rFont val="Calibri"/>
        <family val="2"/>
      </rPr>
      <t xml:space="preserve"> </t>
    </r>
  </si>
  <si>
    <t>is the number of years from 2023 to one year prior to the current year</t>
  </si>
  <si>
    <t>is the current year</t>
  </si>
  <si>
    <t>n</t>
  </si>
  <si>
    <t>is the nominal total market return in year t, determined using the S&amp;P/NZX 50 Gross Index</t>
  </si>
  <si>
    <t>is the nominal r-year risk-free rate in year t, where r equals the regulatory period term, determined by taking the calendar year average of r-year government bond yields published under the Reserve Bank of New Zealand B2 series</t>
  </si>
  <si>
    <t>is the Ibbotson 'year t' TAMRP for 'year t' determined in accordance with the following formula:</t>
  </si>
  <si>
    <t>is the Ibbotson 'current' TAMRP from 2023 to one year prior to the current year, determined in accordance with the following formula:</t>
  </si>
  <si>
    <t>is the Ibbotson TAMRP, determined in accordance with the following formula:</t>
  </si>
  <si>
    <t xml:space="preserve"> is the company tax rate in year t</t>
  </si>
  <si>
    <t xml:space="preserve">T_t^c </t>
  </si>
  <si>
    <t>is the Siegel 1 TAMRP, determined in accordance with the following formula:</t>
  </si>
  <si>
    <t>is 6.0% (being the adjusted average of historical excess returns from 1931 to 2022 through replacement of the historical average real risk-free rate with an estimate of the expected long-term real risk-free rate</t>
  </si>
  <si>
    <t>is the Siegel 1 'current' TAMRP, determined in accordance with the following formula:</t>
  </si>
  <si>
    <t>is the Siegel 1 'year t' TAMRP for year t, determined in accordance with the following formula:</t>
  </si>
  <si>
    <t>is the real r-year risk-free rate in year t, where r equals the regulatory period term, determined by taking the calendar average of r-year government bond yields published under the Reserve Bank of New Zealand B2 series and deflated using the CPI Dec y/y% published under the Reserve Bank of New Zealand M1 series</t>
  </si>
  <si>
    <t>is the real long-term risk-free rate, determined by calculating the average yield on inflation-protected New Zealand government bonds from 1995 until one year prior to the current year for a term to maturity that equals the regulatory period term, on the basis that the average yield from 1995 to 2022 is 2.8%.</t>
  </si>
  <si>
    <t>is the Siegel 2 TAMRP, determined in accordance with the following formula:</t>
  </si>
  <si>
    <t>is the current expected market return, determined in accordance with the following formula:</t>
  </si>
  <si>
    <t>is the current risk-free rate at the time of determining the TAMRP</t>
  </si>
  <si>
    <r>
      <rPr>
        <b/>
        <sz val="11"/>
        <color theme="1"/>
        <rFont val="Calibri"/>
        <family val="2"/>
      </rPr>
      <t>R_f</t>
    </r>
    <r>
      <rPr>
        <sz val="11"/>
        <color theme="1"/>
        <rFont val="Calibri"/>
        <family val="2"/>
      </rPr>
      <t xml:space="preserve"> </t>
    </r>
  </si>
  <si>
    <t>is the company tax-rate at the time of determination</t>
  </si>
  <si>
    <t>is the historical average real market return from 1900 to one year prior to the current year, determined in accordance with the following formula:</t>
  </si>
  <si>
    <t>is the forecast CPI for the next r years, where r equals the regulatory period term</t>
  </si>
  <si>
    <r>
      <rPr>
        <b/>
        <sz val="11"/>
        <color theme="1"/>
        <rFont val="Calibri"/>
        <family val="2"/>
      </rPr>
      <t>i</t>
    </r>
    <r>
      <rPr>
        <sz val="11"/>
        <color theme="1"/>
        <rFont val="Calibri"/>
        <family val="2"/>
      </rPr>
      <t xml:space="preserve"> </t>
    </r>
  </si>
  <si>
    <t>equals 7.8% (being the historical average real market return from 1900 to 2022)</t>
  </si>
  <si>
    <t>is 123 (being the number of years from 1900 to 2022)</t>
  </si>
  <si>
    <t>is the number of years from 1900 to one year prior to the current year</t>
  </si>
  <si>
    <t>is the average real market return from 2023 to one year prior to the current year, determined in accordance with the following formula:</t>
  </si>
  <si>
    <t>is the real market return in yeat t, determined using the S&amp;P/NZX 50 Gross Index and deflated using the CPI Dec y/y%, published under the Reserve Bank of New Zealand M1 series.</t>
  </si>
  <si>
    <t>has the same meaning as defined in cell H10</t>
  </si>
  <si>
    <t>has the same meaning as defined in cell H7</t>
  </si>
  <si>
    <t>has the same meaning as defined in cell H8</t>
  </si>
  <si>
    <t>CPI Dec y/y</t>
  </si>
  <si>
    <t>Table 6.1 of the May 2025 Monetary Policy Statement by RBNZ</t>
  </si>
  <si>
    <t>Table 7.1 of the May 2024 Monetary Policy Statement by RBNZ</t>
  </si>
  <si>
    <t>Part of Table 6.1 of the November 2025 Monetary Policy Statement by RBNZ</t>
  </si>
  <si>
    <t>This workbook calculates the mechanical hybrid TAMRP (average of Ibbotson TAMRP, Siegel 1 TAMRP and Siegel 2 TAMRP) as well as the DGM TAMRP to be used as a conditioning variable.</t>
  </si>
  <si>
    <r>
      <rPr>
        <b/>
        <sz val="11"/>
        <color theme="1"/>
        <rFont val="Calibri"/>
        <family val="2"/>
      </rPr>
      <t>Disclaimer</t>
    </r>
    <r>
      <rPr>
        <sz val="11"/>
        <color theme="1"/>
        <rFont val="Calibri"/>
        <family val="2"/>
      </rPr>
      <t>: the Chorus ID WACC determination was used to obtain an estimate of the risk-free rate for determination year 2026 [2026] NZCC 1 - Cost of capital determination - Chorus ID - 12 February 2026. We acknowledge there are two problems with this: (1) this is a 4-year risk-free rate while the Ibbotson and Siegel 1 estimates are defined using a 5-year risk-free rate and (2) this is an ID WACC determination while our draft decision would only re-estimate the TAMRP at a PQ WACC determination. However, this is the most recent estimate of the current risk-free rate available using the Commission's methodology. The risk-free rate in 2025 comes from [2025] NZCC 16 - Cost of capital determination - Transpower, GDBs and Airports ID - 4 August 2025 and is a 5-year risk-free rate, and the risk-free rate in 2024 comes from [2024] NZCC 15 - Cost of capital determination - Transpower, GDBs and Airports ID - 1 August 2024, and is a 5-year risk-free rate. Both the 2024 and 2025 risk-free rates also come from ID WACC determinations.</t>
    </r>
  </si>
  <si>
    <t>Table 6.1 of the November 2025 Monetary Policy Statement by RBNZ</t>
  </si>
  <si>
    <t>This sheet contains a copy of part of:</t>
  </si>
  <si>
    <t>Stats NZ CPI, annual percentage change, Dec 2021-Dec 2025 quarters</t>
  </si>
  <si>
    <t>RBNZ Wholesale Interest Rates - B2 Monthly close (2018-current) series</t>
  </si>
  <si>
    <t>RBNZ Prices - M1 (1988-current) series</t>
  </si>
  <si>
    <t>Bloomberg S&amp;P/NZX50 Gross Index (BB:NZSE50FG)</t>
  </si>
  <si>
    <t>Commerce Commission cost of capital determination [2024] NZCC 15</t>
  </si>
  <si>
    <t>Commerce Commission cost of capital determination [2025] NZCC 16</t>
  </si>
  <si>
    <r>
      <rPr>
        <b/>
        <sz val="11"/>
        <color theme="1"/>
        <rFont val="Calibri"/>
        <family val="2"/>
      </rPr>
      <t>DISCLAIMER:</t>
    </r>
    <r>
      <rPr>
        <sz val="11"/>
        <color theme="1"/>
        <rFont val="Calibri"/>
        <family val="2"/>
      </rPr>
      <t xml:space="preserve"> The purpose of this Excel workbook is to illustrate the mechanics of how the Ibbotson TAMRP, Siegel 1 TAMRP, Siegel 2 TAMRP and DGM TAMRP would be calculated, for the most part, under the methodology outlined in the draft decision using data from 2024, 2025 and 2026. The purpose is </t>
    </r>
    <r>
      <rPr>
        <b/>
        <sz val="11"/>
        <color theme="1"/>
        <rFont val="Calibri"/>
        <family val="2"/>
      </rPr>
      <t>NOT</t>
    </r>
    <r>
      <rPr>
        <sz val="11"/>
        <color theme="1"/>
        <rFont val="Calibri"/>
        <family val="2"/>
      </rPr>
      <t xml:space="preserve"> to produce binding estimates of the TAMRP that would be applicable for regulated suppliers under PQ and ID regulation.</t>
    </r>
  </si>
  <si>
    <t>Part of RBNZ Wholesale Interest Rates - B2 Monthly close (2018-current) series</t>
  </si>
  <si>
    <t>Part of RBNZ Prices - M1 (1988-current) series</t>
  </si>
  <si>
    <t>Part of Bloomberg S&amp;P/NZX50 Gross Index (BB:NZSE50FG)</t>
  </si>
  <si>
    <t>Part of Stats NZ CPI, annual percentage change, Dec 2021-Dec 2025 quarters</t>
  </si>
  <si>
    <t>Part of Table 4 of the Commerce Commission's cost of capital determination for disclosure year 2025 for information disclosure [2024] NZCC 15</t>
  </si>
  <si>
    <t>Commerce Commission cost of capital determination [2026] NZCC 1</t>
  </si>
  <si>
    <t>Commerce Commission Cost of capital determination for disclosure year 2025 for information disclosure regulation; for Transpower, gas distribution businesses and suppliers of specified airport services with a June year-end) [2024] NZCC 15</t>
  </si>
  <si>
    <t>Commerce Commission Cost of capital determination for disclosure year 2026 for information disclosure regulation; for Transpower, GasNet, Vetor, Auckland International Airport and Christchurch International Airport [2025] NZCC 16</t>
  </si>
  <si>
    <t>Commerce Commission Cost of capital determination for disclosure year 2026 for information disclosure regulation; for Chorus Limited [2026] NZCC 1</t>
  </si>
  <si>
    <t>TMR</t>
  </si>
  <si>
    <t>&lt;- Goal-seek to set M62=0</t>
  </si>
  <si>
    <t>SUM (minus 1)</t>
  </si>
  <si>
    <t>Bloomberg S&amp;P/NZX50 Gross Index (BB:NZSE50FG) Total Dividend (in Index Points)</t>
  </si>
  <si>
    <t>March 10 2026 v1</t>
  </si>
  <si>
    <t>is the Ibbotson 'year t' TAMRP for 'year t', determined in accordance with TAMRP_t^Ibb in cell H12</t>
  </si>
  <si>
    <t>Part of Table 4 of the Commerce Commission's cost of capital determination for disclosure year 2026 for information disclosure [2025] NZCC16</t>
  </si>
  <si>
    <t>Part of Table 2 of the Commerce Commission's cost of capital determination for disclosure year 2026 for information disclosure [2026] NZCC1</t>
  </si>
  <si>
    <r>
      <rPr>
        <b/>
        <sz val="11"/>
        <color theme="1"/>
        <rFont val="Calibri"/>
        <family val="2"/>
      </rPr>
      <t>DISCLAIMER:</t>
    </r>
    <r>
      <rPr>
        <sz val="11"/>
        <color theme="1"/>
        <rFont val="Calibri"/>
        <family val="2"/>
      </rPr>
      <t xml:space="preserve"> our draft approach is to average the DGM TAMRP estimates over a one month period. This sheet illustrates how we would estimate the TAMRP for a day in the one month period. This sheet estimates the DGM TAMRP using an estimate of the TMR on 29th January 2026 and an estimate of the risk-free rate for the three-month period ending 31 December 2025. We also note the disclaimer outlined in the "Siegel 2 TAMRP" sheet regarding the estimate of the current risk-free rate for determination year 2026 is relevant.</t>
    </r>
  </si>
  <si>
    <t>Risk-free rate (5-year)</t>
  </si>
  <si>
    <t>Risk-free rate (4-year)</t>
  </si>
  <si>
    <t>CPI Inflation</t>
  </si>
  <si>
    <t>Annual</t>
  </si>
  <si>
    <t>Consumers price index, annual percentage change, Dec 2021-Dec 2025 quarters</t>
  </si>
  <si>
    <t xml:space="preserve">
Common cost of capital IM Review (fibre and sectors regulated under Part 4) </t>
  </si>
  <si>
    <t>Fibre IM Review Project 2027 
Draft decision - TAMRP model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</si>
</sst>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164" formatCode="_(* #,##0.00_);_(* \(#,##0.00\);_(* &quot;-&quot;??_);_(@_)"/>
    <numFmt numFmtId="165" formatCode="_(* #,##0%_);_(* \(#,##0%\);_(* &quot;–&quot;???_);_(* @_)"/>
    <numFmt numFmtId="166" formatCode="_(* #,##0.00_);_(* \(#,##0.00\);_(* &quot;–&quot;???_);_(* @_)"/>
    <numFmt numFmtId="167" formatCode="_(* #,##0.0000_);_(* \(#,##0.0000\);_(* &quot;–&quot;???_);_(* @_)"/>
    <numFmt numFmtId="168" formatCode="_-* #,##0.0000_-;\-* #,##0.0000_-;_-* &quot;-&quot;??_-;_-@_-"/>
    <numFmt numFmtId="169" formatCode="0.0000"/>
    <numFmt numFmtId="170" formatCode="0.00000"/>
    <numFmt numFmtId="171" formatCode="0.00000000000000000000000"/>
    <numFmt numFmtId="172" formatCode="0.000%"/>
    <numFmt numFmtId="173" formatCode="_-* #,##0.000_-;\-* #,##0.000_-;_-* &quot;-&quot;??_-;_-@_-"/>
    <numFmt numFmtId="174" formatCode="_-* #,##0.00000_-;\-* #,##0.00000_-;_-* &quot;-&quot;??_-;_-@_-"/>
    <numFmt numFmtId="175" formatCode="mmm\ yyyy"/>
    <numFmt numFmtId="176" formatCode="0.0"/>
    <numFmt numFmtId="177" formatCode="0.000"/>
    <numFmt numFmtId="178" formatCode="#,##0.0"/>
  </numFmts>
  <fonts count="48" x14ac:knownFonts="1">
    <font>
      <sz val="11"/>
      <color theme="1"/>
      <name val="Aptos Narrow"/>
      <family val="2"/>
      <scheme val="minor"/>
    </font>
    <font>
      <b/>
      <sz val="11"/>
      <color theme="3"/>
      <name val="Aptos Narrow"/>
      <family val="2"/>
      <scheme val="minor"/>
    </font>
    <font>
      <b/>
      <sz val="11"/>
      <color rgb="FF3F3F3F"/>
      <name val="Aptos Narrow"/>
      <family val="2"/>
      <scheme val="minor"/>
    </font>
    <font>
      <sz val="11"/>
      <color theme="1"/>
      <name val="Calibri"/>
      <family val="2"/>
    </font>
    <font>
      <b/>
      <sz val="11"/>
      <color theme="1"/>
      <name val="Calibri"/>
      <family val="2"/>
    </font>
    <font>
      <b/>
      <sz val="20"/>
      <color rgb="FFC00000"/>
      <name val="Calibri"/>
      <family val="2"/>
    </font>
    <font>
      <b/>
      <sz val="16"/>
      <color theme="1"/>
      <name val="Calibri"/>
      <family val="2"/>
    </font>
    <font>
      <b/>
      <sz val="10"/>
      <name val="Aptos Narrow"/>
      <family val="4"/>
      <scheme val="minor"/>
    </font>
    <font>
      <sz val="11"/>
      <color theme="8" tint="-0.24994659260841701"/>
      <name val="Aptos Narrow"/>
      <family val="2"/>
      <scheme val="minor"/>
    </font>
    <font>
      <sz val="11"/>
      <color rgb="FFC00000"/>
      <name val="Calibri"/>
      <family val="2"/>
    </font>
    <font>
      <b/>
      <sz val="11"/>
      <color theme="3"/>
      <name val="Calibri"/>
      <family val="2"/>
    </font>
    <font>
      <b/>
      <sz val="10"/>
      <name val="Calibri"/>
      <family val="2"/>
    </font>
    <font>
      <sz val="11"/>
      <color rgb="FF948E71"/>
      <name val="Calibri"/>
      <family val="2"/>
    </font>
    <font>
      <sz val="11"/>
      <name val="Calibri"/>
      <family val="2"/>
    </font>
    <font>
      <b/>
      <sz val="10"/>
      <color theme="1"/>
      <name val="Calibri"/>
      <family val="2"/>
    </font>
    <font>
      <sz val="11"/>
      <color theme="2" tint="-9.9978637043366805E-2"/>
      <name val="Calibri"/>
      <family val="2"/>
    </font>
    <font>
      <b/>
      <sz val="14"/>
      <color rgb="FFC00000"/>
      <name val="Calibri"/>
      <family val="2"/>
    </font>
    <font>
      <i/>
      <sz val="11"/>
      <color theme="1"/>
      <name val="Calibri"/>
      <family val="2"/>
    </font>
    <font>
      <sz val="11"/>
      <color indexed="8"/>
      <name val="Aptos Narrow"/>
      <family val="2"/>
      <scheme val="minor"/>
    </font>
    <font>
      <sz val="10"/>
      <name val="Arial"/>
      <family val="2"/>
    </font>
    <font>
      <sz val="10"/>
      <name val="Arial"/>
      <family val="2"/>
    </font>
    <font>
      <b/>
      <sz val="11"/>
      <color rgb="FFC00000"/>
      <name val="Calibri"/>
      <family val="2"/>
    </font>
    <font>
      <i/>
      <sz val="10"/>
      <color theme="1"/>
      <name val="Calibri"/>
      <family val="2"/>
    </font>
    <font>
      <i/>
      <sz val="11"/>
      <color theme="1"/>
      <name val="Aptos Narrow"/>
      <family val="2"/>
      <scheme val="minor"/>
    </font>
    <font>
      <sz val="11"/>
      <color theme="1"/>
      <name val="Aptos Narrow"/>
      <family val="2"/>
      <scheme val="minor"/>
    </font>
    <font>
      <sz val="8"/>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sz val="11"/>
      <name val="Aptos Narrow"/>
      <family val="2"/>
      <scheme val="minor"/>
    </font>
    <font>
      <sz val="11"/>
      <color theme="1"/>
      <name val="Arial"/>
      <family val="2"/>
    </font>
    <font>
      <b/>
      <sz val="11"/>
      <color rgb="FF0000FF"/>
      <name val="Aptos Narrow"/>
      <family val="2"/>
      <scheme val="minor"/>
    </font>
    <font>
      <sz val="11"/>
      <color rgb="FFED1166"/>
      <name val="Aptos Narrow"/>
      <family val="2"/>
      <scheme val="minor"/>
    </font>
    <font>
      <u/>
      <sz val="11"/>
      <color theme="10"/>
      <name val="Calibri"/>
      <family val="2"/>
    </font>
    <font>
      <sz val="11"/>
      <color theme="4"/>
      <name val="Aptos Narrow"/>
      <family val="2"/>
      <scheme val="minor"/>
    </font>
    <font>
      <b/>
      <sz val="11"/>
      <name val="Calibri"/>
      <family val="2"/>
    </font>
    <font>
      <sz val="11"/>
      <color rgb="FFED1166"/>
      <name val="Calibri"/>
      <family val="2"/>
    </font>
    <font>
      <sz val="11"/>
      <color theme="4"/>
      <name val="Calibri"/>
      <family val="2"/>
    </font>
    <font>
      <sz val="16"/>
      <color theme="1"/>
      <name val="Calibri"/>
      <family val="2"/>
    </font>
    <font>
      <b/>
      <sz val="14"/>
      <color theme="1"/>
      <name val="Calibri"/>
      <family val="2"/>
    </font>
    <font>
      <sz val="11"/>
      <color theme="9"/>
      <name val="Calibri"/>
      <family val="2"/>
    </font>
    <font>
      <b/>
      <sz val="20"/>
      <color theme="2"/>
      <name val="Aptos Narrow"/>
      <family val="2"/>
      <scheme val="minor"/>
    </font>
    <font>
      <b/>
      <sz val="16"/>
      <name val="Calibri"/>
      <family val="2"/>
    </font>
    <font>
      <b/>
      <sz val="11"/>
      <color theme="9"/>
      <name val="Calibri"/>
      <family val="2"/>
    </font>
    <font>
      <b/>
      <sz val="12"/>
      <name val="Calibri"/>
      <family val="2"/>
    </font>
    <font>
      <b/>
      <sz val="18"/>
      <name val="Calibri"/>
      <family val="2"/>
    </font>
    <font>
      <b/>
      <sz val="36"/>
      <name val="Aptos Narrow"/>
      <family val="2"/>
      <scheme val="minor"/>
    </font>
    <font>
      <b/>
      <sz val="18"/>
      <color rgb="FFFF2741"/>
      <name val="Calibri"/>
      <family val="2"/>
    </font>
  </fonts>
  <fills count="8">
    <fill>
      <patternFill patternType="none"/>
    </fill>
    <fill>
      <patternFill patternType="gray125"/>
    </fill>
    <fill>
      <patternFill patternType="solid">
        <fgColor rgb="FFF2F2F2"/>
      </patternFill>
    </fill>
    <fill>
      <patternFill patternType="solid">
        <fgColor theme="6"/>
        <bgColor indexed="64"/>
      </patternFill>
    </fill>
    <fill>
      <patternFill patternType="solid">
        <fgColor theme="4"/>
        <bgColor indexed="64"/>
      </patternFill>
    </fill>
    <fill>
      <patternFill patternType="solid">
        <fgColor theme="3" tint="0.89999084444715716"/>
        <bgColor indexed="64"/>
      </patternFill>
    </fill>
    <fill>
      <patternFill patternType="solid">
        <fgColor rgb="FFFFD2D8"/>
        <bgColor rgb="FF000000"/>
      </patternFill>
    </fill>
    <fill>
      <patternFill patternType="solid">
        <fgColor theme="0"/>
        <bgColor indexed="64"/>
      </patternFill>
    </fill>
  </fills>
  <borders count="20">
    <border>
      <left/>
      <right/>
      <top/>
      <bottom/>
      <diagonal/>
    </border>
    <border>
      <left style="thin">
        <color rgb="FF3F3F3F"/>
      </left>
      <right style="thin">
        <color rgb="FF3F3F3F"/>
      </right>
      <top style="thin">
        <color rgb="FF3F3F3F"/>
      </top>
      <bottom style="thin">
        <color rgb="FF3F3F3F"/>
      </bottom>
      <diagonal/>
    </border>
    <border>
      <left/>
      <right/>
      <top/>
      <bottom style="thin">
        <color theme="8" tint="-0.24994659260841701"/>
      </bottom>
      <diagonal/>
    </border>
    <border>
      <left/>
      <right/>
      <top style="thin">
        <color theme="8" tint="-0.24994659260841701"/>
      </top>
      <bottom style="thin">
        <color theme="8" tint="-0.24994659260841701"/>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rgb="FFFF2741"/>
      </bottom>
      <diagonal/>
    </border>
  </borders>
  <cellStyleXfs count="13">
    <xf numFmtId="0" fontId="0" fillId="0" borderId="0"/>
    <xf numFmtId="0" fontId="1" fillId="0" borderId="0" applyNumberFormat="0" applyFill="0" applyBorder="0" applyAlignment="0" applyProtection="0"/>
    <xf numFmtId="0" fontId="2" fillId="2" borderId="1" applyNumberFormat="0" applyAlignment="0" applyProtection="0"/>
    <xf numFmtId="0" fontId="7" fillId="3" borderId="2" applyNumberFormat="0" applyFill="0">
      <alignment horizontal="right" wrapText="1"/>
    </xf>
    <xf numFmtId="165" fontId="8" fillId="4" borderId="3" applyNumberFormat="0" applyFill="0" applyAlignment="0"/>
    <xf numFmtId="0" fontId="18" fillId="0" borderId="0"/>
    <xf numFmtId="164" fontId="24" fillId="0" borderId="0" applyFont="0" applyFill="0" applyBorder="0" applyAlignment="0" applyProtection="0"/>
    <xf numFmtId="0" fontId="30" fillId="0" borderId="0"/>
    <xf numFmtId="0" fontId="26" fillId="0" borderId="0"/>
    <xf numFmtId="14" fontId="24" fillId="0" borderId="0"/>
    <xf numFmtId="0" fontId="31" fillId="0" borderId="0">
      <alignment horizontal="right"/>
    </xf>
    <xf numFmtId="0" fontId="28" fillId="0" borderId="0" applyNumberFormat="0" applyFill="0" applyBorder="0" applyAlignment="0" applyProtection="0"/>
    <xf numFmtId="49" fontId="41" fillId="0" borderId="0" applyFill="0" applyAlignment="0"/>
  </cellStyleXfs>
  <cellXfs count="203">
    <xf numFmtId="0" fontId="0" fillId="0" borderId="0" xfId="0"/>
    <xf numFmtId="0" fontId="3" fillId="0" borderId="0" xfId="0" applyFont="1"/>
    <xf numFmtId="0" fontId="4" fillId="0" borderId="0" xfId="0" applyFont="1"/>
    <xf numFmtId="0" fontId="6" fillId="0" borderId="0" xfId="0" applyFont="1"/>
    <xf numFmtId="0" fontId="0" fillId="0" borderId="4" xfId="0" applyBorder="1"/>
    <xf numFmtId="170" fontId="0" fillId="0" borderId="0" xfId="0" applyNumberFormat="1"/>
    <xf numFmtId="0" fontId="3" fillId="0" borderId="4" xfId="0" applyFont="1" applyBorder="1"/>
    <xf numFmtId="0" fontId="9" fillId="0" borderId="4" xfId="0" applyFont="1" applyBorder="1"/>
    <xf numFmtId="0" fontId="9" fillId="0" borderId="0" xfId="0" applyFont="1"/>
    <xf numFmtId="0" fontId="10" fillId="0" borderId="0" xfId="1" applyFont="1" applyFill="1" applyAlignment="1">
      <alignment horizontal="left"/>
    </xf>
    <xf numFmtId="0" fontId="11" fillId="0" borderId="0" xfId="3" applyFont="1" applyFill="1" applyBorder="1">
      <alignment horizontal="right" wrapText="1"/>
    </xf>
    <xf numFmtId="167" fontId="12" fillId="0" borderId="4" xfId="4" applyNumberFormat="1" applyFont="1" applyFill="1" applyBorder="1"/>
    <xf numFmtId="166" fontId="12" fillId="0" borderId="4" xfId="4" applyNumberFormat="1" applyFont="1" applyFill="1" applyBorder="1"/>
    <xf numFmtId="169" fontId="3" fillId="0" borderId="4" xfId="0" applyNumberFormat="1" applyFont="1" applyBorder="1"/>
    <xf numFmtId="0" fontId="3" fillId="0" borderId="4" xfId="2" applyFont="1" applyFill="1" applyBorder="1"/>
    <xf numFmtId="0" fontId="14" fillId="0" borderId="0" xfId="0" applyFont="1"/>
    <xf numFmtId="0" fontId="15" fillId="0" borderId="4" xfId="0" applyFont="1" applyBorder="1"/>
    <xf numFmtId="0" fontId="16" fillId="0" borderId="4" xfId="0" applyFont="1" applyBorder="1"/>
    <xf numFmtId="10" fontId="3" fillId="0" borderId="4" xfId="0" applyNumberFormat="1" applyFont="1" applyBorder="1"/>
    <xf numFmtId="10" fontId="0" fillId="0" borderId="4" xfId="0" applyNumberFormat="1" applyBorder="1"/>
    <xf numFmtId="0" fontId="13" fillId="0" borderId="4" xfId="3" applyFont="1" applyFill="1" applyBorder="1">
      <alignment horizontal="right" wrapText="1"/>
    </xf>
    <xf numFmtId="169" fontId="13" fillId="0" borderId="4" xfId="3" applyNumberFormat="1" applyFont="1" applyFill="1" applyBorder="1">
      <alignment horizontal="right" wrapText="1"/>
    </xf>
    <xf numFmtId="10" fontId="0" fillId="0" borderId="0" xfId="0" applyNumberFormat="1"/>
    <xf numFmtId="0" fontId="17" fillId="0" borderId="0" xfId="0" applyFont="1" applyAlignment="1">
      <alignment horizontal="left" vertical="center" wrapText="1"/>
    </xf>
    <xf numFmtId="168" fontId="3" fillId="0" borderId="4" xfId="0" applyNumberFormat="1" applyFont="1" applyBorder="1"/>
    <xf numFmtId="15" fontId="0" fillId="0" borderId="0" xfId="0" applyNumberFormat="1"/>
    <xf numFmtId="9" fontId="0" fillId="0" borderId="0" xfId="0" applyNumberFormat="1"/>
    <xf numFmtId="2" fontId="20" fillId="0" borderId="0" xfId="5" applyNumberFormat="1" applyFont="1" applyAlignment="1">
      <alignment horizontal="right" vertical="top" wrapText="1"/>
    </xf>
    <xf numFmtId="0" fontId="21" fillId="0" borderId="0" xfId="0" applyFont="1"/>
    <xf numFmtId="0" fontId="22" fillId="0" borderId="0" xfId="0" applyFont="1"/>
    <xf numFmtId="0" fontId="0" fillId="0" borderId="9" xfId="0" applyBorder="1"/>
    <xf numFmtId="2" fontId="0" fillId="0" borderId="0" xfId="0" applyNumberFormat="1"/>
    <xf numFmtId="0" fontId="0" fillId="0" borderId="11" xfId="0" applyBorder="1"/>
    <xf numFmtId="0" fontId="0" fillId="0" borderId="12" xfId="0" applyBorder="1"/>
    <xf numFmtId="0" fontId="0" fillId="0" borderId="0" xfId="0" applyAlignment="1">
      <alignment horizontal="center"/>
    </xf>
    <xf numFmtId="0" fontId="3" fillId="0" borderId="0" xfId="0" applyFont="1" applyAlignment="1">
      <alignment horizontal="left" vertical="top" wrapText="1"/>
    </xf>
    <xf numFmtId="0" fontId="0" fillId="0" borderId="14" xfId="0" applyBorder="1"/>
    <xf numFmtId="0" fontId="5" fillId="0" borderId="0" xfId="0" applyFont="1" applyAlignment="1">
      <alignment horizontal="center"/>
    </xf>
    <xf numFmtId="169" fontId="0" fillId="0" borderId="0" xfId="0" applyNumberFormat="1"/>
    <xf numFmtId="0" fontId="17" fillId="0" borderId="0" xfId="0" applyFont="1" applyAlignment="1">
      <alignment horizontal="center"/>
    </xf>
    <xf numFmtId="2" fontId="19" fillId="0" borderId="0" xfId="5" applyNumberFormat="1" applyFont="1" applyAlignment="1">
      <alignment horizontal="right" vertical="top" wrapText="1"/>
    </xf>
    <xf numFmtId="0" fontId="0" fillId="0" borderId="15" xfId="0" applyBorder="1"/>
    <xf numFmtId="0" fontId="5" fillId="0" borderId="0" xfId="0" applyFont="1"/>
    <xf numFmtId="2" fontId="19" fillId="0" borderId="0" xfId="0" applyNumberFormat="1" applyFont="1" applyAlignment="1">
      <alignment horizontal="right" vertical="top" wrapText="1"/>
    </xf>
    <xf numFmtId="2" fontId="0" fillId="0" borderId="11" xfId="0" applyNumberFormat="1" applyBorder="1"/>
    <xf numFmtId="0" fontId="3" fillId="0" borderId="4" xfId="0" applyFont="1" applyBorder="1" applyAlignment="1">
      <alignment wrapText="1"/>
    </xf>
    <xf numFmtId="0" fontId="3" fillId="0" borderId="4" xfId="0" applyFont="1" applyBorder="1" applyAlignment="1">
      <alignment vertical="top" wrapText="1"/>
    </xf>
    <xf numFmtId="0" fontId="3" fillId="0" borderId="0" xfId="0" applyFont="1" applyAlignment="1">
      <alignment wrapText="1"/>
    </xf>
    <xf numFmtId="0" fontId="3" fillId="0" borderId="11" xfId="0" applyFont="1" applyBorder="1"/>
    <xf numFmtId="0" fontId="4" fillId="0" borderId="4" xfId="0" applyFont="1" applyBorder="1" applyAlignment="1">
      <alignment wrapText="1"/>
    </xf>
    <xf numFmtId="176" fontId="32" fillId="0" borderId="0" xfId="0" applyNumberFormat="1" applyFont="1"/>
    <xf numFmtId="176" fontId="32" fillId="0" borderId="11" xfId="0" applyNumberFormat="1" applyFont="1" applyBorder="1"/>
    <xf numFmtId="176" fontId="29" fillId="0" borderId="0" xfId="0" applyNumberFormat="1" applyFont="1"/>
    <xf numFmtId="0" fontId="14" fillId="0" borderId="11" xfId="0" applyFont="1" applyBorder="1"/>
    <xf numFmtId="0" fontId="27" fillId="0" borderId="17" xfId="0" applyFont="1" applyBorder="1"/>
    <xf numFmtId="0" fontId="4" fillId="0" borderId="16" xfId="0" applyFont="1" applyBorder="1"/>
    <xf numFmtId="0" fontId="3" fillId="0" borderId="14" xfId="0" applyFont="1" applyBorder="1"/>
    <xf numFmtId="0" fontId="17" fillId="0" borderId="14" xfId="0" applyFont="1" applyBorder="1"/>
    <xf numFmtId="0" fontId="33" fillId="0" borderId="14" xfId="11" applyFont="1" applyBorder="1"/>
    <xf numFmtId="0" fontId="27" fillId="0" borderId="16" xfId="0" applyFont="1" applyBorder="1"/>
    <xf numFmtId="0" fontId="3" fillId="0" borderId="16" xfId="0" applyFont="1" applyBorder="1"/>
    <xf numFmtId="0" fontId="33" fillId="0" borderId="16" xfId="11" applyFont="1" applyBorder="1"/>
    <xf numFmtId="0" fontId="3" fillId="0" borderId="13" xfId="0" applyFont="1" applyBorder="1"/>
    <xf numFmtId="0" fontId="33" fillId="0" borderId="13" xfId="11" applyFont="1" applyBorder="1"/>
    <xf numFmtId="0" fontId="33" fillId="0" borderId="17" xfId="11" applyFont="1" applyBorder="1"/>
    <xf numFmtId="0" fontId="28" fillId="0" borderId="16" xfId="11" applyBorder="1"/>
    <xf numFmtId="0" fontId="28" fillId="0" borderId="17" xfId="11" applyBorder="1"/>
    <xf numFmtId="15" fontId="3" fillId="0" borderId="4" xfId="0" applyNumberFormat="1" applyFont="1" applyBorder="1"/>
    <xf numFmtId="9" fontId="3" fillId="0" borderId="4" xfId="0" applyNumberFormat="1" applyFont="1" applyBorder="1"/>
    <xf numFmtId="0" fontId="3" fillId="0" borderId="4" xfId="0" applyFont="1" applyBorder="1" applyAlignment="1">
      <alignment horizontal="left"/>
    </xf>
    <xf numFmtId="9" fontId="3" fillId="0" borderId="4" xfId="0" applyNumberFormat="1" applyFont="1" applyBorder="1" applyAlignment="1">
      <alignment horizontal="right"/>
    </xf>
    <xf numFmtId="10" fontId="3" fillId="0" borderId="4" xfId="0" applyNumberFormat="1" applyFont="1" applyBorder="1" applyAlignment="1">
      <alignment horizontal="right"/>
    </xf>
    <xf numFmtId="2" fontId="13" fillId="0" borderId="4" xfId="5" applyNumberFormat="1" applyFont="1" applyBorder="1" applyAlignment="1">
      <alignment horizontal="left" vertical="top" wrapText="1"/>
    </xf>
    <xf numFmtId="0" fontId="4" fillId="0" borderId="4" xfId="0" applyFont="1" applyBorder="1"/>
    <xf numFmtId="0" fontId="4" fillId="0" borderId="4" xfId="0" applyFont="1" applyBorder="1" applyAlignment="1">
      <alignment vertical="center"/>
    </xf>
    <xf numFmtId="0" fontId="4" fillId="0" borderId="4" xfId="0" applyFont="1" applyBorder="1" applyAlignment="1">
      <alignment vertical="top" wrapText="1"/>
    </xf>
    <xf numFmtId="0" fontId="4" fillId="0" borderId="11" xfId="0" applyFont="1" applyBorder="1" applyAlignment="1">
      <alignment vertical="top" wrapText="1"/>
    </xf>
    <xf numFmtId="0" fontId="4" fillId="0" borderId="11" xfId="0" applyFont="1" applyBorder="1"/>
    <xf numFmtId="176" fontId="0" fillId="0" borderId="0" xfId="0" applyNumberFormat="1"/>
    <xf numFmtId="176" fontId="34" fillId="0" borderId="0" xfId="0" applyNumberFormat="1" applyFont="1"/>
    <xf numFmtId="0" fontId="3" fillId="0" borderId="0" xfId="0" applyFont="1" applyAlignment="1">
      <alignment horizontal="center"/>
    </xf>
    <xf numFmtId="0" fontId="4" fillId="0" borderId="0" xfId="0" applyFont="1" applyAlignment="1">
      <alignment horizontal="center"/>
    </xf>
    <xf numFmtId="15" fontId="3" fillId="0" borderId="0" xfId="0" applyNumberFormat="1" applyFont="1" applyAlignment="1">
      <alignment horizontal="center"/>
    </xf>
    <xf numFmtId="0" fontId="3" fillId="0" borderId="11" xfId="0" applyFont="1" applyBorder="1" applyAlignment="1">
      <alignment horizontal="center"/>
    </xf>
    <xf numFmtId="2" fontId="3" fillId="0" borderId="11" xfId="0" applyNumberFormat="1" applyFont="1" applyBorder="1" applyAlignment="1">
      <alignment horizontal="right"/>
    </xf>
    <xf numFmtId="2" fontId="3" fillId="0" borderId="0" xfId="0" applyNumberFormat="1" applyFont="1"/>
    <xf numFmtId="2" fontId="3" fillId="0" borderId="11" xfId="0" applyNumberFormat="1" applyFont="1" applyBorder="1" applyAlignment="1">
      <alignment horizontal="left"/>
    </xf>
    <xf numFmtId="2" fontId="3" fillId="0" borderId="11" xfId="0" applyNumberFormat="1" applyFont="1" applyBorder="1"/>
    <xf numFmtId="0" fontId="3" fillId="5" borderId="0" xfId="0" applyFont="1" applyFill="1"/>
    <xf numFmtId="0" fontId="3" fillId="0" borderId="6" xfId="0" applyFont="1" applyBorder="1" applyAlignment="1">
      <alignment horizontal="left"/>
    </xf>
    <xf numFmtId="0" fontId="3" fillId="0" borderId="6" xfId="0" applyFont="1" applyBorder="1"/>
    <xf numFmtId="0" fontId="3" fillId="0" borderId="0" xfId="0" applyFont="1" applyAlignment="1">
      <alignment horizontal="left"/>
    </xf>
    <xf numFmtId="0" fontId="3" fillId="0" borderId="11" xfId="0" applyFont="1" applyBorder="1" applyAlignment="1">
      <alignment horizontal="left"/>
    </xf>
    <xf numFmtId="176" fontId="36" fillId="0" borderId="6" xfId="0" applyNumberFormat="1" applyFont="1" applyBorder="1"/>
    <xf numFmtId="176" fontId="36" fillId="0" borderId="0" xfId="0" applyNumberFormat="1" applyFont="1"/>
    <xf numFmtId="14" fontId="3" fillId="0" borderId="0" xfId="0" applyNumberFormat="1" applyFont="1"/>
    <xf numFmtId="176" fontId="36" fillId="0" borderId="11" xfId="0" applyNumberFormat="1" applyFont="1" applyBorder="1"/>
    <xf numFmtId="10" fontId="9" fillId="0" borderId="0" xfId="0" applyNumberFormat="1" applyFont="1"/>
    <xf numFmtId="167" fontId="12" fillId="0" borderId="3" xfId="4" applyNumberFormat="1" applyFont="1" applyFill="1"/>
    <xf numFmtId="0" fontId="3" fillId="0" borderId="0" xfId="0" applyFont="1" applyAlignment="1">
      <alignment horizontal="right"/>
    </xf>
    <xf numFmtId="0" fontId="37" fillId="0" borderId="4" xfId="0" applyFont="1" applyBorder="1"/>
    <xf numFmtId="2" fontId="13" fillId="0" borderId="0" xfId="5" applyNumberFormat="1" applyFont="1" applyAlignment="1">
      <alignment horizontal="right" vertical="top" wrapText="1"/>
    </xf>
    <xf numFmtId="0" fontId="35" fillId="0" borderId="0" xfId="0" applyFont="1" applyAlignment="1">
      <alignment horizontal="right" wrapText="1"/>
    </xf>
    <xf numFmtId="0" fontId="35" fillId="0" borderId="0" xfId="0" applyFont="1" applyAlignment="1">
      <alignment horizontal="center" wrapText="1"/>
    </xf>
    <xf numFmtId="2" fontId="13" fillId="0" borderId="0" xfId="5" applyNumberFormat="1" applyFont="1" applyAlignment="1">
      <alignment horizontal="center" vertical="top" wrapText="1"/>
    </xf>
    <xf numFmtId="0" fontId="13" fillId="0" borderId="0" xfId="0" applyFont="1" applyAlignment="1">
      <alignment horizontal="center" wrapText="1"/>
    </xf>
    <xf numFmtId="2" fontId="13" fillId="0" borderId="11" xfId="5" applyNumberFormat="1" applyFont="1" applyBorder="1" applyAlignment="1">
      <alignment horizontal="center" vertical="top" wrapText="1"/>
    </xf>
    <xf numFmtId="0" fontId="13" fillId="0" borderId="11" xfId="0" applyFont="1" applyBorder="1" applyAlignment="1">
      <alignment horizontal="center" vertical="top" wrapText="1"/>
    </xf>
    <xf numFmtId="175" fontId="13" fillId="0" borderId="0" xfId="0" applyNumberFormat="1" applyFont="1" applyAlignment="1">
      <alignment horizontal="left" vertical="top" wrapText="1"/>
    </xf>
    <xf numFmtId="2" fontId="13" fillId="0" borderId="0" xfId="0" applyNumberFormat="1" applyFont="1" applyAlignment="1">
      <alignment horizontal="right" vertical="top" wrapText="1"/>
    </xf>
    <xf numFmtId="175" fontId="13" fillId="0" borderId="11" xfId="0" applyNumberFormat="1" applyFont="1" applyBorder="1" applyAlignment="1">
      <alignment horizontal="left" vertical="top" wrapText="1"/>
    </xf>
    <xf numFmtId="2" fontId="13" fillId="0" borderId="11" xfId="0" applyNumberFormat="1" applyFont="1" applyBorder="1" applyAlignment="1">
      <alignment horizontal="right" vertical="top" wrapText="1"/>
    </xf>
    <xf numFmtId="0" fontId="35" fillId="0" borderId="0" xfId="5" applyFont="1" applyAlignment="1">
      <alignment horizontal="center" wrapText="1"/>
    </xf>
    <xf numFmtId="0" fontId="13" fillId="0" borderId="0" xfId="5" applyFont="1" applyAlignment="1">
      <alignment horizontal="center" wrapText="1"/>
    </xf>
    <xf numFmtId="175" fontId="13" fillId="0" borderId="0" xfId="5" applyNumberFormat="1" applyFont="1" applyAlignment="1">
      <alignment horizontal="left" vertical="top" wrapText="1"/>
    </xf>
    <xf numFmtId="178" fontId="13" fillId="0" borderId="0" xfId="5" applyNumberFormat="1" applyFont="1" applyAlignment="1">
      <alignment horizontal="right" vertical="top" wrapText="1"/>
    </xf>
    <xf numFmtId="175" fontId="13" fillId="0" borderId="11" xfId="5" applyNumberFormat="1" applyFont="1" applyBorder="1" applyAlignment="1">
      <alignment horizontal="left" vertical="top" wrapText="1"/>
    </xf>
    <xf numFmtId="178" fontId="13" fillId="0" borderId="11" xfId="5" applyNumberFormat="1" applyFont="1" applyBorder="1" applyAlignment="1">
      <alignment horizontal="right" vertical="top" wrapText="1"/>
    </xf>
    <xf numFmtId="175" fontId="13" fillId="0" borderId="6" xfId="5" applyNumberFormat="1" applyFont="1" applyBorder="1" applyAlignment="1">
      <alignment horizontal="left" vertical="top" wrapText="1"/>
    </xf>
    <xf numFmtId="10" fontId="3" fillId="0" borderId="0" xfId="0" applyNumberFormat="1" applyFont="1"/>
    <xf numFmtId="169" fontId="3" fillId="0" borderId="6" xfId="0" applyNumberFormat="1" applyFont="1" applyBorder="1"/>
    <xf numFmtId="169" fontId="3" fillId="0" borderId="0" xfId="0" applyNumberFormat="1" applyFont="1"/>
    <xf numFmtId="177" fontId="3" fillId="0" borderId="6" xfId="0" applyNumberFormat="1" applyFont="1" applyBorder="1"/>
    <xf numFmtId="177" fontId="3" fillId="0" borderId="0" xfId="0" applyNumberFormat="1" applyFont="1"/>
    <xf numFmtId="177" fontId="3" fillId="0" borderId="11" xfId="0" applyNumberFormat="1" applyFont="1" applyBorder="1"/>
    <xf numFmtId="0" fontId="3" fillId="0" borderId="16" xfId="0" applyFont="1" applyBorder="1" applyAlignment="1">
      <alignment vertical="center" wrapText="1"/>
    </xf>
    <xf numFmtId="0" fontId="3" fillId="0" borderId="0" xfId="0" applyFont="1" applyAlignment="1">
      <alignment vertical="top" wrapText="1"/>
    </xf>
    <xf numFmtId="166" fontId="12" fillId="0" borderId="3" xfId="4" applyNumberFormat="1" applyFont="1" applyFill="1"/>
    <xf numFmtId="0" fontId="0" fillId="0" borderId="0" xfId="0" applyAlignment="1">
      <alignment vertical="top"/>
    </xf>
    <xf numFmtId="0" fontId="17" fillId="0" borderId="18" xfId="0" applyFont="1" applyBorder="1" applyAlignment="1">
      <alignment horizontal="left"/>
    </xf>
    <xf numFmtId="0" fontId="17" fillId="0" borderId="17" xfId="0" applyFont="1" applyBorder="1" applyAlignment="1">
      <alignment horizontal="center"/>
    </xf>
    <xf numFmtId="10" fontId="3" fillId="0" borderId="6" xfId="0" applyNumberFormat="1" applyFont="1" applyBorder="1"/>
    <xf numFmtId="10" fontId="3" fillId="0" borderId="11" xfId="0" applyNumberFormat="1" applyFont="1" applyBorder="1"/>
    <xf numFmtId="0" fontId="17" fillId="0" borderId="0" xfId="0" applyFont="1" applyAlignment="1">
      <alignment wrapText="1"/>
    </xf>
    <xf numFmtId="2" fontId="9" fillId="0" borderId="0" xfId="0" applyNumberFormat="1" applyFont="1"/>
    <xf numFmtId="0" fontId="17" fillId="0" borderId="16" xfId="0" applyFont="1" applyBorder="1" applyAlignment="1">
      <alignment horizontal="center"/>
    </xf>
    <xf numFmtId="171" fontId="3" fillId="0" borderId="0" xfId="0" applyNumberFormat="1" applyFont="1"/>
    <xf numFmtId="0" fontId="3" fillId="0" borderId="14" xfId="0" applyFont="1" applyBorder="1" applyAlignment="1">
      <alignment horizontal="center"/>
    </xf>
    <xf numFmtId="0" fontId="3" fillId="0" borderId="15" xfId="0" applyFont="1" applyBorder="1" applyAlignment="1">
      <alignment horizontal="center"/>
    </xf>
    <xf numFmtId="172" fontId="3" fillId="0" borderId="4" xfId="0" applyNumberFormat="1" applyFont="1" applyBorder="1"/>
    <xf numFmtId="0" fontId="38" fillId="0" borderId="6" xfId="0" applyFont="1" applyBorder="1"/>
    <xf numFmtId="0" fontId="39" fillId="5" borderId="0" xfId="0" applyFont="1" applyFill="1"/>
    <xf numFmtId="164" fontId="13" fillId="5" borderId="0" xfId="6" applyFont="1" applyFill="1"/>
    <xf numFmtId="173" fontId="13" fillId="5" borderId="0" xfId="6" applyNumberFormat="1" applyFont="1" applyFill="1"/>
    <xf numFmtId="174" fontId="3" fillId="5" borderId="0" xfId="6" applyNumberFormat="1" applyFont="1" applyFill="1"/>
    <xf numFmtId="173" fontId="3" fillId="5" borderId="0" xfId="6" applyNumberFormat="1" applyFont="1" applyFill="1"/>
    <xf numFmtId="164" fontId="40" fillId="5" borderId="0" xfId="6" applyFont="1" applyFill="1"/>
    <xf numFmtId="164" fontId="3" fillId="5" borderId="0" xfId="6" applyFont="1" applyFill="1"/>
    <xf numFmtId="0" fontId="3" fillId="5" borderId="4" xfId="0" applyFont="1" applyFill="1" applyBorder="1"/>
    <xf numFmtId="173" fontId="40" fillId="5" borderId="4" xfId="6" applyNumberFormat="1" applyFont="1" applyFill="1" applyBorder="1"/>
    <xf numFmtId="173" fontId="3" fillId="5" borderId="4" xfId="6" applyNumberFormat="1" applyFont="1" applyFill="1" applyBorder="1"/>
    <xf numFmtId="0" fontId="3" fillId="5" borderId="11" xfId="0" applyFont="1" applyFill="1" applyBorder="1"/>
    <xf numFmtId="173" fontId="3" fillId="5" borderId="11" xfId="6" applyNumberFormat="1" applyFont="1" applyFill="1" applyBorder="1"/>
    <xf numFmtId="2" fontId="3" fillId="5" borderId="0" xfId="0" applyNumberFormat="1" applyFont="1" applyFill="1"/>
    <xf numFmtId="169" fontId="3" fillId="5" borderId="0" xfId="0" applyNumberFormat="1" applyFont="1" applyFill="1"/>
    <xf numFmtId="172" fontId="3" fillId="0" borderId="0" xfId="0" applyNumberFormat="1" applyFont="1"/>
    <xf numFmtId="178" fontId="3" fillId="0" borderId="0" xfId="0" applyNumberFormat="1" applyFont="1"/>
    <xf numFmtId="178" fontId="19" fillId="0" borderId="0" xfId="5" applyNumberFormat="1" applyFont="1" applyAlignment="1">
      <alignment horizontal="right" vertical="top" wrapText="1"/>
    </xf>
    <xf numFmtId="0" fontId="4" fillId="0" borderId="0" xfId="0" applyFont="1" applyAlignment="1">
      <alignment horizontal="center" vertical="center"/>
    </xf>
    <xf numFmtId="49" fontId="41" fillId="7" borderId="0" xfId="12" applyFill="1"/>
    <xf numFmtId="49" fontId="5" fillId="7" borderId="0" xfId="12" applyFont="1" applyFill="1"/>
    <xf numFmtId="0" fontId="42" fillId="6" borderId="19" xfId="0" applyFont="1" applyFill="1" applyBorder="1"/>
    <xf numFmtId="0" fontId="17" fillId="0" borderId="0" xfId="0" applyFont="1" applyAlignment="1">
      <alignment horizontal="right"/>
    </xf>
    <xf numFmtId="0" fontId="43" fillId="6" borderId="19" xfId="0" applyFont="1" applyFill="1" applyBorder="1"/>
    <xf numFmtId="0" fontId="44" fillId="6" borderId="0" xfId="0" applyFont="1" applyFill="1"/>
    <xf numFmtId="0" fontId="43" fillId="6" borderId="0" xfId="0" applyFont="1" applyFill="1"/>
    <xf numFmtId="0" fontId="13" fillId="6" borderId="0" xfId="0" applyFont="1" applyFill="1"/>
    <xf numFmtId="0" fontId="45" fillId="6" borderId="0" xfId="0" applyFont="1" applyFill="1"/>
    <xf numFmtId="0" fontId="3" fillId="0" borderId="5" xfId="0" applyFont="1" applyBorder="1" applyAlignment="1">
      <alignment horizontal="right"/>
    </xf>
    <xf numFmtId="0" fontId="3" fillId="0" borderId="7" xfId="0" applyFont="1" applyBorder="1"/>
    <xf numFmtId="0" fontId="3" fillId="0" borderId="8" xfId="0" applyFont="1" applyBorder="1" applyAlignment="1">
      <alignment horizontal="right"/>
    </xf>
    <xf numFmtId="177" fontId="3" fillId="0" borderId="9" xfId="0" applyNumberFormat="1" applyFont="1" applyBorder="1"/>
    <xf numFmtId="0" fontId="3" fillId="0" borderId="8" xfId="0" applyFont="1" applyBorder="1"/>
    <xf numFmtId="177" fontId="3" fillId="0" borderId="12" xfId="0" applyNumberFormat="1" applyFont="1" applyBorder="1"/>
    <xf numFmtId="0" fontId="3" fillId="0" borderId="9" xfId="0" applyFont="1" applyBorder="1"/>
    <xf numFmtId="0" fontId="3" fillId="0" borderId="10" xfId="0" applyFont="1" applyBorder="1" applyAlignment="1">
      <alignment horizontal="right"/>
    </xf>
    <xf numFmtId="169" fontId="3" fillId="0" borderId="11" xfId="0" applyNumberFormat="1" applyFont="1" applyBorder="1"/>
    <xf numFmtId="49" fontId="46" fillId="0" borderId="0" xfId="12" applyFont="1" applyFill="1" applyAlignment="1">
      <alignment horizontal="left" wrapText="1"/>
    </xf>
    <xf numFmtId="49" fontId="47" fillId="0" borderId="0" xfId="12" applyFont="1" applyFill="1" applyAlignment="1">
      <alignment horizontal="left" wrapText="1"/>
    </xf>
    <xf numFmtId="0" fontId="3" fillId="0" borderId="4" xfId="0" applyFont="1" applyBorder="1"/>
    <xf numFmtId="0" fontId="3" fillId="0" borderId="4" xfId="0" applyFont="1" applyBorder="1" applyAlignment="1">
      <alignment horizontal="center"/>
    </xf>
    <xf numFmtId="0" fontId="0" fillId="0" borderId="0" xfId="0"/>
    <xf numFmtId="0" fontId="3" fillId="0" borderId="0" xfId="0" applyFont="1"/>
    <xf numFmtId="0" fontId="3" fillId="0" borderId="4" xfId="0" applyFont="1" applyBorder="1" applyAlignment="1">
      <alignment vertical="top" wrapText="1"/>
    </xf>
    <xf numFmtId="0" fontId="5" fillId="0" borderId="0" xfId="0" applyFont="1" applyAlignment="1">
      <alignment horizontal="center"/>
    </xf>
    <xf numFmtId="0" fontId="17" fillId="0" borderId="0" xfId="0" applyFont="1" applyAlignment="1">
      <alignment horizontal="center"/>
    </xf>
    <xf numFmtId="0" fontId="17" fillId="0" borderId="0" xfId="0" applyFont="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23" fillId="0" borderId="0" xfId="0" applyFont="1" applyAlignment="1">
      <alignment horizontal="center"/>
    </xf>
    <xf numFmtId="0" fontId="14" fillId="0" borderId="8" xfId="0" applyFont="1" applyBorder="1" applyAlignment="1">
      <alignment horizontal="center" vertical="top"/>
    </xf>
    <xf numFmtId="0" fontId="14" fillId="0" borderId="9" xfId="0" applyFont="1" applyBorder="1" applyAlignment="1">
      <alignment horizontal="center" vertical="top"/>
    </xf>
    <xf numFmtId="169" fontId="3" fillId="0" borderId="8" xfId="0" applyNumberFormat="1" applyFont="1" applyBorder="1" applyAlignment="1">
      <alignment horizontal="center" vertical="top"/>
    </xf>
    <xf numFmtId="169" fontId="3" fillId="0" borderId="9" xfId="0" applyNumberFormat="1" applyFont="1" applyBorder="1" applyAlignment="1">
      <alignment horizontal="center" vertical="top"/>
    </xf>
    <xf numFmtId="169" fontId="3" fillId="0" borderId="10" xfId="0" applyNumberFormat="1" applyFont="1" applyBorder="1" applyAlignment="1">
      <alignment horizontal="center" vertical="top"/>
    </xf>
    <xf numFmtId="169" fontId="3" fillId="0" borderId="12" xfId="0" applyNumberFormat="1" applyFont="1" applyBorder="1" applyAlignment="1">
      <alignment horizontal="center" vertical="top"/>
    </xf>
  </cellXfs>
  <cellStyles count="13">
    <cellStyle name="Comma" xfId="6" builtinId="3"/>
    <cellStyle name="Heading 4" xfId="1" builtinId="19"/>
    <cellStyle name="Hyperlink" xfId="11" builtinId="8"/>
    <cellStyle name="Label" xfId="3" xr:uid="{1ED28CB2-C341-4DAD-8EE8-505710A51834}"/>
    <cellStyle name="Link" xfId="4" xr:uid="{E91A48E8-6C3D-4937-8F36-5A7D72F6A640}"/>
    <cellStyle name="MPS axes" xfId="10" xr:uid="{9CA3EDE4-D5C0-48F7-8D18-67D54D963453}"/>
    <cellStyle name="MPS dates" xfId="9" xr:uid="{55A9B5FA-ECD4-4E99-9CBE-0300502411A5}"/>
    <cellStyle name="MPS title" xfId="8" xr:uid="{291CF5A4-1FBA-46D4-A2DE-12E9DF779A1B}"/>
    <cellStyle name="Normal" xfId="0" builtinId="0"/>
    <cellStyle name="Normal 2" xfId="5" xr:uid="{3A09581E-38A6-4A71-8BF9-54BC27D9CD5F}"/>
    <cellStyle name="Normal 3 2" xfId="7" xr:uid="{AA587686-2382-4894-BD51-90DF4AE3A7CC}"/>
    <cellStyle name="Output" xfId="2" builtinId="21"/>
    <cellStyle name="Title 2" xfId="12" xr:uid="{C16F1B5F-E916-48E5-B1B7-2BA2F3ABB4B2}"/>
  </cellStyles>
  <dxfs count="0"/>
  <tableStyles count="1" defaultTableStyle="TableStyleMedium2" defaultPivotStyle="PivotStyleLight16">
    <tableStyle name="Invisible" pivot="0" table="0" count="0" xr9:uid="{54197180-336A-4716-AEFD-C38F668FF19A}"/>
  </tableStyles>
  <colors>
    <mruColors>
      <color rgb="FFEEC0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eetMetadata" Target="metadata.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alcChain" Target="calcChain.xml"/><Relationship Id="rId10" Type="http://schemas.openxmlformats.org/officeDocument/2006/relationships/worksheet" Target="worksheets/sheet10.xml"/><Relationship Id="rId19"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1558290</xdr:colOff>
      <xdr:row>0</xdr:row>
      <xdr:rowOff>460307</xdr:rowOff>
    </xdr:to>
    <xdr:pic>
      <xdr:nvPicPr>
        <xdr:cNvPr id="2" name="Picture 1">
          <a:extLst>
            <a:ext uri="{FF2B5EF4-FFF2-40B4-BE49-F238E27FC236}">
              <a16:creationId xmlns:a16="http://schemas.microsoft.com/office/drawing/2014/main" id="{79CA5837-3569-45AA-AC52-9E7394F54B5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0923"/>
          <a:ext cx="1558290" cy="460307"/>
        </a:xfrm>
        <a:prstGeom prst="rect">
          <a:avLst/>
        </a:prstGeom>
      </xdr:spPr>
    </xdr:pic>
    <xdr:clientData/>
  </xdr:twoCellAnchor>
  <xdr:twoCellAnchor editAs="oneCell">
    <xdr:from>
      <xdr:col>0</xdr:col>
      <xdr:colOff>0</xdr:colOff>
      <xdr:row>0</xdr:row>
      <xdr:rowOff>0</xdr:rowOff>
    </xdr:from>
    <xdr:to>
      <xdr:col>0</xdr:col>
      <xdr:colOff>1558290</xdr:colOff>
      <xdr:row>0</xdr:row>
      <xdr:rowOff>463238</xdr:rowOff>
    </xdr:to>
    <xdr:pic>
      <xdr:nvPicPr>
        <xdr:cNvPr id="4" name="Picture 3">
          <a:extLst>
            <a:ext uri="{FF2B5EF4-FFF2-40B4-BE49-F238E27FC236}">
              <a16:creationId xmlns:a16="http://schemas.microsoft.com/office/drawing/2014/main" id="{ECA64765-C7D2-4094-998C-7DBDD356DD4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58290" cy="463238"/>
        </a:xfrm>
        <a:prstGeom prst="rect">
          <a:avLst/>
        </a:prstGeom>
      </xdr:spPr>
    </xdr:pic>
    <xdr:clientData/>
  </xdr:twoCellAnchor>
  <xdr:twoCellAnchor editAs="oneCell">
    <xdr:from>
      <xdr:col>3</xdr:col>
      <xdr:colOff>604471</xdr:colOff>
      <xdr:row>0</xdr:row>
      <xdr:rowOff>18317</xdr:rowOff>
    </xdr:from>
    <xdr:to>
      <xdr:col>14</xdr:col>
      <xdr:colOff>315186</xdr:colOff>
      <xdr:row>6</xdr:row>
      <xdr:rowOff>24423</xdr:rowOff>
    </xdr:to>
    <xdr:pic>
      <xdr:nvPicPr>
        <xdr:cNvPr id="3" name="Picture 2">
          <a:extLst>
            <a:ext uri="{FF2B5EF4-FFF2-40B4-BE49-F238E27FC236}">
              <a16:creationId xmlns:a16="http://schemas.microsoft.com/office/drawing/2014/main" id="{BED1D37A-895E-4FCC-82B5-775886F83F7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33173" y="18317"/>
          <a:ext cx="6427061" cy="4353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0">
  <rv s="0">
    <v>0</v>
    <v>5</v>
  </rv>
  <rv s="0">
    <v>1</v>
    <v>5</v>
  </rv>
  <rv s="0">
    <v>2</v>
    <v>5</v>
  </rv>
  <rv s="0">
    <v>3</v>
    <v>5</v>
  </rv>
  <rv s="0">
    <v>4</v>
    <v>5</v>
  </rv>
  <rv s="0">
    <v>5</v>
    <v>5</v>
  </rv>
  <rv s="0">
    <v>6</v>
    <v>5</v>
  </rv>
  <rv s="0">
    <v>7</v>
    <v>5</v>
  </rv>
  <rv s="0">
    <v>8</v>
    <v>5</v>
  </rv>
  <rv s="0">
    <v>9</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FA9DD-7715-425D-A6C3-9B56EB171307}">
  <dimension ref="A1:A4"/>
  <sheetViews>
    <sheetView showGridLines="0" tabSelected="1" view="pageBreakPreview" zoomScale="104" zoomScaleNormal="100" zoomScaleSheetLayoutView="104" workbookViewId="0">
      <selection activeCell="B1" sqref="B1"/>
    </sheetView>
  </sheetViews>
  <sheetFormatPr defaultRowHeight="14.5" x14ac:dyDescent="0.35"/>
  <cols>
    <col min="1" max="1" width="67.36328125" customWidth="1"/>
  </cols>
  <sheetData>
    <row r="1" spans="1:1" ht="237.5" x14ac:dyDescent="1.1000000000000001">
      <c r="A1" s="177" t="s">
        <v>245</v>
      </c>
    </row>
    <row r="2" spans="1:1" ht="47" x14ac:dyDescent="0.55000000000000004">
      <c r="A2" s="178" t="s">
        <v>246</v>
      </c>
    </row>
    <row r="4" spans="1:1" x14ac:dyDescent="0.35">
      <c r="A4" s="1" t="s">
        <v>235</v>
      </c>
    </row>
  </sheetData>
  <pageMargins left="0.7" right="0.7" top="0.75" bottom="0.75" header="0.3" footer="0.3"/>
  <pageSetup paperSize="9" scale="9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BFBAF-FB04-42D0-B5F9-101E9A81D965}">
  <dimension ref="A1:U37"/>
  <sheetViews>
    <sheetView showGridLines="0" view="pageBreakPreview" zoomScale="80" zoomScaleNormal="72" zoomScaleSheetLayoutView="80" workbookViewId="0">
      <selection activeCell="G8" sqref="G8"/>
    </sheetView>
  </sheetViews>
  <sheetFormatPr defaultRowHeight="14.5" x14ac:dyDescent="0.35"/>
  <cols>
    <col min="2" max="2" width="17.453125" customWidth="1"/>
    <col min="3" max="6" width="9.36328125" customWidth="1"/>
  </cols>
  <sheetData>
    <row r="1" spans="1:21" x14ac:dyDescent="0.35">
      <c r="A1" s="1"/>
      <c r="B1" s="1"/>
      <c r="C1" s="1"/>
      <c r="D1" s="1"/>
      <c r="E1" s="1"/>
      <c r="F1" s="1"/>
      <c r="G1" s="1"/>
      <c r="H1" s="1"/>
      <c r="I1" s="1"/>
      <c r="J1" s="1"/>
      <c r="K1" s="1"/>
      <c r="L1" s="1"/>
      <c r="M1" s="1"/>
      <c r="N1" s="1"/>
      <c r="O1" s="1"/>
      <c r="P1" s="1"/>
      <c r="Q1" s="1"/>
      <c r="R1" s="1"/>
      <c r="S1" s="1"/>
      <c r="T1" s="1"/>
      <c r="U1" s="1"/>
    </row>
    <row r="2" spans="1:21" ht="26" x14ac:dyDescent="0.6">
      <c r="A2" s="1"/>
      <c r="B2" s="184" t="s">
        <v>20</v>
      </c>
      <c r="C2" s="184"/>
      <c r="D2" s="1"/>
      <c r="E2" s="23"/>
      <c r="F2" s="95"/>
      <c r="G2" s="1"/>
      <c r="H2" s="1"/>
      <c r="I2" s="1"/>
      <c r="J2" s="1"/>
      <c r="K2" s="1"/>
      <c r="L2" s="1"/>
      <c r="M2" s="1"/>
      <c r="N2" s="1"/>
      <c r="O2" s="1"/>
      <c r="P2" s="1"/>
      <c r="Q2" s="1"/>
      <c r="R2" s="1"/>
      <c r="S2" s="1"/>
      <c r="T2" s="1"/>
      <c r="U2" s="1"/>
    </row>
    <row r="3" spans="1:21" x14ac:dyDescent="0.35">
      <c r="A3" s="1"/>
      <c r="B3" s="1"/>
      <c r="C3" s="1"/>
      <c r="D3" s="1"/>
      <c r="E3" s="1"/>
      <c r="F3" s="1"/>
      <c r="G3" s="1"/>
      <c r="H3" s="1"/>
      <c r="I3" s="1"/>
      <c r="J3" s="1"/>
      <c r="K3" s="1"/>
      <c r="L3" s="1"/>
      <c r="M3" s="1"/>
      <c r="N3" s="1"/>
      <c r="O3" s="1"/>
      <c r="P3" s="1"/>
      <c r="Q3" s="1"/>
      <c r="R3" s="1"/>
      <c r="S3" s="1"/>
      <c r="T3" s="1"/>
      <c r="U3" s="1"/>
    </row>
    <row r="4" spans="1:21" ht="21" x14ac:dyDescent="0.5">
      <c r="A4" s="1"/>
      <c r="B4" s="161" t="s">
        <v>37</v>
      </c>
      <c r="C4" s="163"/>
      <c r="D4" s="163"/>
      <c r="E4" s="163"/>
      <c r="F4" s="163"/>
      <c r="G4" s="1"/>
      <c r="H4" s="1"/>
      <c r="I4" s="1"/>
      <c r="J4" s="1"/>
      <c r="K4" s="1"/>
      <c r="L4" s="1"/>
      <c r="M4" s="1"/>
      <c r="N4" s="1"/>
      <c r="O4" s="1"/>
      <c r="P4" s="1"/>
      <c r="Q4" s="1"/>
      <c r="R4" s="1"/>
      <c r="S4" s="1"/>
      <c r="T4" s="1"/>
      <c r="U4" s="1"/>
    </row>
    <row r="5" spans="1:21" x14ac:dyDescent="0.35">
      <c r="A5" s="1"/>
      <c r="B5" s="1"/>
      <c r="C5" s="185" t="s">
        <v>57</v>
      </c>
      <c r="D5" s="185"/>
      <c r="E5" s="185"/>
      <c r="F5" s="185"/>
      <c r="G5" s="1"/>
      <c r="H5" s="1"/>
      <c r="I5" s="1"/>
      <c r="J5" s="1"/>
      <c r="K5" s="1"/>
      <c r="L5" s="1"/>
      <c r="M5" s="1"/>
      <c r="N5" s="1"/>
      <c r="O5" s="1"/>
      <c r="P5" s="1"/>
      <c r="Q5" s="1"/>
      <c r="R5" s="1"/>
      <c r="S5" s="1"/>
      <c r="T5" s="1"/>
      <c r="U5" s="1"/>
    </row>
    <row r="6" spans="1:21" x14ac:dyDescent="0.35">
      <c r="A6" s="1"/>
      <c r="B6" s="1"/>
      <c r="C6" s="15">
        <v>2023</v>
      </c>
      <c r="D6" s="15">
        <v>2024</v>
      </c>
      <c r="E6" s="15">
        <v>2025</v>
      </c>
      <c r="F6" s="15">
        <v>2026</v>
      </c>
      <c r="G6" s="1"/>
      <c r="H6" s="1"/>
      <c r="I6" s="187" t="s">
        <v>212</v>
      </c>
      <c r="J6" s="188"/>
      <c r="K6" s="188"/>
      <c r="L6" s="188"/>
      <c r="M6" s="188"/>
      <c r="N6" s="188"/>
      <c r="O6" s="188"/>
      <c r="P6" s="188"/>
      <c r="Q6" s="188"/>
      <c r="R6" s="188"/>
      <c r="S6" s="188"/>
      <c r="T6" s="189"/>
      <c r="U6" s="1"/>
    </row>
    <row r="7" spans="1:21" x14ac:dyDescent="0.35">
      <c r="A7" s="1"/>
      <c r="B7" s="6" t="s">
        <v>38</v>
      </c>
      <c r="C7" s="18"/>
      <c r="D7" s="18">
        <f>C$34-D$21*(1-$C$14)</f>
        <v>6.8091391999526851E-2</v>
      </c>
      <c r="E7" s="18">
        <f>D$34-E$21*(1-$C$14)</f>
        <v>7.1529562546289366E-2</v>
      </c>
      <c r="F7" s="18">
        <f>E$34-F$21*(1-$C$14)</f>
        <v>7.5169362922272553E-2</v>
      </c>
      <c r="G7" s="1"/>
      <c r="H7" s="1"/>
      <c r="I7" s="190"/>
      <c r="J7" s="191"/>
      <c r="K7" s="191"/>
      <c r="L7" s="191"/>
      <c r="M7" s="191"/>
      <c r="N7" s="191"/>
      <c r="O7" s="191"/>
      <c r="P7" s="191"/>
      <c r="Q7" s="191"/>
      <c r="R7" s="191"/>
      <c r="S7" s="191"/>
      <c r="T7" s="192"/>
      <c r="U7" s="1"/>
    </row>
    <row r="8" spans="1:21" ht="14.5" customHeight="1" x14ac:dyDescent="0.35">
      <c r="A8" s="1"/>
      <c r="B8" s="1"/>
      <c r="C8" s="1"/>
      <c r="D8" s="1"/>
      <c r="E8" s="1"/>
      <c r="F8" s="1"/>
      <c r="G8" s="1"/>
      <c r="H8" s="1"/>
      <c r="I8" s="190"/>
      <c r="J8" s="191"/>
      <c r="K8" s="191"/>
      <c r="L8" s="191"/>
      <c r="M8" s="191"/>
      <c r="N8" s="191"/>
      <c r="O8" s="191"/>
      <c r="P8" s="191"/>
      <c r="Q8" s="191"/>
      <c r="R8" s="191"/>
      <c r="S8" s="191"/>
      <c r="T8" s="192"/>
      <c r="U8" s="1"/>
    </row>
    <row r="9" spans="1:21" x14ac:dyDescent="0.35">
      <c r="A9" s="1"/>
      <c r="B9" s="1"/>
      <c r="C9" s="1"/>
      <c r="D9" s="1"/>
      <c r="E9" s="1"/>
      <c r="F9" s="1"/>
      <c r="G9" s="1"/>
      <c r="H9" s="1"/>
      <c r="I9" s="190"/>
      <c r="J9" s="191"/>
      <c r="K9" s="191"/>
      <c r="L9" s="191"/>
      <c r="M9" s="191"/>
      <c r="N9" s="191"/>
      <c r="O9" s="191"/>
      <c r="P9" s="191"/>
      <c r="Q9" s="191"/>
      <c r="R9" s="191"/>
      <c r="S9" s="191"/>
      <c r="T9" s="192"/>
      <c r="U9" s="1"/>
    </row>
    <row r="10" spans="1:21" ht="21" x14ac:dyDescent="0.5">
      <c r="A10" s="1"/>
      <c r="B10" s="161" t="s">
        <v>1</v>
      </c>
      <c r="C10" s="163"/>
      <c r="D10" s="1"/>
      <c r="E10" s="1"/>
      <c r="F10" s="1"/>
      <c r="G10" s="1"/>
      <c r="H10" s="1"/>
      <c r="I10" s="190"/>
      <c r="J10" s="191"/>
      <c r="K10" s="191"/>
      <c r="L10" s="191"/>
      <c r="M10" s="191"/>
      <c r="N10" s="191"/>
      <c r="O10" s="191"/>
      <c r="P10" s="191"/>
      <c r="Q10" s="191"/>
      <c r="R10" s="191"/>
      <c r="S10" s="191"/>
      <c r="T10" s="192"/>
      <c r="U10" s="1"/>
    </row>
    <row r="11" spans="1:21" x14ac:dyDescent="0.35">
      <c r="A11" s="1"/>
      <c r="B11" s="1"/>
      <c r="C11" s="1"/>
      <c r="D11" s="1"/>
      <c r="E11" s="1"/>
      <c r="F11" s="1"/>
      <c r="G11" s="1"/>
      <c r="H11" s="1"/>
      <c r="I11" s="190"/>
      <c r="J11" s="191"/>
      <c r="K11" s="191"/>
      <c r="L11" s="191"/>
      <c r="M11" s="191"/>
      <c r="N11" s="191"/>
      <c r="O11" s="191"/>
      <c r="P11" s="191"/>
      <c r="Q11" s="191"/>
      <c r="R11" s="191"/>
      <c r="S11" s="191"/>
      <c r="T11" s="192"/>
      <c r="U11" s="1"/>
    </row>
    <row r="12" spans="1:21" x14ac:dyDescent="0.35">
      <c r="A12" s="1"/>
      <c r="B12" s="6" t="s">
        <v>21</v>
      </c>
      <c r="C12" s="7">
        <f>'Inputs and definitions'!H34</f>
        <v>7.8E-2</v>
      </c>
      <c r="D12" s="1"/>
      <c r="E12" s="1"/>
      <c r="F12" s="1"/>
      <c r="G12" s="1"/>
      <c r="H12" s="1"/>
      <c r="I12" s="190"/>
      <c r="J12" s="191"/>
      <c r="K12" s="191"/>
      <c r="L12" s="191"/>
      <c r="M12" s="191"/>
      <c r="N12" s="191"/>
      <c r="O12" s="191"/>
      <c r="P12" s="191"/>
      <c r="Q12" s="191"/>
      <c r="R12" s="191"/>
      <c r="S12" s="191"/>
      <c r="T12" s="192"/>
      <c r="U12" s="1"/>
    </row>
    <row r="13" spans="1:21" x14ac:dyDescent="0.35">
      <c r="A13" s="1"/>
      <c r="B13" s="6" t="s">
        <v>22</v>
      </c>
      <c r="C13" s="7">
        <f>'Inputs and definitions'!H36</f>
        <v>123</v>
      </c>
      <c r="D13" s="1"/>
      <c r="E13" s="1"/>
      <c r="F13" s="1"/>
      <c r="G13" s="1"/>
      <c r="H13" s="1"/>
      <c r="I13" s="190"/>
      <c r="J13" s="191"/>
      <c r="K13" s="191"/>
      <c r="L13" s="191"/>
      <c r="M13" s="191"/>
      <c r="N13" s="191"/>
      <c r="O13" s="191"/>
      <c r="P13" s="191"/>
      <c r="Q13" s="191"/>
      <c r="R13" s="191"/>
      <c r="S13" s="191"/>
      <c r="T13" s="192"/>
      <c r="U13" s="1"/>
    </row>
    <row r="14" spans="1:21" x14ac:dyDescent="0.35">
      <c r="A14" s="1"/>
      <c r="B14" s="6" t="s">
        <v>7</v>
      </c>
      <c r="C14" s="7">
        <v>0.28000000000000003</v>
      </c>
      <c r="D14" s="1"/>
      <c r="E14" s="1"/>
      <c r="F14" s="1"/>
      <c r="G14" s="1"/>
      <c r="H14" s="1"/>
      <c r="I14" s="190"/>
      <c r="J14" s="191"/>
      <c r="K14" s="191"/>
      <c r="L14" s="191"/>
      <c r="M14" s="191"/>
      <c r="N14" s="191"/>
      <c r="O14" s="191"/>
      <c r="P14" s="191"/>
      <c r="Q14" s="191"/>
      <c r="R14" s="191"/>
      <c r="S14" s="191"/>
      <c r="T14" s="192"/>
      <c r="U14" s="1"/>
    </row>
    <row r="15" spans="1:21" x14ac:dyDescent="0.35">
      <c r="A15" s="1"/>
      <c r="B15" s="1"/>
      <c r="C15" s="1"/>
      <c r="D15" s="1"/>
      <c r="E15" s="1"/>
      <c r="F15" s="1"/>
      <c r="G15" s="1"/>
      <c r="H15" s="1"/>
      <c r="I15" s="190"/>
      <c r="J15" s="191"/>
      <c r="K15" s="191"/>
      <c r="L15" s="191"/>
      <c r="M15" s="191"/>
      <c r="N15" s="191"/>
      <c r="O15" s="191"/>
      <c r="P15" s="191"/>
      <c r="Q15" s="191"/>
      <c r="R15" s="191"/>
      <c r="S15" s="191"/>
      <c r="T15" s="192"/>
      <c r="U15" s="1"/>
    </row>
    <row r="16" spans="1:21" x14ac:dyDescent="0.35">
      <c r="A16" s="1"/>
      <c r="B16" s="1"/>
      <c r="C16" s="1"/>
      <c r="D16" s="1"/>
      <c r="E16" s="1"/>
      <c r="F16" s="1"/>
      <c r="G16" s="1"/>
      <c r="H16" s="1"/>
      <c r="I16" s="193"/>
      <c r="J16" s="194"/>
      <c r="K16" s="194"/>
      <c r="L16" s="194"/>
      <c r="M16" s="194"/>
      <c r="N16" s="194"/>
      <c r="O16" s="194"/>
      <c r="P16" s="194"/>
      <c r="Q16" s="194"/>
      <c r="R16" s="194"/>
      <c r="S16" s="194"/>
      <c r="T16" s="195"/>
      <c r="U16" s="1"/>
    </row>
    <row r="17" spans="1:21" ht="21" x14ac:dyDescent="0.5">
      <c r="A17" s="1"/>
      <c r="B17" s="161" t="s">
        <v>3</v>
      </c>
      <c r="C17" s="163"/>
      <c r="D17" s="163"/>
      <c r="E17" s="163"/>
      <c r="F17" s="163"/>
      <c r="G17" s="1"/>
      <c r="H17" s="1"/>
      <c r="I17" s="1"/>
      <c r="J17" s="1"/>
      <c r="K17" s="1"/>
      <c r="L17" s="1"/>
      <c r="M17" s="1"/>
      <c r="N17" s="1"/>
      <c r="O17" s="1"/>
      <c r="P17" s="1"/>
      <c r="Q17" s="1"/>
      <c r="R17" s="1"/>
      <c r="S17" s="1"/>
      <c r="T17" s="1"/>
      <c r="U17" s="1"/>
    </row>
    <row r="18" spans="1:21" ht="21" x14ac:dyDescent="0.5">
      <c r="A18" s="1"/>
      <c r="B18" s="3"/>
      <c r="C18" s="185" t="s">
        <v>32</v>
      </c>
      <c r="D18" s="185"/>
      <c r="E18" s="185"/>
      <c r="F18" s="185"/>
      <c r="G18" s="1"/>
      <c r="H18" s="1"/>
      <c r="I18" s="1"/>
      <c r="J18" s="1"/>
      <c r="K18" s="1"/>
      <c r="L18" s="1"/>
      <c r="M18" s="1"/>
      <c r="N18" s="1"/>
      <c r="O18" s="1"/>
      <c r="P18" s="1"/>
      <c r="Q18" s="1"/>
      <c r="R18" s="1"/>
      <c r="S18" s="1"/>
      <c r="T18" s="1"/>
      <c r="U18" s="1"/>
    </row>
    <row r="19" spans="1:21" x14ac:dyDescent="0.35">
      <c r="A19" s="1"/>
      <c r="B19" s="1"/>
      <c r="C19" s="15">
        <v>2023</v>
      </c>
      <c r="D19" s="15">
        <v>2024</v>
      </c>
      <c r="E19" s="15">
        <v>2025</v>
      </c>
      <c r="F19" s="15">
        <v>2026</v>
      </c>
      <c r="G19" s="1"/>
      <c r="H19" s="1"/>
      <c r="I19" s="1"/>
      <c r="J19" s="1"/>
      <c r="K19" s="1"/>
      <c r="L19" s="1"/>
      <c r="M19" s="1"/>
      <c r="N19" s="1"/>
      <c r="O19" s="1"/>
      <c r="P19" s="1"/>
      <c r="Q19" s="1"/>
      <c r="R19" s="1"/>
      <c r="S19" s="1"/>
      <c r="T19" s="1"/>
      <c r="U19" s="1"/>
    </row>
    <row r="20" spans="1:21" ht="14.5" customHeight="1" x14ac:dyDescent="0.35">
      <c r="A20" s="1"/>
      <c r="B20" s="6" t="s">
        <v>24</v>
      </c>
      <c r="C20" s="16"/>
      <c r="D20" s="98">
        <f>'Forecast CPI inflation'!C$26%</f>
        <v>2.2550000000000001E-2</v>
      </c>
      <c r="E20" s="98">
        <f>'Forecast CPI inflation'!D$26%</f>
        <v>2.1100000000000004E-2</v>
      </c>
      <c r="F20" s="98">
        <f>'Forecast CPI inflation'!E$26%</f>
        <v>2.1100000000000004E-2</v>
      </c>
      <c r="G20" s="1"/>
      <c r="H20" s="1"/>
      <c r="I20" s="1"/>
      <c r="J20" s="1"/>
      <c r="K20" s="1"/>
      <c r="L20" s="1"/>
      <c r="M20" s="1"/>
      <c r="N20" s="1"/>
      <c r="O20" s="1"/>
      <c r="P20" s="1"/>
      <c r="Q20" s="1"/>
      <c r="R20" s="1"/>
      <c r="S20" s="1"/>
      <c r="T20" s="1"/>
      <c r="U20" s="1"/>
    </row>
    <row r="21" spans="1:21" x14ac:dyDescent="0.35">
      <c r="A21" s="1"/>
      <c r="B21" s="6" t="s">
        <v>25</v>
      </c>
      <c r="C21" s="16"/>
      <c r="D21" s="98">
        <f>'External data'!C139</f>
        <v>4.6399999999999997E-2</v>
      </c>
      <c r="E21" s="98">
        <f>'External data'!C144</f>
        <v>3.9600000000000003E-2</v>
      </c>
      <c r="F21" s="98">
        <f>'External data'!C149</f>
        <v>3.3700000000000001E-2</v>
      </c>
      <c r="G21" s="1"/>
      <c r="H21" s="1"/>
      <c r="I21" s="1"/>
      <c r="J21" s="1"/>
      <c r="K21" s="1"/>
      <c r="L21" s="1"/>
      <c r="M21" s="1"/>
      <c r="N21" s="1"/>
      <c r="O21" s="1"/>
      <c r="P21" s="1"/>
      <c r="Q21" s="1"/>
      <c r="R21" s="1"/>
      <c r="S21" s="1"/>
      <c r="T21" s="1"/>
      <c r="U21" s="1"/>
    </row>
    <row r="22" spans="1:21" x14ac:dyDescent="0.35">
      <c r="A22" s="1"/>
      <c r="B22" s="6" t="s">
        <v>5</v>
      </c>
      <c r="C22" s="98">
        <f>'External data'!E78</f>
        <v>2.5886864813039256E-2</v>
      </c>
      <c r="D22" s="98">
        <f>'External data'!E79</f>
        <v>0.11393372982158034</v>
      </c>
      <c r="E22" s="98">
        <f>'External data'!E80</f>
        <v>3.333079093890623E-2</v>
      </c>
      <c r="F22" s="16"/>
      <c r="G22" s="1"/>
      <c r="H22" s="1"/>
      <c r="I22" s="1"/>
      <c r="J22" s="1"/>
      <c r="K22" s="1"/>
      <c r="L22" s="1"/>
      <c r="M22" s="1"/>
      <c r="N22" s="1"/>
      <c r="O22" s="1"/>
      <c r="P22" s="1"/>
      <c r="Q22" s="1"/>
      <c r="R22" s="1"/>
      <c r="S22" s="1"/>
      <c r="T22" s="1"/>
      <c r="U22" s="1"/>
    </row>
    <row r="23" spans="1:21" x14ac:dyDescent="0.35">
      <c r="A23" s="1"/>
      <c r="B23" s="14" t="s">
        <v>207</v>
      </c>
      <c r="C23" s="11">
        <f>'External data'!C65%</f>
        <v>4.7E-2</v>
      </c>
      <c r="D23" s="11">
        <f>'External data'!C69%</f>
        <v>2.2000000000000002E-2</v>
      </c>
      <c r="E23" s="11">
        <f>'External data'!C73%</f>
        <v>3.1E-2</v>
      </c>
      <c r="F23" s="6"/>
      <c r="G23" s="1"/>
      <c r="H23" s="1"/>
      <c r="I23" s="1"/>
      <c r="J23" s="1"/>
      <c r="K23" s="1"/>
      <c r="L23" s="1"/>
      <c r="M23" s="1"/>
      <c r="N23" s="1"/>
      <c r="O23" s="1"/>
      <c r="P23" s="1"/>
      <c r="Q23" s="1"/>
      <c r="R23" s="1"/>
      <c r="S23" s="1"/>
      <c r="T23" s="1"/>
      <c r="U23" s="1"/>
    </row>
    <row r="24" spans="1:21" x14ac:dyDescent="0.35">
      <c r="A24" s="1"/>
      <c r="B24" s="1"/>
      <c r="C24" s="1"/>
      <c r="D24" s="1"/>
      <c r="E24" s="1"/>
      <c r="F24" s="1"/>
      <c r="G24" s="1"/>
      <c r="H24" s="1"/>
      <c r="I24" s="1"/>
      <c r="J24" s="1"/>
      <c r="K24" s="1"/>
      <c r="L24" s="1"/>
      <c r="M24" s="1"/>
      <c r="N24" s="1"/>
      <c r="O24" s="1"/>
      <c r="P24" s="1"/>
      <c r="Q24" s="1"/>
      <c r="R24" s="1"/>
      <c r="S24" s="1"/>
      <c r="T24" s="1"/>
      <c r="U24" s="1"/>
    </row>
    <row r="25" spans="1:21" x14ac:dyDescent="0.35">
      <c r="A25" s="1"/>
      <c r="B25" s="1"/>
      <c r="C25" s="1"/>
      <c r="D25" s="1"/>
      <c r="E25" s="1"/>
      <c r="F25" s="1"/>
      <c r="G25" s="1"/>
      <c r="H25" s="1"/>
      <c r="I25" s="1"/>
      <c r="J25" s="1"/>
      <c r="K25" s="1"/>
      <c r="L25" s="1"/>
      <c r="M25" s="1"/>
      <c r="N25" s="1"/>
      <c r="O25" s="1"/>
      <c r="P25" s="1"/>
      <c r="Q25" s="1"/>
      <c r="R25" s="1"/>
      <c r="S25" s="1"/>
      <c r="T25" s="1"/>
      <c r="U25" s="1"/>
    </row>
    <row r="26" spans="1:21" ht="21" x14ac:dyDescent="0.5">
      <c r="A26" s="1"/>
      <c r="B26" s="161" t="s">
        <v>8</v>
      </c>
      <c r="C26" s="163"/>
      <c r="D26" s="163"/>
      <c r="E26" s="163"/>
      <c r="F26" s="163"/>
      <c r="G26" s="1"/>
      <c r="H26" s="1"/>
      <c r="I26" s="1"/>
      <c r="J26" s="1"/>
      <c r="K26" s="1"/>
      <c r="L26" s="1"/>
      <c r="M26" s="1"/>
      <c r="N26" s="1"/>
      <c r="O26" s="1"/>
      <c r="P26" s="1"/>
      <c r="Q26" s="1"/>
      <c r="R26" s="1"/>
      <c r="S26" s="1"/>
      <c r="T26" s="1"/>
      <c r="U26" s="1"/>
    </row>
    <row r="27" spans="1:21" x14ac:dyDescent="0.35">
      <c r="A27" s="1"/>
      <c r="B27" s="1"/>
      <c r="C27" s="185" t="s">
        <v>32</v>
      </c>
      <c r="D27" s="185"/>
      <c r="E27" s="185"/>
      <c r="F27" s="185"/>
      <c r="G27" s="1"/>
      <c r="H27" s="1"/>
      <c r="I27" s="1"/>
      <c r="J27" s="1"/>
      <c r="K27" s="1"/>
      <c r="L27" s="1"/>
      <c r="M27" s="1"/>
      <c r="N27" s="1"/>
      <c r="O27" s="1"/>
      <c r="P27" s="1"/>
      <c r="Q27" s="1"/>
      <c r="R27" s="1"/>
      <c r="S27" s="1"/>
      <c r="T27" s="1"/>
      <c r="U27" s="1"/>
    </row>
    <row r="28" spans="1:21" x14ac:dyDescent="0.35">
      <c r="A28" s="1"/>
      <c r="B28" s="1"/>
      <c r="C28" s="15">
        <v>2023</v>
      </c>
      <c r="D28" s="15">
        <v>2024</v>
      </c>
      <c r="E28" s="15">
        <v>2025</v>
      </c>
      <c r="F28" s="15">
        <v>2026</v>
      </c>
      <c r="G28" s="1"/>
      <c r="H28" s="1"/>
      <c r="I28" s="1"/>
      <c r="J28" s="1"/>
      <c r="K28" s="1"/>
      <c r="L28" s="1"/>
      <c r="M28" s="1"/>
      <c r="N28" s="1"/>
      <c r="O28" s="1"/>
      <c r="P28" s="1"/>
      <c r="Q28" s="1"/>
      <c r="R28" s="1"/>
      <c r="S28" s="1"/>
      <c r="T28" s="1"/>
      <c r="U28" s="1"/>
    </row>
    <row r="29" spans="1:21" x14ac:dyDescent="0.35">
      <c r="A29" s="1"/>
      <c r="B29" s="6" t="s">
        <v>26</v>
      </c>
      <c r="C29" s="13">
        <f>(1+C$22)/(1+C$23)-1</f>
        <v>-2.0165363120306257E-2</v>
      </c>
      <c r="D29" s="13">
        <f>(1+D$22)/(1+D$23)-1</f>
        <v>8.9954725852818385E-2</v>
      </c>
      <c r="E29" s="13">
        <f>(1+E$22)/(1+E$23)-1</f>
        <v>2.2607089611117459E-3</v>
      </c>
      <c r="F29" s="6"/>
      <c r="G29" s="1"/>
      <c r="H29" s="1"/>
      <c r="I29" s="1"/>
      <c r="J29" s="1"/>
      <c r="K29" s="1"/>
      <c r="L29" s="1"/>
      <c r="M29" s="1"/>
      <c r="N29" s="1"/>
      <c r="O29" s="1"/>
      <c r="P29" s="1"/>
      <c r="Q29" s="1"/>
      <c r="R29" s="1"/>
      <c r="S29" s="1"/>
      <c r="T29" s="1"/>
      <c r="U29" s="1"/>
    </row>
    <row r="30" spans="1:21" x14ac:dyDescent="0.35">
      <c r="A30" s="1"/>
      <c r="B30" s="6" t="s">
        <v>9</v>
      </c>
      <c r="C30" s="6">
        <f>'Ibbotson TAMRP'!C$28</f>
        <v>1</v>
      </c>
      <c r="D30" s="6">
        <f>'Ibbotson TAMRP'!D$28</f>
        <v>2</v>
      </c>
      <c r="E30" s="6">
        <f>'Ibbotson TAMRP'!E$28</f>
        <v>3</v>
      </c>
      <c r="F30" s="6"/>
      <c r="G30" s="1"/>
      <c r="H30" s="1"/>
      <c r="I30" s="1"/>
      <c r="J30" s="1"/>
      <c r="K30" s="1"/>
      <c r="L30" s="1"/>
      <c r="M30" s="1"/>
      <c r="N30" s="1"/>
      <c r="O30" s="1"/>
      <c r="P30" s="1"/>
      <c r="Q30" s="1"/>
      <c r="R30" s="1"/>
      <c r="S30" s="1"/>
      <c r="T30" s="1"/>
      <c r="U30" s="1"/>
    </row>
    <row r="31" spans="1:21" x14ac:dyDescent="0.35">
      <c r="A31" s="1"/>
      <c r="B31" s="6" t="s">
        <v>27</v>
      </c>
      <c r="C31" s="6">
        <f>$C$13+C$30</f>
        <v>124</v>
      </c>
      <c r="D31" s="6">
        <f>$C$13+D$30</f>
        <v>125</v>
      </c>
      <c r="E31" s="6">
        <f>$C$13+E$30</f>
        <v>126</v>
      </c>
      <c r="F31" s="6"/>
      <c r="G31" s="1"/>
      <c r="H31" s="1"/>
      <c r="I31" s="1"/>
      <c r="J31" s="1"/>
      <c r="K31" s="1"/>
      <c r="L31" s="1"/>
      <c r="M31" s="1"/>
      <c r="N31" s="1"/>
      <c r="O31" s="1"/>
      <c r="P31" s="1"/>
      <c r="Q31" s="1"/>
      <c r="R31" s="1"/>
      <c r="S31" s="1"/>
      <c r="T31" s="1"/>
      <c r="U31" s="1"/>
    </row>
    <row r="32" spans="1:21" x14ac:dyDescent="0.35">
      <c r="A32" s="1"/>
      <c r="B32" s="6" t="s">
        <v>23</v>
      </c>
      <c r="C32" s="13">
        <f>SUM($C$29)/C$30</f>
        <v>-2.0165363120306257E-2</v>
      </c>
      <c r="D32" s="13">
        <f>SUM($C$29:D29)/D$30</f>
        <v>3.4894681366256064E-2</v>
      </c>
      <c r="E32" s="13">
        <f>SUM($C$29:E29)/E$30</f>
        <v>2.4016690564541292E-2</v>
      </c>
      <c r="F32" s="6"/>
      <c r="G32" s="1"/>
      <c r="H32" s="1"/>
      <c r="I32" s="1"/>
      <c r="J32" s="1"/>
      <c r="K32" s="1"/>
      <c r="L32" s="1"/>
      <c r="M32" s="1"/>
      <c r="N32" s="1"/>
      <c r="O32" s="1"/>
      <c r="P32" s="1"/>
      <c r="Q32" s="1"/>
      <c r="R32" s="1"/>
      <c r="S32" s="1"/>
      <c r="T32" s="1"/>
      <c r="U32" s="1"/>
    </row>
    <row r="33" spans="1:21" x14ac:dyDescent="0.35">
      <c r="A33" s="1"/>
      <c r="B33" s="6" t="s">
        <v>28</v>
      </c>
      <c r="C33" s="13">
        <f>$C$12*($C$13/C$31)+C$32*(C$30/C$31)</f>
        <v>7.7208343845803981E-2</v>
      </c>
      <c r="D33" s="13">
        <f>$C$12*($C$13/D$31)+D$32*(D$30/D$31)</f>
        <v>7.7310314901860092E-2</v>
      </c>
      <c r="E33" s="13">
        <f>$C$12*($C$13/E$31)+E$32*(E$30/E$31)</f>
        <v>7.6714683108679543E-2</v>
      </c>
      <c r="F33" s="6"/>
      <c r="G33" s="1"/>
      <c r="H33" s="1"/>
      <c r="I33" s="1"/>
      <c r="J33" s="1"/>
      <c r="K33" s="1"/>
      <c r="L33" s="1"/>
      <c r="M33" s="1"/>
      <c r="N33" s="1"/>
      <c r="O33" s="1"/>
      <c r="P33" s="1"/>
      <c r="Q33" s="1"/>
      <c r="R33" s="1"/>
      <c r="S33" s="1"/>
      <c r="T33" s="1"/>
      <c r="U33" s="1"/>
    </row>
    <row r="34" spans="1:21" x14ac:dyDescent="0.35">
      <c r="A34" s="1"/>
      <c r="B34" s="6" t="s">
        <v>29</v>
      </c>
      <c r="C34" s="24">
        <f>(1+C$33)*(1+D$20)-1</f>
        <v>0.10149939199952684</v>
      </c>
      <c r="D34" s="24">
        <f>(1+D$33)*(1+E$20)-1</f>
        <v>0.10004156254628938</v>
      </c>
      <c r="E34" s="24">
        <f>(1+E$33)*(1+F$20)-1</f>
        <v>9.9433362922272561E-2</v>
      </c>
      <c r="F34" s="6"/>
      <c r="G34" s="1"/>
      <c r="H34" s="1"/>
      <c r="I34" s="1"/>
      <c r="J34" s="1"/>
      <c r="K34" s="1"/>
      <c r="L34" s="1"/>
      <c r="M34" s="1"/>
      <c r="N34" s="1"/>
      <c r="O34" s="1"/>
      <c r="P34" s="1"/>
      <c r="Q34" s="1"/>
      <c r="R34" s="1"/>
      <c r="S34" s="1"/>
      <c r="T34" s="1"/>
      <c r="U34" s="1"/>
    </row>
    <row r="35" spans="1:21" x14ac:dyDescent="0.35">
      <c r="A35" s="1"/>
      <c r="B35" s="1"/>
      <c r="C35" s="1"/>
      <c r="D35" s="1"/>
      <c r="E35" s="1"/>
      <c r="F35" s="1"/>
      <c r="G35" s="1"/>
      <c r="H35" s="1"/>
      <c r="I35" s="1"/>
      <c r="J35" s="1"/>
      <c r="K35" s="1"/>
      <c r="L35" s="1"/>
      <c r="M35" s="1"/>
      <c r="N35" s="1"/>
      <c r="O35" s="1"/>
      <c r="P35" s="1"/>
      <c r="Q35" s="1"/>
      <c r="R35" s="1"/>
      <c r="S35" s="1"/>
      <c r="T35" s="1"/>
      <c r="U35" s="1"/>
    </row>
    <row r="36" spans="1:21" x14ac:dyDescent="0.35">
      <c r="A36" s="1"/>
      <c r="B36" s="1"/>
      <c r="C36" s="1"/>
      <c r="D36" s="1"/>
      <c r="E36" s="1"/>
      <c r="F36" s="1"/>
      <c r="G36" s="1"/>
      <c r="H36" s="1"/>
      <c r="I36" s="1"/>
      <c r="J36" s="1"/>
      <c r="K36" s="1"/>
      <c r="L36" s="1"/>
      <c r="M36" s="1"/>
      <c r="N36" s="1"/>
      <c r="O36" s="1"/>
      <c r="P36" s="1"/>
      <c r="Q36" s="1"/>
      <c r="R36" s="1"/>
      <c r="S36" s="1"/>
      <c r="T36" s="1"/>
      <c r="U36" s="1"/>
    </row>
    <row r="37" spans="1:21" x14ac:dyDescent="0.35">
      <c r="A37" s="1"/>
      <c r="B37" s="1"/>
      <c r="C37" s="1"/>
      <c r="D37" s="1"/>
      <c r="E37" s="1"/>
      <c r="F37" s="1"/>
      <c r="G37" s="1"/>
      <c r="H37" s="1"/>
      <c r="I37" s="1"/>
      <c r="J37" s="1"/>
      <c r="K37" s="1"/>
      <c r="L37" s="1"/>
      <c r="M37" s="1"/>
      <c r="N37" s="1"/>
      <c r="O37" s="1"/>
      <c r="P37" s="1"/>
      <c r="Q37" s="1"/>
      <c r="R37" s="1"/>
      <c r="S37" s="1"/>
      <c r="T37" s="1"/>
      <c r="U37" s="1"/>
    </row>
  </sheetData>
  <mergeCells count="5">
    <mergeCell ref="B2:C2"/>
    <mergeCell ref="C18:F18"/>
    <mergeCell ref="C27:F27"/>
    <mergeCell ref="C5:F5"/>
    <mergeCell ref="I6:T16"/>
  </mergeCells>
  <pageMargins left="0.7" right="0.7" top="0.75" bottom="0.75" header="0.3" footer="0.3"/>
  <pageSetup paperSize="9" scale="4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843A-0FE9-4678-92CA-ED3911380355}">
  <dimension ref="B2:E26"/>
  <sheetViews>
    <sheetView showGridLines="0" view="pageBreakPreview" zoomScaleNormal="100" zoomScaleSheetLayoutView="100" workbookViewId="0">
      <selection activeCell="F2" sqref="F2"/>
    </sheetView>
  </sheetViews>
  <sheetFormatPr defaultRowHeight="14.5" x14ac:dyDescent="0.35"/>
  <sheetData>
    <row r="2" spans="2:5" ht="26" x14ac:dyDescent="0.6">
      <c r="B2" s="184" t="s">
        <v>135</v>
      </c>
      <c r="C2" s="184"/>
      <c r="D2" s="184"/>
      <c r="E2" s="184"/>
    </row>
    <row r="4" spans="2:5" x14ac:dyDescent="0.35">
      <c r="C4" s="196" t="s">
        <v>57</v>
      </c>
      <c r="D4" s="196"/>
      <c r="E4" s="196"/>
    </row>
    <row r="5" spans="2:5" x14ac:dyDescent="0.35">
      <c r="B5" s="32"/>
      <c r="C5" s="32">
        <v>2024</v>
      </c>
      <c r="D5" s="32">
        <v>2025</v>
      </c>
      <c r="E5" s="32">
        <v>2026</v>
      </c>
    </row>
    <row r="6" spans="2:5" x14ac:dyDescent="0.35">
      <c r="B6" t="s">
        <v>122</v>
      </c>
      <c r="C6" s="79">
        <f>'External data'!E86</f>
        <v>3.3</v>
      </c>
      <c r="D6" s="79">
        <f>'External data'!E104</f>
        <v>2.7</v>
      </c>
      <c r="E6" s="79">
        <f>'External data'!E122</f>
        <v>3.1</v>
      </c>
    </row>
    <row r="7" spans="2:5" x14ac:dyDescent="0.35">
      <c r="B7" t="s">
        <v>123</v>
      </c>
      <c r="C7" s="50">
        <f>'External data'!C87</f>
        <v>3</v>
      </c>
      <c r="D7" s="50">
        <f>'External data'!C105</f>
        <v>2.7</v>
      </c>
      <c r="E7" s="50">
        <f>'External data'!$C123</f>
        <v>2.2999999999999998</v>
      </c>
    </row>
    <row r="8" spans="2:5" x14ac:dyDescent="0.35">
      <c r="B8" t="s">
        <v>124</v>
      </c>
      <c r="C8" s="50">
        <f>'External data'!C88</f>
        <v>2.9</v>
      </c>
      <c r="D8" s="50">
        <f>'External data'!C106</f>
        <v>2.4</v>
      </c>
      <c r="E8" s="50">
        <f>'External data'!$C124</f>
        <v>2.2000000000000002</v>
      </c>
    </row>
    <row r="9" spans="2:5" x14ac:dyDescent="0.35">
      <c r="B9" t="s">
        <v>125</v>
      </c>
      <c r="C9" s="50">
        <f>'External data'!C89</f>
        <v>2.8</v>
      </c>
      <c r="D9" s="50">
        <f>'External data'!C107</f>
        <v>1.9</v>
      </c>
      <c r="E9" s="50">
        <f>'External data'!$C125</f>
        <v>2.1</v>
      </c>
    </row>
    <row r="10" spans="2:5" x14ac:dyDescent="0.35">
      <c r="B10" t="s">
        <v>126</v>
      </c>
      <c r="C10" s="50">
        <f>'External data'!C90</f>
        <v>2.6</v>
      </c>
      <c r="D10" s="50">
        <f>'External data'!C108</f>
        <v>1.9</v>
      </c>
      <c r="E10" s="50">
        <f>'External data'!$C126</f>
        <v>2.2000000000000002</v>
      </c>
    </row>
    <row r="11" spans="2:5" x14ac:dyDescent="0.35">
      <c r="B11" t="s">
        <v>127</v>
      </c>
      <c r="C11" s="50">
        <f>'External data'!C91</f>
        <v>2.2000000000000002</v>
      </c>
      <c r="D11" s="50">
        <f>'External data'!C109</f>
        <v>2.1</v>
      </c>
      <c r="E11" s="50">
        <f>'External data'!$C127</f>
        <v>2.2000000000000002</v>
      </c>
    </row>
    <row r="12" spans="2:5" x14ac:dyDescent="0.35">
      <c r="B12" t="s">
        <v>128</v>
      </c>
      <c r="C12" s="50">
        <f>'External data'!C92</f>
        <v>2.2000000000000002</v>
      </c>
      <c r="D12" s="50">
        <f>'External data'!C110</f>
        <v>2.1</v>
      </c>
      <c r="E12" s="50">
        <f>'External data'!$C128</f>
        <v>2.1</v>
      </c>
    </row>
    <row r="13" spans="2:5" x14ac:dyDescent="0.35">
      <c r="B13" t="s">
        <v>129</v>
      </c>
      <c r="C13" s="50">
        <f>'External data'!C93</f>
        <v>2.1</v>
      </c>
      <c r="D13" s="50">
        <f>'External data'!C111</f>
        <v>2.2000000000000002</v>
      </c>
      <c r="E13" s="50">
        <f>'External data'!$C129</f>
        <v>2</v>
      </c>
    </row>
    <row r="14" spans="2:5" x14ac:dyDescent="0.35">
      <c r="B14" t="s">
        <v>130</v>
      </c>
      <c r="C14" s="50">
        <f>'External data'!C94</f>
        <v>2</v>
      </c>
      <c r="D14" s="50">
        <f>'External data'!C112</f>
        <v>2.1</v>
      </c>
      <c r="E14" s="50">
        <f>'External data'!$C130</f>
        <v>2</v>
      </c>
    </row>
    <row r="15" spans="2:5" x14ac:dyDescent="0.35">
      <c r="B15" t="s">
        <v>131</v>
      </c>
      <c r="C15" s="50">
        <f>'External data'!C95</f>
        <v>2</v>
      </c>
      <c r="D15" s="50">
        <f>'External data'!C113</f>
        <v>2.1</v>
      </c>
      <c r="E15" s="50">
        <f>'External data'!$C131</f>
        <v>2</v>
      </c>
    </row>
    <row r="16" spans="2:5" x14ac:dyDescent="0.35">
      <c r="B16" t="s">
        <v>132</v>
      </c>
      <c r="C16" s="50">
        <f>'External data'!C96</f>
        <v>2</v>
      </c>
      <c r="D16" s="50">
        <f>'External data'!C114</f>
        <v>2</v>
      </c>
      <c r="E16" s="50">
        <f>'External data'!$C132</f>
        <v>2</v>
      </c>
    </row>
    <row r="17" spans="2:5" x14ac:dyDescent="0.35">
      <c r="B17" t="s">
        <v>133</v>
      </c>
      <c r="C17" s="50">
        <f>'External data'!C97</f>
        <v>2</v>
      </c>
      <c r="D17" s="50">
        <f>'External data'!C115</f>
        <v>2</v>
      </c>
      <c r="E17" s="50">
        <f>'External data'!$C133</f>
        <v>2</v>
      </c>
    </row>
    <row r="18" spans="2:5" x14ac:dyDescent="0.35">
      <c r="B18" s="32" t="s">
        <v>134</v>
      </c>
      <c r="C18" s="51">
        <f>'External data'!C98</f>
        <v>2</v>
      </c>
      <c r="D18" s="51">
        <f>'External data'!C116</f>
        <v>2</v>
      </c>
      <c r="E18" s="51">
        <f>'External data'!$C134</f>
        <v>2</v>
      </c>
    </row>
    <row r="19" spans="2:5" x14ac:dyDescent="0.35">
      <c r="B19" t="s">
        <v>136</v>
      </c>
      <c r="C19" s="52">
        <v>2</v>
      </c>
      <c r="D19" s="52">
        <v>2</v>
      </c>
      <c r="E19" s="78">
        <v>2</v>
      </c>
    </row>
    <row r="20" spans="2:5" x14ac:dyDescent="0.35">
      <c r="B20" t="s">
        <v>137</v>
      </c>
      <c r="C20" s="52">
        <v>2</v>
      </c>
      <c r="D20" s="52">
        <v>2</v>
      </c>
      <c r="E20" s="78">
        <v>2</v>
      </c>
    </row>
    <row r="21" spans="2:5" x14ac:dyDescent="0.35">
      <c r="B21" t="s">
        <v>138</v>
      </c>
      <c r="C21" s="52">
        <v>2</v>
      </c>
      <c r="D21" s="52">
        <v>2</v>
      </c>
      <c r="E21" s="78">
        <v>2</v>
      </c>
    </row>
    <row r="22" spans="2:5" x14ac:dyDescent="0.35">
      <c r="B22" t="s">
        <v>139</v>
      </c>
      <c r="C22" s="52">
        <v>2</v>
      </c>
      <c r="D22" s="52">
        <v>2</v>
      </c>
      <c r="E22" s="78">
        <v>2</v>
      </c>
    </row>
    <row r="23" spans="2:5" x14ac:dyDescent="0.35">
      <c r="B23" t="s">
        <v>140</v>
      </c>
      <c r="C23" s="52">
        <v>2</v>
      </c>
      <c r="D23" s="52">
        <v>2</v>
      </c>
      <c r="E23" s="78">
        <v>2</v>
      </c>
    </row>
    <row r="24" spans="2:5" x14ac:dyDescent="0.35">
      <c r="B24" t="s">
        <v>141</v>
      </c>
      <c r="C24" s="52">
        <v>2</v>
      </c>
      <c r="D24" s="52">
        <v>2</v>
      </c>
      <c r="E24" s="78">
        <v>2</v>
      </c>
    </row>
    <row r="25" spans="2:5" x14ac:dyDescent="0.35">
      <c r="B25" t="s">
        <v>142</v>
      </c>
      <c r="C25" s="52">
        <v>2</v>
      </c>
      <c r="D25" s="52">
        <v>2</v>
      </c>
      <c r="E25" s="78">
        <v>2</v>
      </c>
    </row>
    <row r="26" spans="2:5" x14ac:dyDescent="0.35">
      <c r="B26" s="32" t="s">
        <v>31</v>
      </c>
      <c r="C26" s="44">
        <f>AVERAGE(C6:C25)</f>
        <v>2.2549999999999999</v>
      </c>
      <c r="D26" s="44">
        <f>AVERAGE(D6:D25)</f>
        <v>2.1100000000000003</v>
      </c>
      <c r="E26" s="44">
        <f>AVERAGE(E6:E25)</f>
        <v>2.1100000000000003</v>
      </c>
    </row>
  </sheetData>
  <mergeCells count="2">
    <mergeCell ref="C4:E4"/>
    <mergeCell ref="B2:E2"/>
  </mergeCells>
  <phoneticPr fontId="25" type="noConversion"/>
  <pageMargins left="0.7" right="0.7" top="0.75" bottom="0.75" header="0.3" footer="0.3"/>
  <pageSetup paperSize="9" orientation="portrait" r:id="rId1"/>
  <ignoredErrors>
    <ignoredError sqref="C26:D26"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A4273-CB6F-4E53-B37B-4AA9381004A6}">
  <dimension ref="B2:H10"/>
  <sheetViews>
    <sheetView showGridLines="0" view="pageBreakPreview" zoomScale="89" zoomScaleNormal="100" zoomScaleSheetLayoutView="150" workbookViewId="0">
      <selection activeCell="F5" sqref="F5"/>
    </sheetView>
  </sheetViews>
  <sheetFormatPr defaultRowHeight="14.5" x14ac:dyDescent="0.35"/>
  <cols>
    <col min="2" max="2" width="18.90625" bestFit="1" customWidth="1"/>
  </cols>
  <sheetData>
    <row r="2" spans="2:8" ht="26" x14ac:dyDescent="0.6">
      <c r="B2" s="184" t="s">
        <v>146</v>
      </c>
      <c r="C2" s="184"/>
      <c r="D2" s="184"/>
      <c r="E2" s="184"/>
    </row>
    <row r="3" spans="2:8" ht="26" x14ac:dyDescent="0.6">
      <c r="B3" s="37"/>
      <c r="C3" s="37"/>
      <c r="D3" s="37"/>
      <c r="E3" s="37"/>
    </row>
    <row r="4" spans="2:8" x14ac:dyDescent="0.35">
      <c r="C4" s="185" t="s">
        <v>30</v>
      </c>
      <c r="D4" s="185"/>
      <c r="E4" s="185"/>
    </row>
    <row r="5" spans="2:8" x14ac:dyDescent="0.35">
      <c r="B5" s="1"/>
      <c r="C5" s="15">
        <v>2024</v>
      </c>
      <c r="D5" s="15">
        <v>2025</v>
      </c>
      <c r="E5" s="15">
        <v>2026</v>
      </c>
    </row>
    <row r="6" spans="2:8" ht="26" customHeight="1" x14ac:dyDescent="0.45">
      <c r="B6" s="17" t="s">
        <v>0</v>
      </c>
      <c r="C6" s="18">
        <f>'Ibbotson TAMRP'!D7</f>
        <v>7.3128783492613328E-2</v>
      </c>
      <c r="D6" s="18">
        <f>'Ibbotson TAMRP'!E7</f>
        <v>7.3237091432283172E-2</v>
      </c>
      <c r="E6" s="18">
        <f>'Ibbotson TAMRP'!F7</f>
        <v>7.2529088269195005E-2</v>
      </c>
    </row>
    <row r="7" spans="2:8" ht="18.5" x14ac:dyDescent="0.45">
      <c r="B7" s="17" t="s">
        <v>13</v>
      </c>
      <c r="C7" s="19">
        <f>'Siegel 1 TAMRP'!D7</f>
        <v>5.9055188404618916E-2</v>
      </c>
      <c r="D7" s="19">
        <f>'Siegel 1 TAMRP'!E7</f>
        <v>5.9256038094423376E-2</v>
      </c>
      <c r="E7" s="19">
        <f>'Siegel 1 TAMRP'!F7</f>
        <v>5.8539806440384E-2</v>
      </c>
      <c r="G7" s="22"/>
      <c r="H7" s="22"/>
    </row>
    <row r="8" spans="2:8" ht="18.5" x14ac:dyDescent="0.45">
      <c r="B8" s="17" t="s">
        <v>20</v>
      </c>
      <c r="C8" s="19">
        <f>'Siegel 2 TAMRP'!D7</f>
        <v>6.8091391999526851E-2</v>
      </c>
      <c r="D8" s="19">
        <f>'Siegel 2 TAMRP'!E7</f>
        <v>7.1529562546289366E-2</v>
      </c>
      <c r="E8" s="19">
        <f>'Siegel 2 TAMRP'!F7</f>
        <v>7.5169362922272553E-2</v>
      </c>
    </row>
    <row r="9" spans="2:8" ht="18.5" x14ac:dyDescent="0.45">
      <c r="B9" s="17" t="s">
        <v>31</v>
      </c>
      <c r="C9" s="19">
        <f>AVERAGE(C$6:C$8)</f>
        <v>6.6758454632253036E-2</v>
      </c>
      <c r="D9" s="19">
        <f>AVERAGE(D$6:D$8)</f>
        <v>6.8007564024331973E-2</v>
      </c>
      <c r="E9" s="19">
        <f>AVERAGE(E$6:E$8)</f>
        <v>6.8746085877283855E-2</v>
      </c>
    </row>
    <row r="10" spans="2:8" ht="18.5" x14ac:dyDescent="0.45">
      <c r="B10" s="17" t="s">
        <v>98</v>
      </c>
      <c r="C10" s="19">
        <v>6.7500000000000004E-2</v>
      </c>
      <c r="D10" s="19">
        <v>6.7500000000000004E-2</v>
      </c>
      <c r="E10" s="19">
        <v>6.7500000000000004E-2</v>
      </c>
    </row>
  </sheetData>
  <mergeCells count="2">
    <mergeCell ref="C4:E4"/>
    <mergeCell ref="B2:E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D8732-2E02-4D5C-94A4-C8C8E4409EF0}">
  <dimension ref="A1"/>
  <sheetViews>
    <sheetView showGridLines="0" workbookViewId="0"/>
  </sheetViews>
  <sheetFormatPr defaultRowHeight="14.5" x14ac:dyDescent="0.3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E0C82-9DEA-489F-96C5-8F374A265984}">
  <dimension ref="A1:T84"/>
  <sheetViews>
    <sheetView showGridLines="0" view="pageBreakPreview" zoomScale="85" zoomScaleNormal="79" zoomScaleSheetLayoutView="85" workbookViewId="0">
      <selection activeCell="G53" sqref="G53"/>
    </sheetView>
  </sheetViews>
  <sheetFormatPr defaultRowHeight="14.5" x14ac:dyDescent="0.35"/>
  <cols>
    <col min="1" max="1" width="9.26953125" bestFit="1" customWidth="1"/>
    <col min="2" max="2" width="45.7265625" bestFit="1" customWidth="1"/>
    <col min="3" max="3" width="32.453125" customWidth="1"/>
    <col min="4" max="4" width="13.08984375" customWidth="1"/>
    <col min="5" max="5" width="13.453125" customWidth="1"/>
    <col min="6" max="6" width="10.08984375" bestFit="1" customWidth="1"/>
    <col min="7" max="7" width="10.36328125" customWidth="1"/>
    <col min="10" max="10" width="7.6328125" customWidth="1"/>
    <col min="11" max="11" width="9.81640625" customWidth="1"/>
    <col min="13" max="13" width="12.81640625" customWidth="1"/>
    <col min="15" max="15" width="11.6328125" bestFit="1" customWidth="1"/>
    <col min="16" max="16" width="20.26953125" bestFit="1" customWidth="1"/>
    <col min="16384" max="16384" width="9.08984375" bestFit="1" customWidth="1"/>
  </cols>
  <sheetData>
    <row r="1" spans="1:16" x14ac:dyDescent="0.35">
      <c r="A1" s="1"/>
      <c r="B1" s="1"/>
      <c r="C1" s="1"/>
      <c r="D1" s="1"/>
      <c r="E1" s="1"/>
      <c r="F1" s="1"/>
      <c r="G1" s="1"/>
      <c r="H1" s="1"/>
      <c r="I1" s="1"/>
      <c r="J1" s="1"/>
      <c r="K1" s="1"/>
      <c r="L1" s="1"/>
      <c r="M1" s="1"/>
      <c r="N1" s="1"/>
      <c r="O1" s="1"/>
      <c r="P1" s="1"/>
    </row>
    <row r="2" spans="1:16" ht="26" x14ac:dyDescent="0.6">
      <c r="A2" s="1"/>
      <c r="B2" s="160" t="s">
        <v>40</v>
      </c>
      <c r="C2" s="159"/>
      <c r="D2" s="1"/>
      <c r="E2" s="23"/>
      <c r="F2" s="95"/>
      <c r="G2" s="1"/>
      <c r="H2" s="1"/>
      <c r="I2" s="1"/>
      <c r="J2" s="1"/>
      <c r="K2" s="1"/>
      <c r="L2" s="1"/>
      <c r="M2" s="1"/>
      <c r="N2" s="1"/>
      <c r="O2" s="1"/>
      <c r="P2" s="1"/>
    </row>
    <row r="3" spans="1:16" x14ac:dyDescent="0.35">
      <c r="A3" s="1"/>
      <c r="B3" s="1"/>
      <c r="C3" s="1"/>
      <c r="D3" s="1"/>
      <c r="E3" s="1"/>
      <c r="F3" s="1"/>
      <c r="G3" s="1"/>
      <c r="H3" s="1"/>
      <c r="I3" s="1"/>
      <c r="J3" s="1"/>
      <c r="K3" s="1"/>
      <c r="L3" s="1"/>
      <c r="M3" s="1"/>
      <c r="N3" s="1"/>
      <c r="O3" s="1"/>
      <c r="P3" s="1"/>
    </row>
    <row r="4" spans="1:16" ht="21" x14ac:dyDescent="0.5">
      <c r="A4" s="1"/>
      <c r="B4" s="161" t="s">
        <v>37</v>
      </c>
      <c r="C4" s="163"/>
      <c r="D4" s="1"/>
      <c r="E4" s="1"/>
      <c r="F4" s="1"/>
      <c r="G4" s="1"/>
      <c r="H4" s="1"/>
      <c r="I4" s="187" t="s">
        <v>239</v>
      </c>
      <c r="J4" s="188"/>
      <c r="K4" s="188"/>
      <c r="L4" s="188"/>
      <c r="M4" s="188"/>
      <c r="N4" s="188"/>
      <c r="O4" s="188"/>
      <c r="P4" s="189"/>
    </row>
    <row r="5" spans="1:16" x14ac:dyDescent="0.35">
      <c r="A5" s="1"/>
      <c r="B5" s="1"/>
      <c r="C5" s="162" t="s">
        <v>57</v>
      </c>
      <c r="D5" s="39"/>
      <c r="E5" s="39"/>
      <c r="F5" s="39"/>
      <c r="G5" s="1"/>
      <c r="H5" s="1"/>
      <c r="I5" s="190"/>
      <c r="J5" s="191"/>
      <c r="K5" s="191"/>
      <c r="L5" s="191"/>
      <c r="M5" s="191"/>
      <c r="N5" s="191"/>
      <c r="O5" s="191"/>
      <c r="P5" s="192"/>
    </row>
    <row r="6" spans="1:16" x14ac:dyDescent="0.35">
      <c r="A6" s="1"/>
      <c r="B6" s="1"/>
      <c r="C6" s="15">
        <v>2026</v>
      </c>
      <c r="D6" s="15"/>
      <c r="E6" s="15"/>
      <c r="F6" s="15"/>
      <c r="G6" s="1"/>
      <c r="H6" s="1"/>
      <c r="I6" s="190"/>
      <c r="J6" s="191"/>
      <c r="K6" s="191"/>
      <c r="L6" s="191"/>
      <c r="M6" s="191"/>
      <c r="N6" s="191"/>
      <c r="O6" s="191"/>
      <c r="P6" s="192"/>
    </row>
    <row r="7" spans="1:16" x14ac:dyDescent="0.35">
      <c r="A7" s="1"/>
      <c r="B7" s="6" t="s">
        <v>40</v>
      </c>
      <c r="C7" s="18">
        <f>C52-'Siegel 2 TAMRP'!F21*(1-'Siegel 2 TAMRP'!C14)</f>
        <v>5.082419647864677E-2</v>
      </c>
      <c r="D7" s="119"/>
      <c r="E7" s="119"/>
      <c r="F7" s="1"/>
      <c r="G7" s="1"/>
      <c r="H7" s="1"/>
      <c r="I7" s="190"/>
      <c r="J7" s="191"/>
      <c r="K7" s="191"/>
      <c r="L7" s="191"/>
      <c r="M7" s="191"/>
      <c r="N7" s="191"/>
      <c r="O7" s="191"/>
      <c r="P7" s="192"/>
    </row>
    <row r="8" spans="1:16" x14ac:dyDescent="0.35">
      <c r="A8" s="1"/>
      <c r="B8" s="1"/>
      <c r="C8" s="1"/>
      <c r="D8" s="1"/>
      <c r="E8" s="1"/>
      <c r="F8" s="1"/>
      <c r="G8" s="1"/>
      <c r="H8" s="1"/>
      <c r="I8" s="190"/>
      <c r="J8" s="191"/>
      <c r="K8" s="191"/>
      <c r="L8" s="191"/>
      <c r="M8" s="191"/>
      <c r="N8" s="191"/>
      <c r="O8" s="191"/>
      <c r="P8" s="192"/>
    </row>
    <row r="9" spans="1:16" x14ac:dyDescent="0.35">
      <c r="A9" s="1"/>
      <c r="B9" s="1"/>
      <c r="C9" s="1"/>
      <c r="D9" s="1"/>
      <c r="E9" s="1"/>
      <c r="F9" s="1"/>
      <c r="G9" s="1"/>
      <c r="H9" s="1"/>
      <c r="I9" s="190"/>
      <c r="J9" s="191"/>
      <c r="K9" s="191"/>
      <c r="L9" s="191"/>
      <c r="M9" s="191"/>
      <c r="N9" s="191"/>
      <c r="O9" s="191"/>
      <c r="P9" s="192"/>
    </row>
    <row r="10" spans="1:16" ht="21" x14ac:dyDescent="0.5">
      <c r="A10" s="1"/>
      <c r="B10" s="161" t="s">
        <v>1</v>
      </c>
      <c r="C10" s="163"/>
      <c r="D10" s="1"/>
      <c r="E10" s="1"/>
      <c r="F10" s="1"/>
      <c r="G10" s="1"/>
      <c r="H10" s="1"/>
      <c r="I10" s="193"/>
      <c r="J10" s="194"/>
      <c r="K10" s="194"/>
      <c r="L10" s="194"/>
      <c r="M10" s="194"/>
      <c r="N10" s="194"/>
      <c r="O10" s="194"/>
      <c r="P10" s="195"/>
    </row>
    <row r="11" spans="1:16" x14ac:dyDescent="0.35">
      <c r="A11" s="1"/>
      <c r="B11" s="1"/>
      <c r="C11" s="1"/>
      <c r="D11" s="1"/>
      <c r="E11" s="1"/>
      <c r="F11" s="1"/>
      <c r="G11" s="1"/>
      <c r="H11" s="1"/>
      <c r="I11" s="1"/>
      <c r="J11" s="1"/>
      <c r="K11" s="1"/>
      <c r="L11" s="1"/>
      <c r="M11" s="1"/>
      <c r="N11" s="1"/>
      <c r="O11" s="1"/>
      <c r="P11" s="1"/>
    </row>
    <row r="12" spans="1:16" ht="72.5" x14ac:dyDescent="0.35">
      <c r="A12" s="1"/>
      <c r="B12" s="133"/>
      <c r="C12" s="47" t="s">
        <v>80</v>
      </c>
      <c r="D12" s="47" t="s">
        <v>96</v>
      </c>
      <c r="E12" s="47" t="s">
        <v>79</v>
      </c>
      <c r="F12" s="1"/>
      <c r="G12" s="1"/>
      <c r="H12" s="1"/>
      <c r="I12" s="1"/>
      <c r="J12" s="1"/>
      <c r="K12" s="1"/>
      <c r="L12" s="157"/>
      <c r="M12" s="1"/>
      <c r="N12" s="1"/>
      <c r="O12" s="1"/>
      <c r="P12" s="1"/>
    </row>
    <row r="13" spans="1:16" x14ac:dyDescent="0.35">
      <c r="A13" s="1"/>
      <c r="B13" s="6" t="s">
        <v>61</v>
      </c>
      <c r="C13" s="7">
        <v>1</v>
      </c>
      <c r="D13" s="134">
        <f>C13-0.5</f>
        <v>0.5</v>
      </c>
      <c r="E13" s="1">
        <f>D13*C40</f>
        <v>0.21</v>
      </c>
      <c r="F13" s="1" t="s">
        <v>81</v>
      </c>
      <c r="G13" s="1"/>
      <c r="H13" s="1"/>
      <c r="I13" s="1"/>
      <c r="J13" s="1"/>
      <c r="K13" s="1"/>
      <c r="L13" s="157"/>
      <c r="M13" s="1"/>
      <c r="N13" s="1"/>
      <c r="O13" s="1"/>
      <c r="P13" s="1"/>
    </row>
    <row r="14" spans="1:16" x14ac:dyDescent="0.35">
      <c r="A14" s="1"/>
      <c r="B14" s="6" t="s">
        <v>62</v>
      </c>
      <c r="C14" s="7">
        <v>2</v>
      </c>
      <c r="D14" s="134">
        <f t="shared" ref="D14:D23" si="0">C14-0.5</f>
        <v>1.5</v>
      </c>
      <c r="E14" s="85">
        <f>D14-1+$C$40</f>
        <v>0.91999999999999993</v>
      </c>
      <c r="F14" s="1" t="s">
        <v>82</v>
      </c>
      <c r="G14" s="1"/>
      <c r="H14" s="1"/>
      <c r="I14" s="1"/>
      <c r="J14" s="1"/>
      <c r="K14" s="1"/>
      <c r="L14" s="157"/>
      <c r="M14" s="1"/>
      <c r="N14" s="1"/>
      <c r="O14" s="1"/>
      <c r="P14" s="1"/>
    </row>
    <row r="15" spans="1:16" x14ac:dyDescent="0.35">
      <c r="A15" s="1"/>
      <c r="B15" s="6" t="s">
        <v>63</v>
      </c>
      <c r="C15" s="7">
        <v>3</v>
      </c>
      <c r="D15" s="134">
        <f t="shared" si="0"/>
        <v>2.5</v>
      </c>
      <c r="E15" s="85">
        <f t="shared" ref="E15:E23" si="1">D15-1+$C$40</f>
        <v>1.92</v>
      </c>
      <c r="F15" s="1" t="s">
        <v>83</v>
      </c>
      <c r="G15" s="1"/>
      <c r="H15" s="1"/>
      <c r="I15" s="1"/>
      <c r="J15" s="1"/>
      <c r="K15" s="1"/>
      <c r="L15" s="157"/>
      <c r="M15" s="1"/>
      <c r="N15" s="1"/>
      <c r="O15" s="1"/>
      <c r="P15" s="1"/>
    </row>
    <row r="16" spans="1:16" x14ac:dyDescent="0.35">
      <c r="A16" s="1"/>
      <c r="B16" s="6" t="s">
        <v>64</v>
      </c>
      <c r="C16" s="7">
        <v>4</v>
      </c>
      <c r="D16" s="134">
        <f t="shared" si="0"/>
        <v>3.5</v>
      </c>
      <c r="E16" s="85">
        <f t="shared" si="1"/>
        <v>2.92</v>
      </c>
      <c r="F16" s="1" t="s">
        <v>84</v>
      </c>
      <c r="G16" s="1"/>
      <c r="H16" s="1"/>
      <c r="I16" s="1"/>
      <c r="J16" s="1"/>
      <c r="K16" s="1"/>
      <c r="L16" s="157"/>
      <c r="M16" s="1"/>
      <c r="N16" s="1"/>
      <c r="O16" s="1"/>
      <c r="P16" s="1"/>
    </row>
    <row r="17" spans="1:16" x14ac:dyDescent="0.35">
      <c r="A17" s="1"/>
      <c r="B17" s="6" t="s">
        <v>65</v>
      </c>
      <c r="C17" s="7">
        <v>5</v>
      </c>
      <c r="D17" s="134">
        <f t="shared" si="0"/>
        <v>4.5</v>
      </c>
      <c r="E17" s="85">
        <f t="shared" si="1"/>
        <v>3.92</v>
      </c>
      <c r="F17" s="1" t="s">
        <v>85</v>
      </c>
      <c r="G17" s="1"/>
      <c r="H17" s="1"/>
      <c r="I17" s="1"/>
      <c r="J17" s="1"/>
      <c r="K17" s="1"/>
      <c r="L17" s="157"/>
      <c r="M17" s="1"/>
      <c r="N17" s="1"/>
      <c r="O17" s="1"/>
      <c r="P17" s="1"/>
    </row>
    <row r="18" spans="1:16" x14ac:dyDescent="0.35">
      <c r="A18" s="1"/>
      <c r="B18" s="6" t="s">
        <v>66</v>
      </c>
      <c r="C18" s="7">
        <v>6</v>
      </c>
      <c r="D18" s="134">
        <f t="shared" si="0"/>
        <v>5.5</v>
      </c>
      <c r="E18" s="85">
        <f t="shared" si="1"/>
        <v>4.92</v>
      </c>
      <c r="F18" s="1" t="s">
        <v>86</v>
      </c>
      <c r="G18" s="1"/>
      <c r="H18" s="1"/>
      <c r="I18" s="1"/>
      <c r="J18" s="1"/>
      <c r="K18" s="1"/>
      <c r="L18" s="157"/>
      <c r="M18" s="1"/>
      <c r="N18" s="1"/>
      <c r="O18" s="1"/>
      <c r="P18" s="1"/>
    </row>
    <row r="19" spans="1:16" x14ac:dyDescent="0.35">
      <c r="A19" s="1"/>
      <c r="B19" s="6" t="s">
        <v>67</v>
      </c>
      <c r="C19" s="7">
        <v>7</v>
      </c>
      <c r="D19" s="134">
        <f t="shared" si="0"/>
        <v>6.5</v>
      </c>
      <c r="E19" s="85">
        <f t="shared" si="1"/>
        <v>5.92</v>
      </c>
      <c r="F19" s="1" t="s">
        <v>87</v>
      </c>
      <c r="G19" s="1"/>
      <c r="H19" s="1"/>
      <c r="I19" s="1"/>
      <c r="J19" s="1"/>
      <c r="K19" s="1"/>
      <c r="L19" s="157"/>
      <c r="M19" s="1"/>
      <c r="N19" s="1"/>
      <c r="O19" s="1"/>
      <c r="P19" s="1"/>
    </row>
    <row r="20" spans="1:16" x14ac:dyDescent="0.35">
      <c r="A20" s="1"/>
      <c r="B20" s="6" t="s">
        <v>68</v>
      </c>
      <c r="C20" s="7">
        <v>8</v>
      </c>
      <c r="D20" s="134">
        <f t="shared" si="0"/>
        <v>7.5</v>
      </c>
      <c r="E20" s="85">
        <f t="shared" si="1"/>
        <v>6.92</v>
      </c>
      <c r="F20" s="1" t="s">
        <v>88</v>
      </c>
      <c r="G20" s="1"/>
      <c r="H20" s="1"/>
      <c r="I20" s="1"/>
      <c r="J20" s="1"/>
      <c r="K20" s="1"/>
      <c r="L20" s="157"/>
      <c r="M20" s="1"/>
      <c r="N20" s="1"/>
      <c r="O20" s="1"/>
      <c r="P20" s="1"/>
    </row>
    <row r="21" spans="1:16" x14ac:dyDescent="0.35">
      <c r="A21" s="1"/>
      <c r="B21" s="6" t="s">
        <v>69</v>
      </c>
      <c r="C21" s="7">
        <v>9</v>
      </c>
      <c r="D21" s="134">
        <f t="shared" si="0"/>
        <v>8.5</v>
      </c>
      <c r="E21" s="85">
        <f t="shared" si="1"/>
        <v>7.92</v>
      </c>
      <c r="F21" s="1" t="s">
        <v>89</v>
      </c>
      <c r="G21" s="1"/>
      <c r="H21" s="1"/>
      <c r="I21" s="1"/>
      <c r="J21" s="1"/>
      <c r="K21" s="1"/>
      <c r="L21" s="157"/>
      <c r="M21" s="1"/>
      <c r="N21" s="1"/>
      <c r="O21" s="1"/>
      <c r="P21" s="1"/>
    </row>
    <row r="22" spans="1:16" x14ac:dyDescent="0.35">
      <c r="A22" s="1"/>
      <c r="B22" s="6" t="s">
        <v>70</v>
      </c>
      <c r="C22" s="7">
        <v>10</v>
      </c>
      <c r="D22" s="134">
        <f t="shared" si="0"/>
        <v>9.5</v>
      </c>
      <c r="E22" s="85">
        <f t="shared" si="1"/>
        <v>8.92</v>
      </c>
      <c r="F22" s="1" t="s">
        <v>90</v>
      </c>
      <c r="G22" s="1"/>
      <c r="H22" s="1"/>
      <c r="I22" s="1"/>
      <c r="J22" s="1"/>
      <c r="K22" s="1"/>
      <c r="L22" s="157"/>
      <c r="M22" s="1"/>
      <c r="N22" s="1"/>
      <c r="O22" s="1"/>
      <c r="P22" s="1"/>
    </row>
    <row r="23" spans="1:16" x14ac:dyDescent="0.35">
      <c r="A23" s="1"/>
      <c r="B23" s="6" t="s">
        <v>71</v>
      </c>
      <c r="C23" s="7">
        <v>11</v>
      </c>
      <c r="D23" s="134">
        <f t="shared" si="0"/>
        <v>10.5</v>
      </c>
      <c r="E23" s="85">
        <f t="shared" si="1"/>
        <v>9.92</v>
      </c>
      <c r="F23" s="1" t="s">
        <v>91</v>
      </c>
      <c r="G23" s="1"/>
      <c r="H23" s="1"/>
      <c r="I23" s="1"/>
      <c r="J23" s="1"/>
      <c r="K23" s="1"/>
      <c r="L23" s="156"/>
      <c r="M23" s="123"/>
      <c r="N23" s="1"/>
      <c r="O23" s="1"/>
      <c r="P23" s="1"/>
    </row>
    <row r="24" spans="1:16" x14ac:dyDescent="0.35">
      <c r="A24" s="1"/>
      <c r="B24" s="1"/>
      <c r="C24" s="1"/>
      <c r="D24" s="1"/>
      <c r="E24" s="1"/>
      <c r="F24" s="1"/>
      <c r="G24" s="1"/>
      <c r="H24" s="1"/>
      <c r="I24" s="1"/>
      <c r="J24" s="1"/>
      <c r="K24" s="1"/>
      <c r="L24" s="1"/>
      <c r="M24" s="1"/>
      <c r="N24" s="1"/>
      <c r="O24" s="1"/>
      <c r="P24" s="1"/>
    </row>
    <row r="25" spans="1:16" x14ac:dyDescent="0.35">
      <c r="A25" s="1"/>
      <c r="B25" s="1"/>
      <c r="C25" s="1"/>
      <c r="D25" s="1"/>
      <c r="E25" s="1"/>
      <c r="F25" s="1"/>
      <c r="G25" s="1"/>
      <c r="H25" s="1"/>
      <c r="I25" s="1"/>
      <c r="J25" s="1"/>
      <c r="K25" s="1"/>
      <c r="L25" s="1"/>
      <c r="M25" s="1"/>
      <c r="N25" s="1"/>
      <c r="O25" s="1"/>
      <c r="P25" s="1"/>
    </row>
    <row r="26" spans="1:16" ht="21" x14ac:dyDescent="0.5">
      <c r="A26" s="1"/>
      <c r="B26" s="161" t="s">
        <v>3</v>
      </c>
      <c r="C26" s="163"/>
      <c r="D26" s="1"/>
      <c r="E26" s="1"/>
      <c r="F26" s="1"/>
      <c r="G26" s="1"/>
      <c r="H26" s="1"/>
      <c r="I26" s="1"/>
      <c r="J26" s="1"/>
      <c r="K26" s="1"/>
      <c r="L26" s="1"/>
      <c r="M26" s="1"/>
      <c r="N26" s="1"/>
      <c r="O26" s="1"/>
      <c r="P26" s="1"/>
    </row>
    <row r="27" spans="1:16" ht="18" customHeight="1" x14ac:dyDescent="0.5">
      <c r="A27" s="1"/>
      <c r="B27" s="3"/>
      <c r="C27" s="39" t="s">
        <v>97</v>
      </c>
      <c r="D27" s="39"/>
      <c r="E27" s="39"/>
      <c r="F27" s="39"/>
      <c r="G27" s="1"/>
      <c r="H27" s="1"/>
      <c r="I27" s="1"/>
      <c r="J27" s="1"/>
      <c r="K27" s="1"/>
      <c r="L27" s="1"/>
      <c r="M27" s="1"/>
      <c r="N27" s="1"/>
      <c r="O27" s="1"/>
      <c r="P27" s="1"/>
    </row>
    <row r="28" spans="1:16" x14ac:dyDescent="0.35">
      <c r="A28" s="1"/>
      <c r="B28" s="1"/>
      <c r="C28" s="53">
        <v>2026</v>
      </c>
      <c r="D28" s="15"/>
      <c r="E28" s="15"/>
      <c r="F28" s="15"/>
      <c r="G28" s="1"/>
      <c r="H28" s="1"/>
      <c r="I28" s="1"/>
      <c r="J28" s="1"/>
      <c r="K28" s="1"/>
      <c r="L28" s="1"/>
      <c r="M28" s="1"/>
      <c r="N28" s="1"/>
      <c r="O28" s="1"/>
      <c r="P28" s="1"/>
    </row>
    <row r="29" spans="1:16" ht="29" x14ac:dyDescent="0.35">
      <c r="A29" s="1"/>
      <c r="B29" s="46" t="s">
        <v>42</v>
      </c>
      <c r="C29" s="98">
        <f>'External data'!$C153</f>
        <v>3.4700000000000002E-2</v>
      </c>
      <c r="D29" s="1"/>
      <c r="E29" s="1"/>
      <c r="F29" s="1"/>
      <c r="G29" s="1"/>
      <c r="H29" s="1"/>
      <c r="I29" s="1"/>
      <c r="J29" s="1"/>
      <c r="K29" s="1"/>
      <c r="L29" s="1"/>
      <c r="M29" s="1"/>
      <c r="N29" s="1"/>
      <c r="O29" s="1"/>
      <c r="P29" s="1"/>
    </row>
    <row r="30" spans="1:16" ht="29" x14ac:dyDescent="0.35">
      <c r="A30" s="1"/>
      <c r="B30" s="45" t="s">
        <v>43</v>
      </c>
      <c r="C30" s="98">
        <f>'External data'!$C154</f>
        <v>3.78E-2</v>
      </c>
      <c r="D30" s="1"/>
      <c r="E30" s="1"/>
      <c r="F30" s="1"/>
      <c r="G30" s="1"/>
      <c r="H30" s="1"/>
      <c r="I30" s="1"/>
      <c r="J30" s="1"/>
      <c r="K30" s="1"/>
      <c r="L30" s="1"/>
      <c r="M30" s="1"/>
      <c r="N30" s="1"/>
      <c r="O30" s="1"/>
      <c r="P30" s="1"/>
    </row>
    <row r="31" spans="1:16" ht="29" x14ac:dyDescent="0.35">
      <c r="A31" s="1"/>
      <c r="B31" s="45" t="s">
        <v>44</v>
      </c>
      <c r="C31" s="98">
        <f>'External data'!$C155</f>
        <v>3.8300000000000001E-2</v>
      </c>
      <c r="D31" s="1"/>
      <c r="E31" s="1"/>
      <c r="F31" s="1"/>
      <c r="G31" s="1"/>
      <c r="H31" s="1"/>
      <c r="I31" s="1"/>
      <c r="J31" s="1"/>
      <c r="K31" s="1"/>
      <c r="L31" s="1"/>
      <c r="M31" s="1"/>
      <c r="N31" s="1"/>
      <c r="O31" s="1"/>
      <c r="P31" s="1"/>
    </row>
    <row r="32" spans="1:16" x14ac:dyDescent="0.35">
      <c r="A32" s="1"/>
      <c r="B32" s="6" t="s">
        <v>58</v>
      </c>
      <c r="C32" s="127">
        <v>0.02</v>
      </c>
      <c r="D32" s="1"/>
      <c r="E32" s="1"/>
      <c r="F32" s="1"/>
      <c r="G32" s="1"/>
      <c r="H32" s="1"/>
      <c r="I32" s="1"/>
      <c r="J32" s="1"/>
      <c r="K32" s="1"/>
      <c r="L32" s="1"/>
      <c r="M32" s="1"/>
      <c r="N32" s="1"/>
      <c r="O32" s="1"/>
      <c r="P32" s="1"/>
    </row>
    <row r="33" spans="1:20" x14ac:dyDescent="0.35">
      <c r="A33" s="1"/>
      <c r="B33" s="6" t="s">
        <v>46</v>
      </c>
      <c r="C33" s="127">
        <v>0.03</v>
      </c>
      <c r="D33" s="1"/>
      <c r="E33" s="1"/>
      <c r="F33" s="1"/>
      <c r="G33" s="1"/>
      <c r="H33" s="1"/>
      <c r="I33" s="1"/>
      <c r="J33" s="1"/>
      <c r="K33" s="1"/>
      <c r="L33" s="1"/>
      <c r="M33" s="1"/>
      <c r="N33" s="1"/>
      <c r="O33" s="1"/>
      <c r="P33" s="1"/>
    </row>
    <row r="34" spans="1:20" ht="43.5" x14ac:dyDescent="0.35">
      <c r="A34" s="1"/>
      <c r="B34" s="45" t="s">
        <v>72</v>
      </c>
      <c r="C34" s="127">
        <v>0.01</v>
      </c>
      <c r="D34" s="1"/>
      <c r="E34" s="1"/>
      <c r="F34" s="1"/>
      <c r="G34" s="1"/>
      <c r="H34" s="1"/>
      <c r="I34" s="1"/>
      <c r="J34" s="1"/>
      <c r="K34" s="1"/>
      <c r="L34" s="1"/>
      <c r="M34" s="1"/>
      <c r="N34" s="1"/>
      <c r="O34" s="1"/>
      <c r="P34" s="1"/>
    </row>
    <row r="35" spans="1:20" x14ac:dyDescent="0.35">
      <c r="A35" s="1"/>
      <c r="B35" s="47"/>
      <c r="C35" s="1"/>
      <c r="D35" s="1"/>
      <c r="E35" s="1"/>
      <c r="F35" s="1"/>
      <c r="G35" s="1"/>
      <c r="H35" s="1"/>
      <c r="I35" s="1"/>
      <c r="J35" s="1"/>
      <c r="K35" s="1"/>
      <c r="L35" s="1"/>
      <c r="M35" s="1"/>
      <c r="N35" s="1"/>
      <c r="O35" s="1"/>
      <c r="P35" s="1"/>
    </row>
    <row r="36" spans="1:20" x14ac:dyDescent="0.35">
      <c r="A36" s="1"/>
      <c r="B36" s="47"/>
      <c r="C36" s="1"/>
      <c r="D36" s="1"/>
      <c r="E36" s="1"/>
      <c r="F36" s="1"/>
      <c r="G36" s="1"/>
      <c r="H36" s="1"/>
      <c r="I36" s="1"/>
      <c r="J36" s="1"/>
      <c r="K36" s="1"/>
      <c r="L36" s="1"/>
      <c r="M36" s="1"/>
      <c r="N36" s="1"/>
      <c r="O36" s="1"/>
      <c r="P36" s="1"/>
    </row>
    <row r="37" spans="1:20" ht="21" x14ac:dyDescent="0.5">
      <c r="A37" s="1"/>
      <c r="B37" s="161" t="s">
        <v>8</v>
      </c>
      <c r="C37" s="163"/>
      <c r="D37" s="1"/>
      <c r="E37" s="1"/>
      <c r="F37" s="1"/>
      <c r="G37" s="1"/>
      <c r="H37" s="1"/>
      <c r="I37" s="1"/>
      <c r="J37" s="1"/>
      <c r="K37" s="1"/>
      <c r="L37" s="1"/>
      <c r="M37" s="1"/>
      <c r="N37" s="1"/>
      <c r="O37" s="1"/>
      <c r="P37" s="1"/>
      <c r="Q37" s="157"/>
    </row>
    <row r="38" spans="1:20" ht="17" customHeight="1" x14ac:dyDescent="0.5">
      <c r="A38" s="1"/>
      <c r="B38" s="3"/>
      <c r="C38" s="162" t="s">
        <v>57</v>
      </c>
      <c r="D38" s="39"/>
      <c r="E38" s="39"/>
      <c r="F38" s="39"/>
      <c r="G38" s="1"/>
      <c r="H38" s="1"/>
      <c r="I38" s="1"/>
      <c r="J38" s="1"/>
      <c r="K38" s="1"/>
      <c r="L38" s="1"/>
      <c r="M38" s="1"/>
      <c r="N38" s="1"/>
      <c r="O38" s="1"/>
      <c r="P38" s="1"/>
      <c r="Q38" s="157"/>
    </row>
    <row r="39" spans="1:20" ht="19.5" customHeight="1" x14ac:dyDescent="0.5">
      <c r="A39" s="1"/>
      <c r="B39" s="3"/>
      <c r="C39" s="15">
        <v>2026</v>
      </c>
      <c r="D39" s="15"/>
      <c r="E39" s="15"/>
      <c r="F39" s="15"/>
      <c r="G39" s="1"/>
      <c r="H39" s="1"/>
      <c r="I39" s="1"/>
      <c r="J39" s="1"/>
      <c r="K39" s="1"/>
      <c r="L39" s="1"/>
      <c r="M39" s="1"/>
      <c r="N39" s="1"/>
      <c r="O39" s="1"/>
      <c r="P39" s="1"/>
      <c r="Q39" s="157"/>
    </row>
    <row r="40" spans="1:20" x14ac:dyDescent="0.35">
      <c r="A40" s="1"/>
      <c r="B40" s="6" t="s">
        <v>41</v>
      </c>
      <c r="C40" s="6">
        <v>0.42</v>
      </c>
      <c r="D40" s="1"/>
      <c r="E40" s="1"/>
      <c r="F40" s="1"/>
      <c r="G40" s="1"/>
      <c r="H40" s="1"/>
      <c r="I40" s="1"/>
      <c r="J40" s="1"/>
      <c r="K40" s="1"/>
      <c r="L40" s="1"/>
      <c r="M40" s="1"/>
      <c r="N40" s="1"/>
      <c r="O40" s="1"/>
      <c r="P40" s="157"/>
      <c r="Q40" s="157"/>
    </row>
    <row r="41" spans="1:20" x14ac:dyDescent="0.35">
      <c r="A41" s="1"/>
      <c r="B41" s="6" t="s">
        <v>45</v>
      </c>
      <c r="C41" s="13">
        <f>C31/C30-1</f>
        <v>1.3227513227513255E-2</v>
      </c>
      <c r="D41" s="1"/>
      <c r="E41" s="1"/>
      <c r="F41" s="121"/>
      <c r="G41" s="1"/>
      <c r="H41" s="1"/>
      <c r="I41" s="1"/>
      <c r="J41" s="1"/>
      <c r="K41" s="135" t="s">
        <v>59</v>
      </c>
      <c r="L41" s="129" t="s">
        <v>60</v>
      </c>
      <c r="M41" s="130"/>
      <c r="N41" s="39"/>
      <c r="O41" s="39"/>
      <c r="P41" s="157"/>
      <c r="Q41" s="157"/>
    </row>
    <row r="42" spans="1:20" x14ac:dyDescent="0.35">
      <c r="A42" s="1"/>
      <c r="B42" s="6" t="s">
        <v>47</v>
      </c>
      <c r="C42" s="6">
        <f>(1+(C33-C34))*(1+C32)-1</f>
        <v>4.0399999999999991E-2</v>
      </c>
      <c r="D42" s="1"/>
      <c r="E42" s="1"/>
      <c r="F42" s="1"/>
      <c r="G42" s="1"/>
      <c r="H42" s="1"/>
      <c r="I42" s="1"/>
      <c r="J42" s="136"/>
      <c r="K42" s="56"/>
      <c r="L42" s="197">
        <v>2026</v>
      </c>
      <c r="M42" s="198"/>
      <c r="N42" s="15"/>
      <c r="O42" s="15"/>
      <c r="P42" s="157"/>
      <c r="Q42" s="157"/>
    </row>
    <row r="43" spans="1:20" x14ac:dyDescent="0.35">
      <c r="A43" s="1"/>
      <c r="B43" s="6" t="s">
        <v>48</v>
      </c>
      <c r="C43" s="13">
        <f>C$31*(1+$L$43)</f>
        <v>3.8936702037037044E-2</v>
      </c>
      <c r="D43" s="1"/>
      <c r="E43" s="1"/>
      <c r="F43" s="121"/>
      <c r="G43" s="1"/>
      <c r="H43" s="1"/>
      <c r="I43" s="1"/>
      <c r="J43" s="1"/>
      <c r="K43" s="137">
        <v>4</v>
      </c>
      <c r="L43" s="199">
        <f>C$41-((C$41-C$42)/8)</f>
        <v>1.6624074074074097E-2</v>
      </c>
      <c r="M43" s="200"/>
      <c r="N43" s="121"/>
      <c r="O43" s="121"/>
      <c r="P43" s="157"/>
      <c r="Q43" s="157"/>
      <c r="T43" s="38"/>
    </row>
    <row r="44" spans="1:20" x14ac:dyDescent="0.35">
      <c r="A44" s="1"/>
      <c r="B44" s="6" t="s">
        <v>49</v>
      </c>
      <c r="C44" s="13">
        <f t="shared" ref="C44:C50" si="2">C43*(1+$L44)</f>
        <v>3.9716239533534106E-2</v>
      </c>
      <c r="D44" s="1"/>
      <c r="E44" s="1"/>
      <c r="F44" s="121"/>
      <c r="G44" s="1"/>
      <c r="H44" s="1"/>
      <c r="I44" s="1"/>
      <c r="J44" s="1"/>
      <c r="K44" s="137">
        <v>5</v>
      </c>
      <c r="L44" s="199">
        <f>L$43-(($C$41-$C$42)/8)</f>
        <v>2.0020634920634939E-2</v>
      </c>
      <c r="M44" s="200"/>
      <c r="N44" s="121"/>
      <c r="O44" s="121"/>
      <c r="P44" s="157"/>
      <c r="Q44" s="157"/>
      <c r="T44" s="38"/>
    </row>
    <row r="45" spans="1:20" x14ac:dyDescent="0.35">
      <c r="A45" s="1"/>
      <c r="B45" s="6" t="s">
        <v>50</v>
      </c>
      <c r="C45" s="13">
        <f t="shared" si="2"/>
        <v>4.0646282489827719E-2</v>
      </c>
      <c r="D45" s="1"/>
      <c r="E45" s="1"/>
      <c r="F45" s="121"/>
      <c r="G45" s="1"/>
      <c r="H45" s="1"/>
      <c r="I45" s="1"/>
      <c r="J45" s="1"/>
      <c r="K45" s="137">
        <v>6</v>
      </c>
      <c r="L45" s="199">
        <f>L44-((C$41-C$42)/8)</f>
        <v>2.3417195767195781E-2</v>
      </c>
      <c r="M45" s="200"/>
      <c r="N45" s="1"/>
      <c r="O45" s="121"/>
      <c r="P45" s="157"/>
    </row>
    <row r="46" spans="1:20" x14ac:dyDescent="0.35">
      <c r="A46" s="1"/>
      <c r="B46" s="6" t="s">
        <v>51</v>
      </c>
      <c r="C46" s="13">
        <f t="shared" si="2"/>
        <v>4.173616201576396E-2</v>
      </c>
      <c r="D46" s="1"/>
      <c r="E46" s="1"/>
      <c r="F46" s="121"/>
      <c r="G46" s="1"/>
      <c r="H46" s="1"/>
      <c r="I46" s="1"/>
      <c r="J46" s="1"/>
      <c r="K46" s="137">
        <v>7</v>
      </c>
      <c r="L46" s="199">
        <f>L$45-((C$41-C$42)/8)</f>
        <v>2.6813756613756623E-2</v>
      </c>
      <c r="M46" s="200"/>
      <c r="N46" s="1"/>
      <c r="O46" s="121"/>
      <c r="P46" s="157"/>
    </row>
    <row r="47" spans="1:20" x14ac:dyDescent="0.35">
      <c r="A47" s="1"/>
      <c r="B47" s="6" t="s">
        <v>52</v>
      </c>
      <c r="C47" s="13">
        <f t="shared" si="2"/>
        <v>4.2997024719835429E-2</v>
      </c>
      <c r="D47" s="1"/>
      <c r="E47" s="1"/>
      <c r="F47" s="121"/>
      <c r="G47" s="1"/>
      <c r="H47" s="1"/>
      <c r="I47" s="1"/>
      <c r="J47" s="1"/>
      <c r="K47" s="137">
        <v>8</v>
      </c>
      <c r="L47" s="199">
        <f>L$46-((C$41-C$42)/8)</f>
        <v>3.0210317460317465E-2</v>
      </c>
      <c r="M47" s="200"/>
      <c r="N47" s="1"/>
      <c r="O47" s="121"/>
      <c r="P47" s="157"/>
    </row>
    <row r="48" spans="1:20" x14ac:dyDescent="0.35">
      <c r="A48" s="1"/>
      <c r="B48" s="6" t="s">
        <v>53</v>
      </c>
      <c r="C48" s="13">
        <f t="shared" si="2"/>
        <v>4.4442020497152776E-2</v>
      </c>
      <c r="D48" s="1"/>
      <c r="E48" s="1"/>
      <c r="F48" s="121"/>
      <c r="G48" s="1"/>
      <c r="H48" s="1"/>
      <c r="I48" s="1"/>
      <c r="J48" s="1"/>
      <c r="K48" s="137">
        <v>9</v>
      </c>
      <c r="L48" s="199">
        <f>L$47-((C$41-C$42)/8)</f>
        <v>3.3606878306878307E-2</v>
      </c>
      <c r="M48" s="200"/>
      <c r="N48" s="1"/>
      <c r="O48" s="121"/>
      <c r="P48" s="157"/>
    </row>
    <row r="49" spans="1:16" x14ac:dyDescent="0.35">
      <c r="A49" s="1"/>
      <c r="B49" s="6" t="s">
        <v>54</v>
      </c>
      <c r="C49" s="13">
        <f t="shared" si="2"/>
        <v>4.6086528098475063E-2</v>
      </c>
      <c r="D49" s="1"/>
      <c r="E49" s="1"/>
      <c r="F49" s="121"/>
      <c r="G49" s="1"/>
      <c r="H49" s="1"/>
      <c r="I49" s="1"/>
      <c r="J49" s="1"/>
      <c r="K49" s="137">
        <v>10</v>
      </c>
      <c r="L49" s="199">
        <f>L$48-((C$41-C$42)/8)</f>
        <v>3.7003439153439149E-2</v>
      </c>
      <c r="M49" s="200"/>
      <c r="N49" s="1"/>
      <c r="O49" s="121"/>
      <c r="P49" s="157"/>
    </row>
    <row r="50" spans="1:16" x14ac:dyDescent="0.35">
      <c r="A50" s="1"/>
      <c r="B50" s="6" t="s">
        <v>55</v>
      </c>
      <c r="C50" s="13">
        <f t="shared" si="2"/>
        <v>4.7948423833653456E-2</v>
      </c>
      <c r="D50" s="1"/>
      <c r="E50" s="1"/>
      <c r="F50" s="121"/>
      <c r="G50" s="1"/>
      <c r="H50" s="1"/>
      <c r="I50" s="1"/>
      <c r="J50" s="1"/>
      <c r="K50" s="138">
        <v>11</v>
      </c>
      <c r="L50" s="201">
        <f>L$49-((C$41-C$42)/8)</f>
        <v>4.0399999999999991E-2</v>
      </c>
      <c r="M50" s="202"/>
      <c r="N50" s="1"/>
      <c r="O50" s="121"/>
      <c r="P50" s="157"/>
    </row>
    <row r="51" spans="1:16" x14ac:dyDescent="0.35">
      <c r="A51" s="1"/>
      <c r="B51" s="6" t="s">
        <v>95</v>
      </c>
      <c r="C51" s="13">
        <f>C50*(1+C42)/(C52-C42)</f>
        <v>1.4381128228226392</v>
      </c>
      <c r="D51" s="1"/>
      <c r="E51" s="1"/>
      <c r="F51" s="1"/>
      <c r="G51" s="1"/>
      <c r="H51" s="1"/>
      <c r="I51" s="1"/>
      <c r="J51" s="1"/>
      <c r="K51" s="80"/>
      <c r="L51" s="121"/>
      <c r="M51" s="1"/>
      <c r="N51" s="1"/>
      <c r="O51" s="1"/>
      <c r="P51" s="157"/>
    </row>
    <row r="52" spans="1:16" x14ac:dyDescent="0.35">
      <c r="A52" s="1"/>
      <c r="B52" s="6" t="s">
        <v>56</v>
      </c>
      <c r="C52" s="139">
        <v>7.5088196478646771E-2</v>
      </c>
      <c r="D52" s="1" t="s">
        <v>232</v>
      </c>
      <c r="E52" s="1"/>
      <c r="F52" s="119"/>
      <c r="G52" s="1"/>
      <c r="H52" s="1"/>
      <c r="I52" s="1"/>
      <c r="J52" s="1"/>
      <c r="K52" s="80"/>
      <c r="L52" s="1"/>
      <c r="M52" s="1"/>
      <c r="N52" s="1"/>
      <c r="O52" s="1"/>
      <c r="P52" s="157"/>
    </row>
    <row r="53" spans="1:16" x14ac:dyDescent="0.35">
      <c r="A53" s="1"/>
      <c r="B53" s="1"/>
      <c r="C53" s="1"/>
      <c r="D53" s="1"/>
      <c r="E53" s="1"/>
      <c r="F53" s="1"/>
      <c r="G53" s="1"/>
      <c r="H53" s="1"/>
      <c r="I53" s="1"/>
      <c r="J53" s="1"/>
      <c r="K53" s="1"/>
      <c r="L53" s="1"/>
      <c r="M53" s="1"/>
      <c r="N53" s="1"/>
      <c r="O53" s="1"/>
      <c r="P53" s="157"/>
    </row>
    <row r="54" spans="1:16" x14ac:dyDescent="0.35">
      <c r="A54" s="1"/>
      <c r="B54" s="1"/>
      <c r="C54" s="1"/>
      <c r="D54" s="1"/>
      <c r="E54" s="1"/>
      <c r="F54" s="1"/>
      <c r="G54" s="1"/>
      <c r="H54" s="1"/>
      <c r="I54" s="1"/>
      <c r="J54" s="1"/>
      <c r="K54" s="1"/>
      <c r="L54" s="1"/>
      <c r="M54" s="1"/>
      <c r="N54" s="1"/>
      <c r="O54" s="1"/>
      <c r="P54" s="157"/>
    </row>
    <row r="55" spans="1:16" x14ac:dyDescent="0.35">
      <c r="A55" s="1"/>
      <c r="B55" s="1"/>
      <c r="C55" s="1"/>
      <c r="D55" s="1"/>
      <c r="E55" s="1"/>
      <c r="F55" s="1"/>
      <c r="G55" s="1"/>
      <c r="H55" s="1"/>
      <c r="I55" s="1"/>
      <c r="J55" s="1"/>
      <c r="K55" s="1"/>
      <c r="L55" s="1"/>
      <c r="M55" s="1"/>
      <c r="N55" s="1"/>
      <c r="O55" s="1"/>
      <c r="P55" s="157"/>
    </row>
    <row r="56" spans="1:16" x14ac:dyDescent="0.35">
      <c r="A56" s="1"/>
      <c r="B56" s="168" t="s">
        <v>59</v>
      </c>
      <c r="C56" s="90">
        <v>1</v>
      </c>
      <c r="D56" s="90">
        <v>2</v>
      </c>
      <c r="E56" s="90">
        <v>3</v>
      </c>
      <c r="F56" s="90">
        <v>4</v>
      </c>
      <c r="G56" s="90">
        <v>5</v>
      </c>
      <c r="H56" s="90">
        <v>6</v>
      </c>
      <c r="I56" s="90">
        <v>7</v>
      </c>
      <c r="J56" s="90">
        <v>8</v>
      </c>
      <c r="K56" s="90">
        <v>9</v>
      </c>
      <c r="L56" s="90">
        <v>10</v>
      </c>
      <c r="M56" s="169">
        <v>11</v>
      </c>
      <c r="N56" s="1"/>
      <c r="O56" s="1"/>
      <c r="P56" s="157"/>
    </row>
    <row r="57" spans="1:16" x14ac:dyDescent="0.35">
      <c r="A57" s="1"/>
      <c r="B57" s="170" t="s">
        <v>92</v>
      </c>
      <c r="C57" s="1">
        <f>C29</f>
        <v>3.4700000000000002E-2</v>
      </c>
      <c r="D57" s="1">
        <f>C30</f>
        <v>3.78E-2</v>
      </c>
      <c r="E57" s="1">
        <f>C31</f>
        <v>3.8300000000000001E-2</v>
      </c>
      <c r="F57" s="121">
        <f>C43</f>
        <v>3.8936702037037044E-2</v>
      </c>
      <c r="G57" s="121">
        <f>C44</f>
        <v>3.9716239533534106E-2</v>
      </c>
      <c r="H57" s="121">
        <f>C45</f>
        <v>4.0646282489827719E-2</v>
      </c>
      <c r="I57" s="121">
        <f>C46</f>
        <v>4.173616201576396E-2</v>
      </c>
      <c r="J57" s="121">
        <f>C47</f>
        <v>4.2997024719835429E-2</v>
      </c>
      <c r="K57" s="121">
        <f>C48</f>
        <v>4.4442020497152776E-2</v>
      </c>
      <c r="L57" s="121">
        <f>C49</f>
        <v>4.6086528098475063E-2</v>
      </c>
      <c r="M57" s="171">
        <f>C50</f>
        <v>4.7948423833653456E-2</v>
      </c>
      <c r="N57" s="1"/>
      <c r="O57" s="1"/>
      <c r="P57" s="157"/>
    </row>
    <row r="58" spans="1:16" x14ac:dyDescent="0.35">
      <c r="A58" s="1"/>
      <c r="B58" s="172"/>
      <c r="C58" s="1"/>
      <c r="D58" s="1"/>
      <c r="E58" s="1"/>
      <c r="F58" s="1"/>
      <c r="G58" s="1"/>
      <c r="H58" s="1"/>
      <c r="I58" s="1"/>
      <c r="J58" s="1"/>
      <c r="K58" s="1"/>
      <c r="L58" s="1"/>
      <c r="M58" s="173">
        <f>C51</f>
        <v>1.4381128228226392</v>
      </c>
      <c r="N58" s="1"/>
      <c r="O58" s="1"/>
      <c r="P58" s="157"/>
    </row>
    <row r="59" spans="1:16" x14ac:dyDescent="0.35">
      <c r="A59" s="1"/>
      <c r="B59" s="172"/>
      <c r="C59" s="1"/>
      <c r="D59" s="121"/>
      <c r="E59" s="1"/>
      <c r="F59" s="1"/>
      <c r="G59" s="1"/>
      <c r="H59" s="1"/>
      <c r="I59" s="1"/>
      <c r="J59" s="1"/>
      <c r="K59" s="1"/>
      <c r="L59" s="1"/>
      <c r="M59" s="171">
        <f>SUM(M57:M58)</f>
        <v>1.4860612466562926</v>
      </c>
      <c r="N59" s="1"/>
      <c r="O59" s="1"/>
      <c r="P59" s="157"/>
    </row>
    <row r="60" spans="1:16" x14ac:dyDescent="0.35">
      <c r="A60" s="1"/>
      <c r="B60" s="172"/>
      <c r="C60" s="1"/>
      <c r="D60" s="121"/>
      <c r="E60" s="1"/>
      <c r="F60" s="1"/>
      <c r="G60" s="1"/>
      <c r="H60" s="1"/>
      <c r="I60" s="1"/>
      <c r="J60" s="1"/>
      <c r="K60" s="1"/>
      <c r="L60" s="1"/>
      <c r="M60" s="174"/>
      <c r="N60" s="1"/>
      <c r="O60" s="1"/>
      <c r="P60" s="157"/>
    </row>
    <row r="61" spans="1:16" x14ac:dyDescent="0.35">
      <c r="A61" s="1"/>
      <c r="B61" s="170" t="s">
        <v>94</v>
      </c>
      <c r="C61" s="1">
        <f>(C57*C40)/(1+C52)^E13</f>
        <v>1.4354084730988622E-2</v>
      </c>
      <c r="D61" s="121">
        <f>D57/(1+C52)^E14</f>
        <v>3.5364150783498187E-2</v>
      </c>
      <c r="E61" s="1">
        <f>E57/(1+C52)^E15</f>
        <v>3.3329293980838871E-2</v>
      </c>
      <c r="F61" s="1">
        <f>F57/(1+C52)^E16</f>
        <v>3.1516821358279996E-2</v>
      </c>
      <c r="G61" s="1">
        <f>G57/(1+C52)^E17</f>
        <v>2.9902484501132282E-2</v>
      </c>
      <c r="H61" s="1">
        <f>H57/(1+C52)^E18</f>
        <v>2.8465308181093649E-2</v>
      </c>
      <c r="I61" s="1">
        <f>I57/(1+C52)^E19</f>
        <v>2.7187136945910656E-2</v>
      </c>
      <c r="J61" s="1">
        <f>J57/(1+C52)^E20</f>
        <v>2.6052252341364109E-2</v>
      </c>
      <c r="K61" s="1">
        <f>K57/(1+C52)^E21</f>
        <v>2.5047049445450078E-2</v>
      </c>
      <c r="L61" s="1">
        <f>L57/(1+C52)^E22</f>
        <v>2.4159763357697567E-2</v>
      </c>
      <c r="M61" s="174">
        <f>M59/(1+C52)^E23</f>
        <v>0.72462163931819157</v>
      </c>
      <c r="N61" s="1"/>
      <c r="O61" s="1"/>
      <c r="P61" s="157"/>
    </row>
    <row r="62" spans="1:16" x14ac:dyDescent="0.35">
      <c r="A62" s="1"/>
      <c r="B62" s="175" t="s">
        <v>233</v>
      </c>
      <c r="C62" s="48"/>
      <c r="D62" s="176"/>
      <c r="E62" s="48"/>
      <c r="F62" s="48"/>
      <c r="G62" s="48"/>
      <c r="H62" s="48"/>
      <c r="I62" s="48"/>
      <c r="J62" s="48"/>
      <c r="K62" s="48"/>
      <c r="L62" s="48"/>
      <c r="M62" s="173">
        <f>(SUM(C61:M61)-1)*10000</f>
        <v>-1.5055554469789456E-4</v>
      </c>
      <c r="N62" s="1"/>
      <c r="O62" s="1"/>
      <c r="P62" s="157"/>
    </row>
    <row r="63" spans="1:16" x14ac:dyDescent="0.35">
      <c r="A63" s="1"/>
      <c r="B63" s="1"/>
      <c r="C63" s="1"/>
      <c r="D63" s="121"/>
      <c r="E63" s="1"/>
      <c r="F63" s="1"/>
      <c r="G63" s="1"/>
      <c r="H63" s="1"/>
      <c r="I63" s="1"/>
      <c r="J63" s="1"/>
      <c r="K63" s="1"/>
      <c r="L63" s="1"/>
      <c r="M63" s="1"/>
      <c r="N63" s="1"/>
      <c r="O63" s="1"/>
      <c r="P63" s="157"/>
    </row>
    <row r="64" spans="1:16" x14ac:dyDescent="0.35">
      <c r="A64" s="1"/>
      <c r="B64" s="1"/>
      <c r="C64" s="1"/>
      <c r="D64" s="121"/>
      <c r="E64" s="1"/>
      <c r="F64" s="1"/>
      <c r="G64" s="1"/>
      <c r="H64" s="1"/>
      <c r="I64" s="1"/>
      <c r="J64" s="1"/>
      <c r="K64" s="1"/>
      <c r="L64" s="1"/>
      <c r="M64" s="1"/>
      <c r="N64" s="1"/>
      <c r="O64" s="1"/>
      <c r="P64" s="157"/>
    </row>
    <row r="65" spans="1:16" x14ac:dyDescent="0.35">
      <c r="A65" s="1"/>
      <c r="B65" s="1"/>
      <c r="C65" s="1"/>
      <c r="D65" s="121"/>
      <c r="E65" s="1"/>
      <c r="F65" s="1"/>
      <c r="G65" s="1"/>
      <c r="H65" s="1"/>
      <c r="I65" s="1"/>
      <c r="J65" s="1"/>
      <c r="K65" s="1"/>
      <c r="L65" s="1"/>
      <c r="M65" s="1"/>
      <c r="N65" s="1"/>
      <c r="O65" s="1"/>
      <c r="P65" s="157"/>
    </row>
    <row r="66" spans="1:16" x14ac:dyDescent="0.35">
      <c r="A66" s="1"/>
      <c r="B66" s="1"/>
      <c r="C66" s="1"/>
      <c r="D66" s="121"/>
      <c r="E66" s="1"/>
      <c r="F66" s="1"/>
      <c r="G66" s="1"/>
      <c r="H66" s="1"/>
      <c r="I66" s="1"/>
      <c r="J66" s="1"/>
      <c r="K66" s="1"/>
      <c r="L66" s="1"/>
      <c r="M66" s="1"/>
      <c r="N66" s="1"/>
      <c r="O66" s="1"/>
      <c r="P66" s="157"/>
    </row>
    <row r="67" spans="1:16" x14ac:dyDescent="0.35">
      <c r="A67" s="1"/>
      <c r="B67" s="1"/>
      <c r="C67" s="1"/>
      <c r="D67" s="121"/>
      <c r="E67" s="1"/>
      <c r="F67" s="1"/>
      <c r="G67" s="1"/>
      <c r="H67" s="1"/>
      <c r="I67" s="1"/>
      <c r="J67" s="1"/>
      <c r="K67" s="1"/>
      <c r="L67" s="1"/>
      <c r="M67" s="1"/>
      <c r="N67" s="1"/>
      <c r="O67" s="1"/>
      <c r="P67" s="157"/>
    </row>
    <row r="68" spans="1:16" x14ac:dyDescent="0.35">
      <c r="A68" s="1"/>
      <c r="B68" s="1"/>
      <c r="C68" s="1"/>
      <c r="D68" s="121"/>
      <c r="E68" s="1"/>
      <c r="F68" s="1"/>
      <c r="G68" s="1"/>
      <c r="H68" s="1"/>
      <c r="I68" s="1"/>
      <c r="J68" s="1"/>
      <c r="K68" s="1"/>
      <c r="L68" s="1"/>
      <c r="M68" s="1"/>
      <c r="N68" s="1"/>
      <c r="O68" s="1"/>
      <c r="P68" s="157"/>
    </row>
    <row r="69" spans="1:16" ht="21" x14ac:dyDescent="0.5">
      <c r="A69" s="1"/>
      <c r="B69" s="140"/>
      <c r="C69" s="90"/>
      <c r="D69" s="120"/>
      <c r="E69" s="90"/>
      <c r="F69" s="90"/>
      <c r="G69" s="90"/>
      <c r="H69" s="90"/>
      <c r="I69" s="90"/>
      <c r="J69" s="90"/>
      <c r="K69" s="90"/>
      <c r="L69" s="90"/>
      <c r="M69" s="90"/>
      <c r="N69" s="90"/>
      <c r="O69" s="90"/>
      <c r="P69" s="157"/>
    </row>
    <row r="70" spans="1:16" x14ac:dyDescent="0.35">
      <c r="A70" s="1"/>
      <c r="B70" s="1"/>
      <c r="C70" s="1"/>
      <c r="D70" s="1"/>
      <c r="E70" s="1"/>
      <c r="F70" s="1"/>
      <c r="G70" s="1"/>
      <c r="H70" s="1"/>
      <c r="I70" s="1"/>
      <c r="J70" s="1"/>
      <c r="K70" s="1"/>
      <c r="L70" s="1"/>
      <c r="M70" s="1"/>
      <c r="N70" s="1"/>
      <c r="O70" s="1"/>
      <c r="P70" s="157"/>
    </row>
    <row r="71" spans="1:16" ht="18.5" x14ac:dyDescent="0.45">
      <c r="A71" s="1"/>
      <c r="B71" s="1"/>
      <c r="C71" s="141" t="s">
        <v>78</v>
      </c>
      <c r="D71" s="88"/>
      <c r="E71" s="88"/>
      <c r="F71" s="88"/>
      <c r="G71" s="88"/>
      <c r="H71" s="88"/>
      <c r="I71" s="88"/>
      <c r="J71" s="88"/>
      <c r="K71" s="88"/>
      <c r="L71" s="88"/>
      <c r="M71" s="88"/>
      <c r="N71" s="88"/>
      <c r="O71" s="88"/>
      <c r="P71" s="157"/>
    </row>
    <row r="72" spans="1:16" x14ac:dyDescent="0.35">
      <c r="A72" s="1"/>
      <c r="B72" s="1"/>
      <c r="C72" s="88" t="s">
        <v>93</v>
      </c>
      <c r="D72" s="142">
        <f>C40</f>
        <v>0.42</v>
      </c>
      <c r="E72" s="88"/>
      <c r="F72" s="88"/>
      <c r="G72" s="88"/>
      <c r="H72" s="88"/>
      <c r="I72" s="88"/>
      <c r="J72" s="88"/>
      <c r="K72" s="88"/>
      <c r="L72" s="88"/>
      <c r="M72" s="88"/>
      <c r="N72" s="88"/>
      <c r="O72" s="88"/>
      <c r="P72" s="157"/>
    </row>
    <row r="73" spans="1:16" x14ac:dyDescent="0.35">
      <c r="A73" s="1"/>
      <c r="B73" s="1"/>
      <c r="C73" s="88" t="s">
        <v>73</v>
      </c>
      <c r="D73" s="143">
        <f>C42</f>
        <v>4.0399999999999991E-2</v>
      </c>
      <c r="E73" s="88"/>
      <c r="F73" s="88"/>
      <c r="G73" s="88"/>
      <c r="H73" s="88"/>
      <c r="I73" s="88"/>
      <c r="J73" s="88"/>
      <c r="K73" s="88"/>
      <c r="L73" s="88"/>
      <c r="M73" s="88"/>
      <c r="N73" s="88"/>
      <c r="O73" s="88"/>
      <c r="P73" s="157"/>
    </row>
    <row r="74" spans="1:16" x14ac:dyDescent="0.35">
      <c r="A74" s="1"/>
      <c r="B74" s="1"/>
      <c r="C74" s="88" t="s">
        <v>74</v>
      </c>
      <c r="D74" s="144">
        <f>G78/F78-1</f>
        <v>1.3227513227513255E-2</v>
      </c>
      <c r="E74" s="144"/>
      <c r="F74" s="88"/>
      <c r="G74" s="88"/>
      <c r="H74" s="88"/>
      <c r="I74" s="88"/>
      <c r="J74" s="88"/>
      <c r="K74" s="88"/>
      <c r="L74" s="88"/>
      <c r="M74" s="88"/>
      <c r="N74" s="88"/>
      <c r="O74" s="88"/>
      <c r="P74" s="157"/>
    </row>
    <row r="75" spans="1:16" x14ac:dyDescent="0.35">
      <c r="A75" s="1"/>
      <c r="B75" s="1"/>
      <c r="C75" s="88" t="s">
        <v>76</v>
      </c>
      <c r="D75" s="144">
        <f>(D74-D73)/(O77-G77)</f>
        <v>-3.3965608465608421E-3</v>
      </c>
      <c r="E75" s="88"/>
      <c r="F75" s="88"/>
      <c r="G75" s="88"/>
      <c r="H75" s="88"/>
      <c r="I75" s="88"/>
      <c r="J75" s="88"/>
      <c r="K75" s="88"/>
      <c r="L75" s="88"/>
      <c r="M75" s="88"/>
      <c r="N75" s="88"/>
      <c r="O75" s="88"/>
      <c r="P75" s="157"/>
    </row>
    <row r="76" spans="1:16" x14ac:dyDescent="0.35">
      <c r="A76" s="1"/>
      <c r="B76" s="1"/>
      <c r="C76" s="88" t="s">
        <v>75</v>
      </c>
      <c r="D76" s="88"/>
      <c r="E76" s="145"/>
      <c r="F76" s="145"/>
      <c r="G76" s="145"/>
      <c r="H76" s="145">
        <f>D74-$D$75</f>
        <v>1.6624074074074097E-2</v>
      </c>
      <c r="I76" s="145">
        <f t="shared" ref="I76:O76" si="3">H76-$D$75</f>
        <v>2.0020634920634939E-2</v>
      </c>
      <c r="J76" s="145">
        <f t="shared" si="3"/>
        <v>2.3417195767195781E-2</v>
      </c>
      <c r="K76" s="145">
        <f t="shared" si="3"/>
        <v>2.6813756613756623E-2</v>
      </c>
      <c r="L76" s="145">
        <f t="shared" si="3"/>
        <v>3.0210317460317465E-2</v>
      </c>
      <c r="M76" s="145">
        <f t="shared" si="3"/>
        <v>3.3606878306878307E-2</v>
      </c>
      <c r="N76" s="145">
        <f t="shared" si="3"/>
        <v>3.7003439153439149E-2</v>
      </c>
      <c r="O76" s="145">
        <f t="shared" si="3"/>
        <v>4.0399999999999991E-2</v>
      </c>
      <c r="P76" s="156"/>
    </row>
    <row r="77" spans="1:16" x14ac:dyDescent="0.35">
      <c r="A77" s="1"/>
      <c r="B77" s="1"/>
      <c r="C77" s="88" t="s">
        <v>77</v>
      </c>
      <c r="D77" s="88">
        <v>0</v>
      </c>
      <c r="E77" s="146">
        <f>D72/2</f>
        <v>0.21</v>
      </c>
      <c r="F77" s="146">
        <f>0.5+D72</f>
        <v>0.91999999999999993</v>
      </c>
      <c r="G77" s="147">
        <f t="shared" ref="G77:O77" si="4">F77+1</f>
        <v>1.92</v>
      </c>
      <c r="H77" s="147">
        <f t="shared" si="4"/>
        <v>2.92</v>
      </c>
      <c r="I77" s="147">
        <f t="shared" si="4"/>
        <v>3.92</v>
      </c>
      <c r="J77" s="147">
        <f t="shared" si="4"/>
        <v>4.92</v>
      </c>
      <c r="K77" s="147">
        <f t="shared" si="4"/>
        <v>5.92</v>
      </c>
      <c r="L77" s="147">
        <f t="shared" si="4"/>
        <v>6.92</v>
      </c>
      <c r="M77" s="147">
        <f t="shared" si="4"/>
        <v>7.92</v>
      </c>
      <c r="N77" s="147">
        <f t="shared" si="4"/>
        <v>8.92</v>
      </c>
      <c r="O77" s="147">
        <f t="shared" si="4"/>
        <v>9.92</v>
      </c>
      <c r="P77" s="1"/>
    </row>
    <row r="78" spans="1:16" x14ac:dyDescent="0.35">
      <c r="A78" s="1"/>
      <c r="B78" s="1"/>
      <c r="C78" s="88"/>
      <c r="D78" s="148"/>
      <c r="E78" s="149">
        <f>C57*100*D72</f>
        <v>1.4574</v>
      </c>
      <c r="F78" s="149">
        <f>D57*100</f>
        <v>3.7800000000000002</v>
      </c>
      <c r="G78" s="149">
        <f>E57*100</f>
        <v>3.83</v>
      </c>
      <c r="H78" s="150">
        <f t="shared" ref="H78:O78" si="5">G78*(1+H76)</f>
        <v>3.8936702037037043</v>
      </c>
      <c r="I78" s="150">
        <f t="shared" si="5"/>
        <v>3.9716239533534101</v>
      </c>
      <c r="J78" s="150">
        <f t="shared" si="5"/>
        <v>4.0646282489827712</v>
      </c>
      <c r="K78" s="150">
        <f t="shared" si="5"/>
        <v>4.1736162015763956</v>
      </c>
      <c r="L78" s="150">
        <f t="shared" si="5"/>
        <v>4.2997024719835428</v>
      </c>
      <c r="M78" s="150">
        <f t="shared" si="5"/>
        <v>4.4442020497152779</v>
      </c>
      <c r="N78" s="150">
        <f t="shared" si="5"/>
        <v>4.6086528098475066</v>
      </c>
      <c r="O78" s="150">
        <f t="shared" si="5"/>
        <v>4.7948423833653457</v>
      </c>
      <c r="P78" s="1"/>
    </row>
    <row r="79" spans="1:16" x14ac:dyDescent="0.35">
      <c r="A79" s="1"/>
      <c r="B79" s="1"/>
      <c r="C79" s="88"/>
      <c r="D79" s="151"/>
      <c r="E79" s="152"/>
      <c r="F79" s="152"/>
      <c r="G79" s="152"/>
      <c r="H79" s="152"/>
      <c r="I79" s="152"/>
      <c r="J79" s="152"/>
      <c r="K79" s="152"/>
      <c r="L79" s="152"/>
      <c r="M79" s="152"/>
      <c r="N79" s="152"/>
      <c r="O79" s="152">
        <f>O78*(1+$D$73)/(D83-D73)</f>
        <v>143.81128450974941</v>
      </c>
      <c r="P79" s="1"/>
    </row>
    <row r="80" spans="1:16" x14ac:dyDescent="0.35">
      <c r="A80" s="1"/>
      <c r="B80" s="1"/>
      <c r="C80" s="88"/>
      <c r="D80" s="153">
        <v>-100</v>
      </c>
      <c r="E80" s="145">
        <f t="shared" ref="E80:O80" si="6">SUM(E78:E79)</f>
        <v>1.4574</v>
      </c>
      <c r="F80" s="145">
        <f t="shared" si="6"/>
        <v>3.7800000000000002</v>
      </c>
      <c r="G80" s="145">
        <f t="shared" si="6"/>
        <v>3.83</v>
      </c>
      <c r="H80" s="145">
        <f t="shared" si="6"/>
        <v>3.8936702037037043</v>
      </c>
      <c r="I80" s="145">
        <f t="shared" si="6"/>
        <v>3.9716239533534101</v>
      </c>
      <c r="J80" s="145">
        <f t="shared" si="6"/>
        <v>4.0646282489827712</v>
      </c>
      <c r="K80" s="145">
        <f t="shared" si="6"/>
        <v>4.1736162015763956</v>
      </c>
      <c r="L80" s="145">
        <f t="shared" si="6"/>
        <v>4.2997024719835428</v>
      </c>
      <c r="M80" s="145">
        <f t="shared" si="6"/>
        <v>4.4442020497152779</v>
      </c>
      <c r="N80" s="145">
        <f t="shared" si="6"/>
        <v>4.6086528098475066</v>
      </c>
      <c r="O80" s="145">
        <f t="shared" si="6"/>
        <v>148.60612689311475</v>
      </c>
      <c r="P80" s="1"/>
    </row>
    <row r="81" spans="1:16" x14ac:dyDescent="0.35">
      <c r="A81" s="1"/>
      <c r="B81" s="1"/>
      <c r="C81" s="88"/>
      <c r="D81" s="153">
        <f>SUM(E81:O81)</f>
        <v>99.999999999999915</v>
      </c>
      <c r="E81" s="145">
        <f t="shared" ref="E81:O81" si="7">E80/(1+$D$83)^E77</f>
        <v>1.4354084732495069</v>
      </c>
      <c r="F81" s="145">
        <f t="shared" si="7"/>
        <v>3.536415079975781</v>
      </c>
      <c r="G81" s="145">
        <f t="shared" si="7"/>
        <v>3.332929401281949</v>
      </c>
      <c r="H81" s="145">
        <f t="shared" si="7"/>
        <v>3.1516821404272251</v>
      </c>
      <c r="I81" s="145">
        <f t="shared" si="7"/>
        <v>2.9902484559712739</v>
      </c>
      <c r="J81" s="145">
        <f t="shared" si="7"/>
        <v>2.8465308251084358</v>
      </c>
      <c r="K81" s="145">
        <f t="shared" si="7"/>
        <v>2.7187137026345569</v>
      </c>
      <c r="L81" s="145">
        <f t="shared" si="7"/>
        <v>2.6052252431461209</v>
      </c>
      <c r="M81" s="145">
        <f t="shared" si="7"/>
        <v>2.5047049544588322</v>
      </c>
      <c r="N81" s="145">
        <f t="shared" si="7"/>
        <v>2.415976346539789</v>
      </c>
      <c r="O81" s="145">
        <f t="shared" si="7"/>
        <v>72.462165377206446</v>
      </c>
      <c r="P81" s="1"/>
    </row>
    <row r="82" spans="1:16" x14ac:dyDescent="0.35">
      <c r="A82" s="1"/>
      <c r="B82" s="1"/>
      <c r="C82" s="88"/>
      <c r="D82" s="154">
        <f>(D80+D81)*1000000</f>
        <v>-8.5265128291212022E-8</v>
      </c>
      <c r="E82" s="154"/>
      <c r="F82" s="154"/>
      <c r="G82" s="154"/>
      <c r="H82" s="154"/>
      <c r="I82" s="154"/>
      <c r="J82" s="154"/>
      <c r="K82" s="154"/>
      <c r="L82" s="154"/>
      <c r="M82" s="154"/>
      <c r="N82" s="154"/>
      <c r="O82" s="154"/>
      <c r="P82" s="1"/>
    </row>
    <row r="83" spans="1:16" x14ac:dyDescent="0.35">
      <c r="A83" s="1"/>
      <c r="B83" s="1"/>
      <c r="C83" s="1" t="s">
        <v>231</v>
      </c>
      <c r="D83" s="155">
        <v>7.5088195941363109E-2</v>
      </c>
      <c r="E83" s="1"/>
      <c r="F83" s="1"/>
      <c r="G83" s="1"/>
      <c r="H83" s="1"/>
      <c r="I83" s="1"/>
      <c r="J83" s="1"/>
      <c r="K83" s="1"/>
      <c r="L83" s="1"/>
      <c r="M83" s="1"/>
      <c r="N83" s="1"/>
      <c r="O83" s="1"/>
      <c r="P83" s="1"/>
    </row>
    <row r="84" spans="1:16" x14ac:dyDescent="0.35">
      <c r="A84" s="1"/>
      <c r="B84" s="1"/>
      <c r="C84" s="1"/>
      <c r="D84" s="155"/>
      <c r="E84" s="1"/>
      <c r="F84" s="1"/>
      <c r="G84" s="1"/>
      <c r="H84" s="1"/>
      <c r="I84" s="1"/>
      <c r="J84" s="1"/>
      <c r="K84" s="1"/>
      <c r="L84" s="1"/>
      <c r="M84" s="1"/>
      <c r="N84" s="1"/>
      <c r="O84" s="1"/>
      <c r="P84" s="1"/>
    </row>
  </sheetData>
  <mergeCells count="10">
    <mergeCell ref="I4:P10"/>
    <mergeCell ref="L42:M42"/>
    <mergeCell ref="L43:M43"/>
    <mergeCell ref="L44:M44"/>
    <mergeCell ref="L50:M50"/>
    <mergeCell ref="L45:M45"/>
    <mergeCell ref="L46:M46"/>
    <mergeCell ref="L47:M47"/>
    <mergeCell ref="L48:M48"/>
    <mergeCell ref="L49:M49"/>
  </mergeCells>
  <phoneticPr fontId="25" type="noConversion"/>
  <pageMargins left="0.7" right="0.7" top="0.75" bottom="0.75" header="0.3" footer="0.3"/>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BAC97-6607-44B4-86AC-0387BAAE3233}">
  <dimension ref="A2:E40"/>
  <sheetViews>
    <sheetView showGridLines="0" view="pageBreakPreview" zoomScale="50" zoomScaleNormal="110" zoomScaleSheetLayoutView="50" zoomScalePageLayoutView="45" workbookViewId="0">
      <selection activeCell="B52" sqref="B52"/>
    </sheetView>
  </sheetViews>
  <sheetFormatPr defaultRowHeight="14.5" x14ac:dyDescent="0.35"/>
  <cols>
    <col min="1" max="1" width="8.7265625" customWidth="1"/>
    <col min="2" max="2" width="255.6328125" bestFit="1" customWidth="1"/>
  </cols>
  <sheetData>
    <row r="2" spans="1:5" ht="26" x14ac:dyDescent="0.6">
      <c r="B2" s="42" t="s">
        <v>151</v>
      </c>
      <c r="C2" s="42"/>
      <c r="D2" s="42"/>
      <c r="E2" s="42"/>
    </row>
    <row r="3" spans="1:5" ht="29" x14ac:dyDescent="0.35">
      <c r="B3" s="125" t="s">
        <v>221</v>
      </c>
    </row>
    <row r="4" spans="1:5" x14ac:dyDescent="0.35">
      <c r="B4" s="126"/>
    </row>
    <row r="5" spans="1:5" ht="23.5" x14ac:dyDescent="0.55000000000000004">
      <c r="B5" s="167" t="s">
        <v>152</v>
      </c>
    </row>
    <row r="6" spans="1:5" x14ac:dyDescent="0.35">
      <c r="B6" s="1" t="s">
        <v>211</v>
      </c>
    </row>
    <row r="7" spans="1:5" x14ac:dyDescent="0.35">
      <c r="B7" s="1"/>
    </row>
    <row r="8" spans="1:5" ht="23.5" x14ac:dyDescent="0.55000000000000004">
      <c r="B8" s="167" t="s">
        <v>153</v>
      </c>
    </row>
    <row r="9" spans="1:5" x14ac:dyDescent="0.35">
      <c r="B9" s="1" t="s">
        <v>154</v>
      </c>
    </row>
    <row r="10" spans="1:5" x14ac:dyDescent="0.35">
      <c r="A10">
        <v>1</v>
      </c>
      <c r="B10" s="1" t="s">
        <v>170</v>
      </c>
    </row>
    <row r="11" spans="1:5" x14ac:dyDescent="0.35">
      <c r="A11">
        <v>1.1000000000000001</v>
      </c>
      <c r="B11" s="1" t="s">
        <v>166</v>
      </c>
    </row>
    <row r="12" spans="1:5" x14ac:dyDescent="0.35">
      <c r="A12">
        <v>1.2</v>
      </c>
      <c r="B12" s="1" t="s">
        <v>168</v>
      </c>
    </row>
    <row r="13" spans="1:5" x14ac:dyDescent="0.35">
      <c r="A13">
        <v>1.3</v>
      </c>
      <c r="B13" s="1" t="s">
        <v>169</v>
      </c>
    </row>
    <row r="14" spans="1:5" x14ac:dyDescent="0.35">
      <c r="A14">
        <v>2</v>
      </c>
      <c r="B14" s="1" t="s">
        <v>167</v>
      </c>
    </row>
    <row r="15" spans="1:5" x14ac:dyDescent="0.35">
      <c r="B15" s="1"/>
    </row>
    <row r="16" spans="1:5" ht="23.5" x14ac:dyDescent="0.55000000000000004">
      <c r="B16" s="167" t="s">
        <v>3</v>
      </c>
    </row>
    <row r="17" spans="1:2" x14ac:dyDescent="0.35">
      <c r="A17">
        <v>1</v>
      </c>
      <c r="B17" s="1" t="s">
        <v>222</v>
      </c>
    </row>
    <row r="18" spans="1:2" x14ac:dyDescent="0.35">
      <c r="A18">
        <v>2</v>
      </c>
      <c r="B18" s="1" t="s">
        <v>223</v>
      </c>
    </row>
    <row r="19" spans="1:2" x14ac:dyDescent="0.35">
      <c r="A19">
        <v>3</v>
      </c>
      <c r="B19" s="1" t="s">
        <v>224</v>
      </c>
    </row>
    <row r="20" spans="1:2" x14ac:dyDescent="0.35">
      <c r="A20">
        <v>4</v>
      </c>
      <c r="B20" s="1" t="s">
        <v>155</v>
      </c>
    </row>
    <row r="21" spans="1:2" x14ac:dyDescent="0.35">
      <c r="A21">
        <v>5</v>
      </c>
      <c r="B21" s="1" t="s">
        <v>156</v>
      </c>
    </row>
    <row r="22" spans="1:2" x14ac:dyDescent="0.35">
      <c r="A22">
        <v>6</v>
      </c>
      <c r="B22" s="1" t="s">
        <v>210</v>
      </c>
    </row>
    <row r="23" spans="1:2" x14ac:dyDescent="0.35">
      <c r="A23">
        <v>7</v>
      </c>
      <c r="B23" s="1" t="s">
        <v>225</v>
      </c>
    </row>
    <row r="24" spans="1:2" x14ac:dyDescent="0.35">
      <c r="A24">
        <v>8</v>
      </c>
      <c r="B24" s="1" t="s">
        <v>226</v>
      </c>
    </row>
    <row r="25" spans="1:2" x14ac:dyDescent="0.35">
      <c r="A25">
        <v>9</v>
      </c>
      <c r="B25" s="1" t="s">
        <v>237</v>
      </c>
    </row>
    <row r="26" spans="1:2" x14ac:dyDescent="0.35">
      <c r="A26">
        <v>10</v>
      </c>
      <c r="B26" s="1" t="s">
        <v>238</v>
      </c>
    </row>
    <row r="27" spans="1:2" x14ac:dyDescent="0.35">
      <c r="A27">
        <v>11</v>
      </c>
      <c r="B27" s="47" t="s">
        <v>234</v>
      </c>
    </row>
    <row r="28" spans="1:2" x14ac:dyDescent="0.35">
      <c r="B28" s="1"/>
    </row>
    <row r="29" spans="1:2" ht="23.5" x14ac:dyDescent="0.55000000000000004">
      <c r="B29" s="167" t="s">
        <v>105</v>
      </c>
    </row>
    <row r="30" spans="1:2" x14ac:dyDescent="0.35">
      <c r="A30">
        <v>1</v>
      </c>
      <c r="B30" s="1" t="s">
        <v>165</v>
      </c>
    </row>
    <row r="31" spans="1:2" x14ac:dyDescent="0.35">
      <c r="B31" s="1"/>
    </row>
    <row r="32" spans="1:2" ht="23.5" x14ac:dyDescent="0.55000000000000004">
      <c r="B32" s="167" t="s">
        <v>37</v>
      </c>
    </row>
    <row r="33" spans="1:2" x14ac:dyDescent="0.35">
      <c r="B33" s="2" t="s">
        <v>162</v>
      </c>
    </row>
    <row r="34" spans="1:2" x14ac:dyDescent="0.35">
      <c r="A34">
        <v>1</v>
      </c>
      <c r="B34" s="1" t="s">
        <v>157</v>
      </c>
    </row>
    <row r="35" spans="1:2" x14ac:dyDescent="0.35">
      <c r="A35">
        <v>2</v>
      </c>
      <c r="B35" s="1" t="s">
        <v>158</v>
      </c>
    </row>
    <row r="36" spans="1:2" x14ac:dyDescent="0.35">
      <c r="A36">
        <v>3</v>
      </c>
      <c r="B36" s="1" t="s">
        <v>159</v>
      </c>
    </row>
    <row r="37" spans="1:2" x14ac:dyDescent="0.35">
      <c r="A37">
        <v>4</v>
      </c>
      <c r="B37" s="1" t="s">
        <v>160</v>
      </c>
    </row>
    <row r="38" spans="1:2" x14ac:dyDescent="0.35">
      <c r="A38">
        <v>5</v>
      </c>
      <c r="B38" s="1" t="s">
        <v>161</v>
      </c>
    </row>
    <row r="39" spans="1:2" x14ac:dyDescent="0.35">
      <c r="B39" s="2" t="s">
        <v>163</v>
      </c>
    </row>
    <row r="40" spans="1:2" x14ac:dyDescent="0.35">
      <c r="A40">
        <v>6</v>
      </c>
      <c r="B40" s="1" t="s">
        <v>164</v>
      </c>
    </row>
  </sheetData>
  <pageMargins left="0.7" right="0.7" top="0.75" bottom="0.75" header="0.3" footer="0.3"/>
  <pageSetup paperSize="9" scale="3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416BC-A691-4309-B797-EC508620C105}">
  <dimension ref="B2:E17"/>
  <sheetViews>
    <sheetView showGridLines="0" view="pageBreakPreview" zoomScale="95" zoomScaleNormal="100" zoomScaleSheetLayoutView="95" workbookViewId="0">
      <selection activeCell="H9" sqref="H9"/>
    </sheetView>
  </sheetViews>
  <sheetFormatPr defaultRowHeight="14.5" x14ac:dyDescent="0.35"/>
  <cols>
    <col min="2" max="2" width="28.1796875" bestFit="1" customWidth="1"/>
    <col min="3" max="3" width="20.7265625" bestFit="1" customWidth="1"/>
    <col min="4" max="4" width="20.54296875" bestFit="1" customWidth="1"/>
    <col min="5" max="5" width="20.7265625" bestFit="1" customWidth="1"/>
  </cols>
  <sheetData>
    <row r="2" spans="2:5" ht="26" x14ac:dyDescent="0.6">
      <c r="B2" s="42" t="s">
        <v>143</v>
      </c>
      <c r="C2" s="42"/>
      <c r="D2" s="42"/>
    </row>
    <row r="5" spans="2:5" x14ac:dyDescent="0.35">
      <c r="B5" s="55" t="s">
        <v>144</v>
      </c>
      <c r="C5" s="55" t="s">
        <v>145</v>
      </c>
      <c r="D5" s="59" t="s">
        <v>150</v>
      </c>
      <c r="E5" s="54" t="s">
        <v>145</v>
      </c>
    </row>
    <row r="6" spans="2:5" x14ac:dyDescent="0.35">
      <c r="B6" s="56"/>
      <c r="C6" s="56"/>
      <c r="D6" s="36"/>
      <c r="E6" s="30"/>
    </row>
    <row r="7" spans="2:5" x14ac:dyDescent="0.35">
      <c r="B7" s="60" t="s">
        <v>3</v>
      </c>
      <c r="C7" s="61" t="str">
        <f>HYPERLINK("#'External data'!A1","External data")</f>
        <v>External data</v>
      </c>
      <c r="D7" s="36"/>
      <c r="E7" s="30"/>
    </row>
    <row r="8" spans="2:5" x14ac:dyDescent="0.35">
      <c r="B8" s="60" t="s">
        <v>105</v>
      </c>
      <c r="C8" s="61" t="str">
        <f>HYPERLINK("#'Inputs and definitions'!A1","Inputs and definitions")</f>
        <v>Inputs and definitions</v>
      </c>
      <c r="D8" s="36"/>
      <c r="E8" s="30"/>
    </row>
    <row r="9" spans="2:5" x14ac:dyDescent="0.35">
      <c r="B9" s="56"/>
      <c r="C9" s="58"/>
      <c r="D9" s="36"/>
      <c r="E9" s="30"/>
    </row>
    <row r="10" spans="2:5" x14ac:dyDescent="0.35">
      <c r="B10" s="57" t="s">
        <v>146</v>
      </c>
      <c r="C10" s="56"/>
      <c r="D10" s="36"/>
      <c r="E10" s="30"/>
    </row>
    <row r="11" spans="2:5" x14ac:dyDescent="0.35">
      <c r="B11" s="62" t="s">
        <v>0</v>
      </c>
      <c r="C11" s="63" t="str">
        <f>HYPERLINK("#'Ibbotson TAMRP'!A1","Ibbotson TAMRP")</f>
        <v>Ibbotson TAMRP</v>
      </c>
      <c r="D11" s="36"/>
      <c r="E11" s="30"/>
    </row>
    <row r="12" spans="2:5" x14ac:dyDescent="0.35">
      <c r="B12" s="60" t="s">
        <v>13</v>
      </c>
      <c r="C12" s="61" t="str">
        <f>HYPERLINK("#'Siegel 1 TAMRP'!A1", "Siegel 1 TAMRP")</f>
        <v>Siegel 1 TAMRP</v>
      </c>
      <c r="D12" s="60" t="s">
        <v>147</v>
      </c>
      <c r="E12" s="64" t="str">
        <f>HYPERLINK("#'Long-term risk-free rate'!A1","Long-term risk-free rate")</f>
        <v>Long-term risk-free rate</v>
      </c>
    </row>
    <row r="13" spans="2:5" x14ac:dyDescent="0.35">
      <c r="B13" s="60" t="s">
        <v>20</v>
      </c>
      <c r="C13" s="65" t="str">
        <f>HYPERLINK("#'Siegel 2 TAMRP'!A1","Siegel 2 TAMRP")</f>
        <v>Siegel 2 TAMRP</v>
      </c>
      <c r="D13" s="60" t="s">
        <v>135</v>
      </c>
      <c r="E13" s="66" t="str">
        <f>HYPERLINK("#'Forecast CPI inflation'!A1","Forecast CPI inflation")</f>
        <v>Forecast CPI inflation</v>
      </c>
    </row>
    <row r="14" spans="2:5" ht="14" customHeight="1" x14ac:dyDescent="0.35">
      <c r="B14" s="60" t="s">
        <v>149</v>
      </c>
      <c r="C14" s="65" t="str">
        <f>HYPERLINK("#'Output'!A1","Output")</f>
        <v>Output</v>
      </c>
      <c r="D14" s="36"/>
      <c r="E14" s="30"/>
    </row>
    <row r="15" spans="2:5" ht="14" customHeight="1" x14ac:dyDescent="0.35">
      <c r="B15" s="56"/>
      <c r="C15" s="56"/>
      <c r="D15" s="36"/>
      <c r="E15" s="30"/>
    </row>
    <row r="16" spans="2:5" x14ac:dyDescent="0.35">
      <c r="B16" s="57" t="s">
        <v>148</v>
      </c>
      <c r="C16" s="56"/>
      <c r="D16" s="36"/>
      <c r="E16" s="30"/>
    </row>
    <row r="17" spans="2:5" x14ac:dyDescent="0.35">
      <c r="B17" s="60" t="s">
        <v>40</v>
      </c>
      <c r="C17" s="65" t="str">
        <f>HYPERLINK("#'DGM TAMRP'!A1","DGM TAMRP")</f>
        <v>DGM TAMRP</v>
      </c>
      <c r="D17" s="41"/>
      <c r="E17" s="33"/>
    </row>
  </sheetData>
  <pageMargins left="0.7" right="0.7" top="0.75" bottom="0.75" header="0.3" footer="0.3"/>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05FBE-90D4-49BA-9B38-7E216A1A36E5}">
  <dimension ref="A2:K155"/>
  <sheetViews>
    <sheetView showGridLines="0" view="pageBreakPreview" topLeftCell="A155" zoomScale="82" zoomScaleNormal="62" workbookViewId="0">
      <selection activeCell="B16" sqref="B16"/>
    </sheetView>
  </sheetViews>
  <sheetFormatPr defaultRowHeight="14.5" x14ac:dyDescent="0.35"/>
  <cols>
    <col min="2" max="2" width="84.6328125" customWidth="1"/>
    <col min="3" max="3" width="24.6328125" customWidth="1"/>
    <col min="5" max="5" width="20.90625" customWidth="1"/>
    <col min="7" max="7" width="19.81640625" bestFit="1" customWidth="1"/>
  </cols>
  <sheetData>
    <row r="2" spans="1:11" ht="26" x14ac:dyDescent="0.6">
      <c r="B2" s="42" t="s">
        <v>3</v>
      </c>
      <c r="C2" s="1"/>
      <c r="D2" s="1"/>
      <c r="E2" s="1"/>
      <c r="F2" s="1"/>
      <c r="G2" s="1"/>
      <c r="H2" s="1"/>
      <c r="I2" s="1"/>
      <c r="J2" s="1"/>
      <c r="K2" s="1"/>
    </row>
    <row r="3" spans="1:11" ht="15.5" x14ac:dyDescent="0.35">
      <c r="B3" s="164" t="s">
        <v>214</v>
      </c>
      <c r="C3" s="1"/>
      <c r="D3" s="1"/>
      <c r="E3" s="1"/>
      <c r="F3" s="1"/>
      <c r="G3" s="1"/>
      <c r="H3" s="1"/>
      <c r="I3" s="1"/>
      <c r="J3" s="1"/>
      <c r="K3" s="1"/>
    </row>
    <row r="4" spans="1:11" x14ac:dyDescent="0.35">
      <c r="A4">
        <v>1</v>
      </c>
      <c r="B4" s="1" t="s">
        <v>216</v>
      </c>
      <c r="C4" s="1"/>
      <c r="D4" s="101"/>
      <c r="E4" s="1"/>
      <c r="F4" s="1"/>
      <c r="G4" s="1"/>
      <c r="H4" s="1"/>
      <c r="I4" s="1"/>
      <c r="J4" s="1"/>
      <c r="K4" s="1"/>
    </row>
    <row r="5" spans="1:11" x14ac:dyDescent="0.35">
      <c r="A5">
        <v>2</v>
      </c>
      <c r="B5" s="1" t="s">
        <v>217</v>
      </c>
      <c r="C5" s="1"/>
      <c r="D5" s="101"/>
      <c r="E5" s="1"/>
      <c r="F5" s="1"/>
      <c r="G5" s="1"/>
      <c r="H5" s="1"/>
      <c r="I5" s="1"/>
      <c r="J5" s="1"/>
      <c r="K5" s="1"/>
    </row>
    <row r="6" spans="1:11" x14ac:dyDescent="0.35">
      <c r="A6">
        <v>3</v>
      </c>
      <c r="B6" s="1" t="s">
        <v>218</v>
      </c>
      <c r="C6" s="1"/>
      <c r="D6" s="101"/>
      <c r="E6" s="1"/>
      <c r="F6" s="1"/>
      <c r="G6" s="1"/>
      <c r="H6" s="1"/>
      <c r="I6" s="1"/>
      <c r="J6" s="1"/>
      <c r="K6" s="1"/>
    </row>
    <row r="7" spans="1:11" x14ac:dyDescent="0.35">
      <c r="A7">
        <v>4</v>
      </c>
      <c r="B7" s="1" t="s">
        <v>209</v>
      </c>
      <c r="C7" s="1"/>
      <c r="D7" s="101"/>
      <c r="E7" s="1"/>
      <c r="F7" s="1"/>
      <c r="G7" s="1"/>
      <c r="H7" s="1"/>
      <c r="I7" s="1"/>
      <c r="J7" s="1"/>
      <c r="K7" s="1"/>
    </row>
    <row r="8" spans="1:11" x14ac:dyDescent="0.35">
      <c r="A8">
        <v>5</v>
      </c>
      <c r="B8" s="1" t="s">
        <v>208</v>
      </c>
      <c r="C8" s="1"/>
      <c r="D8" s="101"/>
      <c r="E8" s="1"/>
      <c r="F8" s="1"/>
      <c r="G8" s="1"/>
      <c r="H8" s="1"/>
      <c r="I8" s="1"/>
      <c r="J8" s="1"/>
      <c r="K8" s="1"/>
    </row>
    <row r="9" spans="1:11" x14ac:dyDescent="0.35">
      <c r="A9">
        <v>6</v>
      </c>
      <c r="B9" s="1" t="s">
        <v>213</v>
      </c>
      <c r="C9" s="1"/>
      <c r="D9" s="101"/>
      <c r="E9" s="1"/>
      <c r="F9" s="1"/>
      <c r="G9" s="1"/>
      <c r="H9" s="1"/>
      <c r="I9" s="1"/>
      <c r="J9" s="1"/>
      <c r="K9" s="1"/>
    </row>
    <row r="10" spans="1:11" x14ac:dyDescent="0.35">
      <c r="A10">
        <v>7</v>
      </c>
      <c r="B10" s="1" t="s">
        <v>215</v>
      </c>
      <c r="C10" s="1"/>
      <c r="D10" s="101"/>
      <c r="E10" s="1"/>
      <c r="F10" s="1"/>
      <c r="G10" s="1"/>
      <c r="H10" s="1"/>
      <c r="I10" s="1"/>
      <c r="J10" s="1"/>
      <c r="K10" s="1"/>
    </row>
    <row r="11" spans="1:11" ht="43.5" x14ac:dyDescent="0.35">
      <c r="A11" s="128">
        <v>8</v>
      </c>
      <c r="B11" s="47" t="s">
        <v>228</v>
      </c>
      <c r="C11" s="1"/>
      <c r="D11" s="101"/>
      <c r="E11" s="1"/>
      <c r="F11" s="1"/>
      <c r="G11" s="1"/>
      <c r="H11" s="1"/>
      <c r="I11" s="1"/>
      <c r="J11" s="1"/>
      <c r="K11" s="1"/>
    </row>
    <row r="12" spans="1:11" ht="43.5" x14ac:dyDescent="0.35">
      <c r="A12" s="128">
        <v>9</v>
      </c>
      <c r="B12" s="47" t="s">
        <v>229</v>
      </c>
      <c r="C12" s="1"/>
      <c r="D12" s="101"/>
      <c r="E12" s="1"/>
      <c r="F12" s="1"/>
      <c r="G12" s="1"/>
      <c r="H12" s="1"/>
      <c r="I12" s="1"/>
      <c r="J12" s="1"/>
      <c r="K12" s="1"/>
    </row>
    <row r="13" spans="1:11" ht="29" x14ac:dyDescent="0.35">
      <c r="A13" s="128">
        <v>10</v>
      </c>
      <c r="B13" s="47" t="s">
        <v>230</v>
      </c>
      <c r="C13" s="1"/>
      <c r="D13" s="101"/>
      <c r="E13" s="1"/>
      <c r="F13" s="1"/>
      <c r="G13" s="1"/>
      <c r="H13" s="1"/>
      <c r="I13" s="1"/>
      <c r="J13" s="1"/>
      <c r="K13" s="1"/>
    </row>
    <row r="14" spans="1:11" x14ac:dyDescent="0.35">
      <c r="A14" s="128">
        <v>11</v>
      </c>
      <c r="B14" s="47" t="s">
        <v>234</v>
      </c>
      <c r="C14" s="1"/>
      <c r="D14" s="101"/>
      <c r="E14" s="1"/>
      <c r="F14" s="1"/>
      <c r="G14" s="1"/>
      <c r="H14" s="1"/>
      <c r="I14" s="1"/>
      <c r="J14" s="1"/>
      <c r="K14" s="1"/>
    </row>
    <row r="15" spans="1:11" x14ac:dyDescent="0.35">
      <c r="B15" s="1"/>
      <c r="C15" s="1"/>
      <c r="D15" s="101"/>
      <c r="E15" s="1"/>
      <c r="F15" s="1"/>
      <c r="G15" s="1"/>
      <c r="H15" s="1"/>
      <c r="I15" s="1"/>
      <c r="J15" s="1"/>
      <c r="K15" s="1"/>
    </row>
    <row r="16" spans="1:11" x14ac:dyDescent="0.35">
      <c r="A16">
        <v>1</v>
      </c>
      <c r="B16" s="166" t="s">
        <v>99</v>
      </c>
      <c r="C16" s="1"/>
      <c r="D16" s="101"/>
      <c r="E16" s="102"/>
      <c r="F16" s="1"/>
      <c r="G16" s="1"/>
      <c r="H16" s="1"/>
      <c r="I16" s="1"/>
      <c r="J16" s="1"/>
      <c r="K16" s="1"/>
    </row>
    <row r="17" spans="2:11" ht="29" x14ac:dyDescent="0.35">
      <c r="B17" s="80"/>
      <c r="C17" s="103" t="s">
        <v>100</v>
      </c>
      <c r="D17" s="104"/>
      <c r="E17" s="103" t="s">
        <v>103</v>
      </c>
      <c r="F17" s="1"/>
      <c r="G17" s="81" t="s">
        <v>103</v>
      </c>
      <c r="H17" s="1"/>
      <c r="I17" s="1"/>
      <c r="J17" s="1"/>
      <c r="K17" s="1"/>
    </row>
    <row r="18" spans="2:11" x14ac:dyDescent="0.35">
      <c r="B18" s="80"/>
      <c r="C18" s="105" t="s">
        <v>101</v>
      </c>
      <c r="D18" s="104"/>
      <c r="E18" s="82">
        <v>45920</v>
      </c>
      <c r="F18" s="1"/>
      <c r="G18" s="82">
        <v>47746</v>
      </c>
      <c r="H18" s="1"/>
      <c r="I18" s="1"/>
      <c r="J18" s="1"/>
      <c r="K18" s="1"/>
    </row>
    <row r="19" spans="2:11" x14ac:dyDescent="0.35">
      <c r="B19" s="83"/>
      <c r="C19" s="83" t="s">
        <v>102</v>
      </c>
      <c r="D19" s="106"/>
      <c r="E19" s="107" t="s">
        <v>104</v>
      </c>
      <c r="F19" s="48"/>
      <c r="G19" s="83" t="s">
        <v>104</v>
      </c>
      <c r="H19" s="48"/>
      <c r="I19" s="1"/>
      <c r="J19" s="1"/>
      <c r="K19" s="1"/>
    </row>
    <row r="20" spans="2:11" x14ac:dyDescent="0.35">
      <c r="B20" s="108">
        <v>44957</v>
      </c>
      <c r="C20" s="109">
        <v>4.0999999999999996</v>
      </c>
      <c r="D20" s="101"/>
      <c r="E20" s="109">
        <v>1.36</v>
      </c>
      <c r="F20" s="1"/>
      <c r="G20" s="109">
        <v>1.84</v>
      </c>
      <c r="H20" s="1"/>
      <c r="I20" s="1"/>
      <c r="J20" s="1"/>
      <c r="K20" s="1"/>
    </row>
    <row r="21" spans="2:11" x14ac:dyDescent="0.35">
      <c r="B21" s="108">
        <v>44985</v>
      </c>
      <c r="C21" s="109">
        <v>4.25</v>
      </c>
      <c r="D21" s="101"/>
      <c r="E21" s="109">
        <v>1.38</v>
      </c>
      <c r="F21" s="1"/>
      <c r="G21" s="109">
        <v>1.94</v>
      </c>
      <c r="H21" s="1"/>
      <c r="I21" s="1"/>
      <c r="J21" s="1"/>
      <c r="K21" s="1"/>
    </row>
    <row r="22" spans="2:11" x14ac:dyDescent="0.35">
      <c r="B22" s="108">
        <v>45016</v>
      </c>
      <c r="C22" s="109">
        <v>4.37</v>
      </c>
      <c r="D22" s="101"/>
      <c r="E22" s="109">
        <v>1.1399999999999999</v>
      </c>
      <c r="F22" s="1"/>
      <c r="G22" s="109">
        <v>1.81</v>
      </c>
      <c r="H22" s="1"/>
      <c r="I22" s="1"/>
      <c r="J22" s="1"/>
      <c r="K22" s="1"/>
    </row>
    <row r="23" spans="2:11" x14ac:dyDescent="0.35">
      <c r="B23" s="108">
        <v>45046</v>
      </c>
      <c r="C23" s="109">
        <v>4.0999999999999996</v>
      </c>
      <c r="D23" s="101"/>
      <c r="E23" s="109">
        <v>0.98</v>
      </c>
      <c r="F23" s="1"/>
      <c r="G23" s="109">
        <v>1.62</v>
      </c>
      <c r="H23" s="1"/>
      <c r="I23" s="1"/>
      <c r="J23" s="1"/>
      <c r="K23" s="1"/>
    </row>
    <row r="24" spans="2:11" x14ac:dyDescent="0.35">
      <c r="B24" s="108">
        <v>45077</v>
      </c>
      <c r="C24" s="109">
        <v>4.17</v>
      </c>
      <c r="D24" s="101"/>
      <c r="E24" s="109">
        <v>1.1200000000000001</v>
      </c>
      <c r="F24" s="1"/>
      <c r="G24" s="109">
        <v>1.77</v>
      </c>
      <c r="H24" s="1"/>
      <c r="I24" s="1"/>
      <c r="J24" s="1"/>
      <c r="K24" s="1"/>
    </row>
    <row r="25" spans="2:11" x14ac:dyDescent="0.35">
      <c r="B25" s="108">
        <v>45107</v>
      </c>
      <c r="C25" s="109">
        <v>4.4400000000000004</v>
      </c>
      <c r="D25" s="101"/>
      <c r="E25" s="109">
        <v>1.39</v>
      </c>
      <c r="F25" s="1"/>
      <c r="G25" s="109">
        <v>2</v>
      </c>
      <c r="H25" s="1"/>
      <c r="I25" s="1"/>
      <c r="J25" s="1"/>
      <c r="K25" s="1"/>
    </row>
    <row r="26" spans="2:11" x14ac:dyDescent="0.35">
      <c r="B26" s="108">
        <v>45138</v>
      </c>
      <c r="C26" s="109">
        <v>4.7</v>
      </c>
      <c r="D26" s="101"/>
      <c r="E26" s="109">
        <v>1.76</v>
      </c>
      <c r="F26" s="1"/>
      <c r="G26" s="109">
        <v>2.2999999999999998</v>
      </c>
      <c r="H26" s="1"/>
      <c r="I26" s="1"/>
      <c r="J26" s="1"/>
      <c r="K26" s="1"/>
    </row>
    <row r="27" spans="2:11" x14ac:dyDescent="0.35">
      <c r="B27" s="108">
        <v>45169</v>
      </c>
      <c r="C27" s="109">
        <v>4.8899999999999997</v>
      </c>
      <c r="D27" s="101"/>
      <c r="E27" s="109">
        <v>2.1800000000000002</v>
      </c>
      <c r="F27" s="1"/>
      <c r="G27" s="109">
        <v>2.59</v>
      </c>
      <c r="H27" s="1"/>
      <c r="I27" s="1"/>
      <c r="J27" s="1"/>
      <c r="K27" s="1"/>
    </row>
    <row r="28" spans="2:11" x14ac:dyDescent="0.35">
      <c r="B28" s="108">
        <v>45199</v>
      </c>
      <c r="C28" s="109">
        <v>5.0599999999999996</v>
      </c>
      <c r="D28" s="1"/>
      <c r="E28" s="109">
        <v>2.33</v>
      </c>
      <c r="F28" s="1"/>
      <c r="G28" s="109">
        <v>2.72</v>
      </c>
      <c r="H28" s="1"/>
      <c r="I28" s="1"/>
      <c r="J28" s="1"/>
      <c r="K28" s="1"/>
    </row>
    <row r="29" spans="2:11" x14ac:dyDescent="0.35">
      <c r="B29" s="108">
        <v>45230</v>
      </c>
      <c r="C29" s="109">
        <v>5.35</v>
      </c>
      <c r="D29" s="1"/>
      <c r="E29" s="109">
        <v>2.52</v>
      </c>
      <c r="F29" s="1"/>
      <c r="G29" s="109">
        <v>3.02</v>
      </c>
      <c r="H29" s="1"/>
      <c r="I29" s="1"/>
      <c r="J29" s="1"/>
      <c r="K29" s="1"/>
    </row>
    <row r="30" spans="2:11" x14ac:dyDescent="0.35">
      <c r="B30" s="108">
        <v>45260</v>
      </c>
      <c r="C30" s="109">
        <v>4.91</v>
      </c>
      <c r="D30" s="1"/>
      <c r="E30" s="109">
        <v>2.04</v>
      </c>
      <c r="F30" s="1"/>
      <c r="G30" s="109">
        <v>2.67</v>
      </c>
      <c r="H30" s="1"/>
      <c r="I30" s="1"/>
      <c r="J30" s="1"/>
      <c r="K30" s="1"/>
    </row>
    <row r="31" spans="2:11" x14ac:dyDescent="0.35">
      <c r="B31" s="110">
        <v>45291</v>
      </c>
      <c r="C31" s="111">
        <v>4.51</v>
      </c>
      <c r="D31" s="84">
        <f>AVERAGE(C20:C31)</f>
        <v>4.5708333333333337</v>
      </c>
      <c r="E31" s="111">
        <v>1.77</v>
      </c>
      <c r="F31" s="84">
        <f>AVERAGE(E20:E31)</f>
        <v>1.6641666666666666</v>
      </c>
      <c r="G31" s="111">
        <v>2.4300000000000002</v>
      </c>
      <c r="H31" s="84">
        <f>AVERAGE(G20:G31)</f>
        <v>2.2258333333333336</v>
      </c>
      <c r="I31" s="1"/>
      <c r="J31" s="1"/>
      <c r="K31" s="1"/>
    </row>
    <row r="32" spans="2:11" x14ac:dyDescent="0.35">
      <c r="B32" s="108">
        <v>45322</v>
      </c>
      <c r="C32" s="109">
        <v>4.3600000000000003</v>
      </c>
      <c r="D32" s="1"/>
      <c r="E32" s="109">
        <v>1.72</v>
      </c>
      <c r="F32" s="1"/>
      <c r="G32" s="109">
        <v>2.38</v>
      </c>
      <c r="H32" s="1"/>
      <c r="I32" s="1"/>
      <c r="J32" s="1"/>
      <c r="K32" s="1"/>
    </row>
    <row r="33" spans="2:11" x14ac:dyDescent="0.35">
      <c r="B33" s="108">
        <v>45351</v>
      </c>
      <c r="C33" s="109">
        <v>4.62</v>
      </c>
      <c r="D33" s="1"/>
      <c r="E33" s="109">
        <v>1.91</v>
      </c>
      <c r="F33" s="1"/>
      <c r="G33" s="109">
        <v>2.46</v>
      </c>
      <c r="H33" s="1"/>
      <c r="I33" s="1"/>
      <c r="J33" s="1"/>
      <c r="K33" s="1"/>
    </row>
    <row r="34" spans="2:11" x14ac:dyDescent="0.35">
      <c r="B34" s="108">
        <v>45382</v>
      </c>
      <c r="C34" s="109">
        <v>4.42</v>
      </c>
      <c r="D34" s="1"/>
      <c r="E34" s="109">
        <v>1.89</v>
      </c>
      <c r="F34" s="1"/>
      <c r="G34" s="109">
        <v>2.33</v>
      </c>
      <c r="H34" s="1"/>
      <c r="I34" s="1"/>
      <c r="J34" s="1"/>
      <c r="K34" s="1"/>
    </row>
    <row r="35" spans="2:11" x14ac:dyDescent="0.35">
      <c r="B35" s="108">
        <v>45412</v>
      </c>
      <c r="C35" s="109">
        <v>4.62</v>
      </c>
      <c r="D35" s="1"/>
      <c r="E35" s="109">
        <v>2.08</v>
      </c>
      <c r="F35" s="1"/>
      <c r="G35" s="109">
        <v>2.4500000000000002</v>
      </c>
      <c r="H35" s="1"/>
      <c r="I35" s="1"/>
      <c r="J35" s="1"/>
      <c r="K35" s="1"/>
    </row>
    <row r="36" spans="2:11" x14ac:dyDescent="0.35">
      <c r="B36" s="108">
        <v>45443</v>
      </c>
      <c r="C36" s="109">
        <v>4.57</v>
      </c>
      <c r="D36" s="1"/>
      <c r="E36" s="109">
        <v>2.29</v>
      </c>
      <c r="F36" s="1"/>
      <c r="G36" s="109">
        <v>2.31</v>
      </c>
      <c r="H36" s="1"/>
      <c r="I36" s="1"/>
      <c r="J36" s="1"/>
      <c r="K36" s="1"/>
    </row>
    <row r="37" spans="2:11" x14ac:dyDescent="0.35">
      <c r="B37" s="108">
        <v>45473</v>
      </c>
      <c r="C37" s="109">
        <v>4.49</v>
      </c>
      <c r="D37" s="1"/>
      <c r="E37" s="109">
        <v>2.37</v>
      </c>
      <c r="F37" s="1"/>
      <c r="G37" s="109">
        <v>2.2200000000000002</v>
      </c>
      <c r="H37" s="1"/>
      <c r="I37" s="1"/>
      <c r="J37" s="1"/>
      <c r="K37" s="1"/>
    </row>
    <row r="38" spans="2:11" x14ac:dyDescent="0.35">
      <c r="B38" s="108">
        <v>45504</v>
      </c>
      <c r="C38" s="109">
        <v>4.2300000000000004</v>
      </c>
      <c r="D38" s="1"/>
      <c r="E38" s="109">
        <v>2.4900000000000002</v>
      </c>
      <c r="F38" s="1"/>
      <c r="G38" s="109">
        <v>2.2599999999999998</v>
      </c>
      <c r="H38" s="1"/>
      <c r="I38" s="1"/>
      <c r="J38" s="1"/>
      <c r="K38" s="1"/>
    </row>
    <row r="39" spans="2:11" x14ac:dyDescent="0.35">
      <c r="B39" s="108">
        <v>45535</v>
      </c>
      <c r="C39" s="109">
        <v>3.85</v>
      </c>
      <c r="D39" s="1"/>
      <c r="E39" s="109">
        <v>2.4300000000000002</v>
      </c>
      <c r="F39" s="1"/>
      <c r="G39" s="109">
        <v>2.13</v>
      </c>
      <c r="H39" s="1"/>
      <c r="I39" s="1"/>
      <c r="J39" s="1"/>
      <c r="K39" s="1"/>
    </row>
    <row r="40" spans="2:11" x14ac:dyDescent="0.35">
      <c r="B40" s="108">
        <v>45565</v>
      </c>
      <c r="C40" s="109">
        <v>3.76</v>
      </c>
      <c r="D40" s="1"/>
      <c r="E40" s="109">
        <v>2.48</v>
      </c>
      <c r="F40" s="1"/>
      <c r="G40" s="109">
        <v>2.13</v>
      </c>
      <c r="H40" s="1"/>
      <c r="I40" s="1"/>
      <c r="J40" s="1"/>
      <c r="K40" s="1"/>
    </row>
    <row r="41" spans="2:11" x14ac:dyDescent="0.35">
      <c r="B41" s="108">
        <v>45596</v>
      </c>
      <c r="C41" s="109">
        <v>3.91</v>
      </c>
      <c r="D41" s="1"/>
      <c r="E41" s="109">
        <v>2.62</v>
      </c>
      <c r="F41" s="1"/>
      <c r="G41" s="109">
        <v>2.33</v>
      </c>
      <c r="H41" s="1"/>
      <c r="I41" s="1"/>
      <c r="J41" s="1"/>
      <c r="K41" s="1"/>
    </row>
    <row r="42" spans="2:11" x14ac:dyDescent="0.35">
      <c r="B42" s="108">
        <v>45626</v>
      </c>
      <c r="C42" s="109">
        <v>4.2</v>
      </c>
      <c r="D42" s="1"/>
      <c r="E42" s="109">
        <v>2.29</v>
      </c>
      <c r="F42" s="1"/>
      <c r="G42" s="109">
        <v>2.4</v>
      </c>
      <c r="H42" s="1"/>
      <c r="I42" s="1"/>
      <c r="J42" s="1"/>
      <c r="K42" s="1"/>
    </row>
    <row r="43" spans="2:11" x14ac:dyDescent="0.35">
      <c r="B43" s="110">
        <v>45657</v>
      </c>
      <c r="C43" s="111">
        <v>4.01</v>
      </c>
      <c r="D43" s="84">
        <f>AVERAGE(C32:C43)</f>
        <v>4.253333333333333</v>
      </c>
      <c r="E43" s="111">
        <v>2.2000000000000002</v>
      </c>
      <c r="F43" s="84">
        <f>AVERAGE(E32:E43)</f>
        <v>2.2308333333333334</v>
      </c>
      <c r="G43" s="111">
        <v>2.2999999999999998</v>
      </c>
      <c r="H43" s="84">
        <f>AVERAGE(G32:G43)</f>
        <v>2.3083333333333331</v>
      </c>
      <c r="I43" s="1"/>
      <c r="J43" s="1"/>
      <c r="K43" s="1"/>
    </row>
    <row r="44" spans="2:11" x14ac:dyDescent="0.35">
      <c r="B44" s="108">
        <v>45688</v>
      </c>
      <c r="C44" s="109">
        <v>4.0599999999999996</v>
      </c>
      <c r="D44" s="1"/>
      <c r="E44" s="109">
        <v>2.06</v>
      </c>
      <c r="F44" s="1"/>
      <c r="G44" s="109">
        <v>2.38</v>
      </c>
      <c r="H44" s="1"/>
      <c r="I44" s="1"/>
      <c r="J44" s="1"/>
      <c r="K44" s="1"/>
    </row>
    <row r="45" spans="2:11" x14ac:dyDescent="0.35">
      <c r="B45" s="108">
        <v>45716</v>
      </c>
      <c r="C45" s="109">
        <v>4.07</v>
      </c>
      <c r="D45" s="1"/>
      <c r="E45" s="109">
        <v>1.79</v>
      </c>
      <c r="F45" s="1"/>
      <c r="G45" s="109">
        <v>2.2999999999999998</v>
      </c>
      <c r="H45" s="1"/>
      <c r="I45" s="1"/>
      <c r="J45" s="1"/>
      <c r="K45" s="1"/>
    </row>
    <row r="46" spans="2:11" x14ac:dyDescent="0.35">
      <c r="B46" s="108">
        <v>45747</v>
      </c>
      <c r="C46" s="109">
        <v>4.07</v>
      </c>
      <c r="D46" s="1"/>
      <c r="E46" s="109">
        <v>1.55</v>
      </c>
      <c r="F46" s="1"/>
      <c r="G46" s="109">
        <v>2.2599999999999998</v>
      </c>
      <c r="H46" s="1"/>
      <c r="I46" s="1"/>
      <c r="J46" s="1"/>
      <c r="K46" s="1"/>
    </row>
    <row r="47" spans="2:11" x14ac:dyDescent="0.35">
      <c r="B47" s="108">
        <v>45777</v>
      </c>
      <c r="C47" s="109">
        <v>3.86</v>
      </c>
      <c r="D47" s="1"/>
      <c r="E47" s="109">
        <v>1.0900000000000001</v>
      </c>
      <c r="F47" s="1"/>
      <c r="G47" s="109">
        <v>2.06</v>
      </c>
      <c r="H47" s="1"/>
      <c r="I47" s="1"/>
      <c r="J47" s="1"/>
      <c r="K47" s="1"/>
    </row>
    <row r="48" spans="2:11" x14ac:dyDescent="0.35">
      <c r="B48" s="108">
        <v>45808</v>
      </c>
      <c r="C48" s="109">
        <v>3.91</v>
      </c>
      <c r="D48" s="1"/>
      <c r="E48" s="109">
        <v>0.83</v>
      </c>
      <c r="F48" s="1"/>
      <c r="G48" s="109">
        <v>2.13</v>
      </c>
      <c r="H48" s="1"/>
      <c r="I48" s="1"/>
      <c r="J48" s="1"/>
      <c r="K48" s="1"/>
    </row>
    <row r="49" spans="1:11" x14ac:dyDescent="0.35">
      <c r="B49" s="108">
        <v>45838</v>
      </c>
      <c r="C49" s="109">
        <v>3.93</v>
      </c>
      <c r="D49" s="1"/>
      <c r="E49" s="109">
        <v>0.85</v>
      </c>
      <c r="F49" s="1"/>
      <c r="G49" s="109">
        <v>2.13</v>
      </c>
      <c r="H49" s="1"/>
      <c r="I49" s="1"/>
      <c r="J49" s="1"/>
      <c r="K49" s="1"/>
    </row>
    <row r="50" spans="1:11" x14ac:dyDescent="0.35">
      <c r="B50" s="108">
        <v>45869</v>
      </c>
      <c r="C50" s="109">
        <v>3.85</v>
      </c>
      <c r="D50" s="1"/>
      <c r="E50" s="109">
        <v>0.84</v>
      </c>
      <c r="F50" s="1"/>
      <c r="G50" s="109">
        <v>2.02</v>
      </c>
      <c r="H50" s="1"/>
      <c r="I50" s="1"/>
      <c r="J50" s="1"/>
      <c r="K50" s="1"/>
    </row>
    <row r="51" spans="1:11" x14ac:dyDescent="0.35">
      <c r="B51" s="108">
        <v>45900</v>
      </c>
      <c r="C51" s="109">
        <v>3.69</v>
      </c>
      <c r="D51" s="1"/>
      <c r="E51" s="109">
        <v>0.83</v>
      </c>
      <c r="F51" s="1"/>
      <c r="G51" s="109">
        <v>1.92</v>
      </c>
      <c r="H51" s="1"/>
      <c r="I51" s="1"/>
      <c r="J51" s="1"/>
      <c r="K51" s="1"/>
    </row>
    <row r="52" spans="1:11" x14ac:dyDescent="0.35">
      <c r="B52" s="108">
        <v>45930</v>
      </c>
      <c r="C52" s="109">
        <v>3.5</v>
      </c>
      <c r="D52" s="1"/>
      <c r="E52" s="109">
        <v>0.86</v>
      </c>
      <c r="F52" s="1"/>
      <c r="G52" s="109">
        <v>1.68</v>
      </c>
      <c r="H52" s="1"/>
      <c r="I52" s="1"/>
      <c r="J52" s="1"/>
      <c r="K52" s="1"/>
    </row>
    <row r="53" spans="1:11" x14ac:dyDescent="0.35">
      <c r="B53" s="108">
        <v>45961</v>
      </c>
      <c r="C53" s="109">
        <v>3.26</v>
      </c>
      <c r="D53" s="1"/>
      <c r="E53" s="109">
        <v>0.88</v>
      </c>
      <c r="F53" s="85">
        <f>AVERAGE(E44:E53)</f>
        <v>1.1579999999999999</v>
      </c>
      <c r="G53" s="109">
        <v>1.46</v>
      </c>
      <c r="H53" s="1"/>
      <c r="I53" s="1"/>
      <c r="J53" s="1"/>
      <c r="K53" s="1"/>
    </row>
    <row r="54" spans="1:11" x14ac:dyDescent="0.35">
      <c r="B54" s="108">
        <v>45991</v>
      </c>
      <c r="C54" s="109">
        <v>3.45</v>
      </c>
      <c r="D54" s="1"/>
      <c r="E54" s="1"/>
      <c r="F54" s="1"/>
      <c r="G54" s="109">
        <v>1.36</v>
      </c>
      <c r="H54" s="1"/>
      <c r="I54" s="1"/>
      <c r="J54" s="1"/>
      <c r="K54" s="1"/>
    </row>
    <row r="55" spans="1:11" x14ac:dyDescent="0.35">
      <c r="B55" s="110">
        <v>46022</v>
      </c>
      <c r="C55" s="111">
        <v>3.94</v>
      </c>
      <c r="D55" s="84">
        <f>AVERAGE(C44:C55)</f>
        <v>3.7991666666666664</v>
      </c>
      <c r="E55" s="48"/>
      <c r="F55" s="86"/>
      <c r="G55" s="111">
        <v>1.67</v>
      </c>
      <c r="H55" s="87">
        <f>AVERAGE(G44:G55)</f>
        <v>1.9474999999999998</v>
      </c>
      <c r="I55" s="1"/>
      <c r="J55" s="1"/>
      <c r="K55" s="1"/>
    </row>
    <row r="56" spans="1:11" x14ac:dyDescent="0.35">
      <c r="B56" s="1"/>
      <c r="C56" s="1"/>
      <c r="D56" s="1"/>
      <c r="E56" s="1"/>
      <c r="F56" s="1"/>
      <c r="G56" s="1"/>
      <c r="H56" s="1"/>
      <c r="I56" s="1"/>
      <c r="J56" s="1"/>
      <c r="K56" s="1"/>
    </row>
    <row r="57" spans="1:11" x14ac:dyDescent="0.35">
      <c r="B57" s="1"/>
      <c r="C57" s="1"/>
      <c r="D57" s="1"/>
      <c r="E57" s="1"/>
      <c r="F57" s="1"/>
      <c r="G57" s="1"/>
      <c r="H57" s="1"/>
      <c r="I57" s="1"/>
      <c r="J57" s="1"/>
      <c r="K57" s="1"/>
    </row>
    <row r="58" spans="1:11" x14ac:dyDescent="0.35">
      <c r="A58">
        <v>2</v>
      </c>
      <c r="B58" s="166" t="s">
        <v>107</v>
      </c>
      <c r="C58" s="1"/>
      <c r="D58" s="1"/>
      <c r="E58" s="1"/>
      <c r="F58" s="1"/>
      <c r="G58" s="1"/>
      <c r="H58" s="1"/>
      <c r="I58" s="1"/>
      <c r="J58" s="1"/>
      <c r="K58" s="1"/>
    </row>
    <row r="59" spans="1:11" x14ac:dyDescent="0.35">
      <c r="B59" s="1"/>
      <c r="C59" s="112" t="s">
        <v>108</v>
      </c>
      <c r="D59" s="1"/>
      <c r="E59" s="1"/>
      <c r="F59" s="1"/>
      <c r="G59" s="1"/>
      <c r="H59" s="1"/>
      <c r="I59" s="1"/>
      <c r="J59" s="1"/>
      <c r="K59" s="1"/>
    </row>
    <row r="60" spans="1:11" x14ac:dyDescent="0.35">
      <c r="B60" s="1"/>
      <c r="C60" s="113" t="s">
        <v>109</v>
      </c>
      <c r="D60" s="1"/>
      <c r="E60" s="1"/>
      <c r="F60" s="1"/>
      <c r="G60" s="1"/>
      <c r="H60" s="1"/>
      <c r="I60" s="1"/>
      <c r="J60" s="1"/>
      <c r="K60" s="1"/>
    </row>
    <row r="61" spans="1:11" x14ac:dyDescent="0.35">
      <c r="B61" s="48"/>
      <c r="C61" s="83" t="s">
        <v>102</v>
      </c>
      <c r="D61" s="1"/>
      <c r="E61" s="1"/>
      <c r="F61" s="1"/>
      <c r="G61" s="1"/>
      <c r="H61" s="1"/>
      <c r="I61" s="1"/>
      <c r="J61" s="1"/>
      <c r="K61" s="1"/>
    </row>
    <row r="62" spans="1:11" x14ac:dyDescent="0.35">
      <c r="B62" s="114">
        <v>45016</v>
      </c>
      <c r="C62" s="115">
        <v>6.7</v>
      </c>
      <c r="D62" s="1"/>
      <c r="E62" s="1"/>
      <c r="F62" s="1"/>
      <c r="G62" s="1"/>
      <c r="H62" s="1"/>
      <c r="I62" s="1"/>
      <c r="J62" s="1"/>
      <c r="K62" s="1"/>
    </row>
    <row r="63" spans="1:11" x14ac:dyDescent="0.35">
      <c r="B63" s="114">
        <v>45107</v>
      </c>
      <c r="C63" s="115">
        <v>6</v>
      </c>
      <c r="D63" s="1"/>
      <c r="E63" s="1"/>
      <c r="F63" s="1"/>
      <c r="G63" s="1"/>
      <c r="H63" s="1"/>
      <c r="I63" s="1"/>
      <c r="J63" s="1"/>
      <c r="K63" s="1"/>
    </row>
    <row r="64" spans="1:11" x14ac:dyDescent="0.35">
      <c r="B64" s="114">
        <v>45199</v>
      </c>
      <c r="C64" s="115">
        <v>5.6</v>
      </c>
      <c r="D64" s="1"/>
      <c r="E64" s="1"/>
      <c r="F64" s="1"/>
      <c r="G64" s="1"/>
      <c r="H64" s="1"/>
      <c r="I64" s="1"/>
      <c r="J64" s="1"/>
      <c r="K64" s="1"/>
    </row>
    <row r="65" spans="1:11" x14ac:dyDescent="0.35">
      <c r="B65" s="114">
        <v>45291</v>
      </c>
      <c r="C65" s="115">
        <v>4.7</v>
      </c>
      <c r="D65" s="1"/>
      <c r="E65" s="1"/>
      <c r="F65" s="1"/>
      <c r="G65" s="1"/>
      <c r="H65" s="1"/>
      <c r="I65" s="1"/>
      <c r="J65" s="1"/>
      <c r="K65" s="1"/>
    </row>
    <row r="66" spans="1:11" x14ac:dyDescent="0.35">
      <c r="B66" s="114">
        <v>45382</v>
      </c>
      <c r="C66" s="115">
        <v>4</v>
      </c>
      <c r="D66" s="1"/>
      <c r="E66" s="1"/>
      <c r="F66" s="1"/>
      <c r="G66" s="1"/>
      <c r="H66" s="1"/>
      <c r="I66" s="1"/>
      <c r="J66" s="1"/>
      <c r="K66" s="1"/>
    </row>
    <row r="67" spans="1:11" x14ac:dyDescent="0.35">
      <c r="B67" s="114">
        <v>45473</v>
      </c>
      <c r="C67" s="115">
        <v>3.3</v>
      </c>
      <c r="D67" s="1"/>
      <c r="E67" s="1"/>
      <c r="F67" s="1"/>
      <c r="G67" s="1"/>
      <c r="H67" s="1"/>
      <c r="I67" s="1"/>
      <c r="J67" s="1"/>
      <c r="K67" s="1"/>
    </row>
    <row r="68" spans="1:11" x14ac:dyDescent="0.35">
      <c r="B68" s="114">
        <v>45565</v>
      </c>
      <c r="C68" s="115">
        <v>2.2000000000000002</v>
      </c>
      <c r="D68" s="1"/>
      <c r="E68" s="1"/>
      <c r="F68" s="1"/>
      <c r="G68" s="1"/>
      <c r="H68" s="1"/>
      <c r="I68" s="1"/>
      <c r="J68" s="1"/>
      <c r="K68" s="1"/>
    </row>
    <row r="69" spans="1:11" x14ac:dyDescent="0.35">
      <c r="B69" s="114">
        <v>45657</v>
      </c>
      <c r="C69" s="115">
        <v>2.2000000000000002</v>
      </c>
      <c r="D69" s="1"/>
      <c r="E69" s="1"/>
      <c r="F69" s="1"/>
      <c r="G69" s="1"/>
      <c r="H69" s="1"/>
      <c r="I69" s="1"/>
      <c r="J69" s="1"/>
      <c r="K69" s="1"/>
    </row>
    <row r="70" spans="1:11" x14ac:dyDescent="0.35">
      <c r="B70" s="114">
        <v>45747</v>
      </c>
      <c r="C70" s="115">
        <v>2.5</v>
      </c>
      <c r="D70" s="1"/>
      <c r="E70" s="1"/>
      <c r="F70" s="1"/>
      <c r="G70" s="1"/>
      <c r="H70" s="1"/>
      <c r="I70" s="1"/>
      <c r="J70" s="1"/>
      <c r="K70" s="1"/>
    </row>
    <row r="71" spans="1:11" x14ac:dyDescent="0.35">
      <c r="B71" s="114">
        <v>45838</v>
      </c>
      <c r="C71" s="115">
        <v>2.7</v>
      </c>
      <c r="D71" s="1"/>
      <c r="E71" s="1"/>
      <c r="F71" s="1"/>
      <c r="G71" s="1"/>
      <c r="H71" s="1"/>
      <c r="I71" s="1"/>
      <c r="J71" s="1"/>
      <c r="K71" s="1"/>
    </row>
    <row r="72" spans="1:11" x14ac:dyDescent="0.35">
      <c r="B72" s="114">
        <v>45930</v>
      </c>
      <c r="C72" s="115">
        <v>3</v>
      </c>
      <c r="D72" s="1"/>
      <c r="E72" s="1"/>
      <c r="F72" s="1"/>
      <c r="G72" s="1"/>
      <c r="H72" s="1"/>
      <c r="I72" s="1"/>
      <c r="J72" s="1"/>
      <c r="K72" s="1"/>
    </row>
    <row r="73" spans="1:11" x14ac:dyDescent="0.35">
      <c r="B73" s="116">
        <v>46022</v>
      </c>
      <c r="C73" s="117">
        <v>3.1</v>
      </c>
      <c r="D73" s="1"/>
      <c r="E73" s="1"/>
      <c r="F73" s="1"/>
      <c r="G73" s="1"/>
      <c r="H73" s="1"/>
      <c r="I73" s="1"/>
      <c r="J73" s="1"/>
      <c r="K73" s="1"/>
    </row>
    <row r="74" spans="1:11" x14ac:dyDescent="0.35">
      <c r="B74" s="1"/>
      <c r="C74" s="1"/>
      <c r="D74" s="1"/>
      <c r="E74" s="1"/>
      <c r="F74" s="1"/>
      <c r="G74" s="1"/>
      <c r="H74" s="1"/>
      <c r="I74" s="1"/>
      <c r="J74" s="1"/>
      <c r="K74" s="1"/>
    </row>
    <row r="75" spans="1:11" x14ac:dyDescent="0.35">
      <c r="B75" s="1"/>
      <c r="C75" s="1"/>
      <c r="D75" s="1"/>
      <c r="E75" s="1"/>
      <c r="F75" s="1"/>
      <c r="G75" s="1"/>
      <c r="H75" s="1"/>
      <c r="I75" s="1"/>
      <c r="J75" s="1"/>
      <c r="K75" s="1"/>
    </row>
    <row r="76" spans="1:11" x14ac:dyDescent="0.35">
      <c r="A76">
        <v>3</v>
      </c>
      <c r="B76" s="166" t="s">
        <v>110</v>
      </c>
      <c r="C76" s="1"/>
      <c r="D76" s="1"/>
      <c r="E76" s="1"/>
      <c r="F76" s="1"/>
      <c r="G76" s="1"/>
      <c r="H76" s="1"/>
      <c r="I76" s="1"/>
      <c r="J76" s="1"/>
      <c r="K76" s="1"/>
    </row>
    <row r="77" spans="1:11" x14ac:dyDescent="0.35">
      <c r="B77" s="1"/>
      <c r="C77" s="1" t="s">
        <v>111</v>
      </c>
      <c r="D77" s="1" t="s">
        <v>112</v>
      </c>
      <c r="E77" s="1"/>
      <c r="F77" s="1"/>
      <c r="G77" s="1"/>
      <c r="H77" s="1"/>
      <c r="I77" s="1"/>
      <c r="J77" s="1"/>
      <c r="K77" s="1"/>
    </row>
    <row r="78" spans="1:11" x14ac:dyDescent="0.35">
      <c r="B78" s="89">
        <v>2023</v>
      </c>
      <c r="C78" s="90">
        <v>11473</v>
      </c>
      <c r="D78" s="90">
        <v>11770</v>
      </c>
      <c r="E78" s="122">
        <f t="shared" ref="E78:E80" si="0">(D78/C78)-1</f>
        <v>2.5886864813039256E-2</v>
      </c>
      <c r="F78" s="99"/>
      <c r="G78" s="2"/>
      <c r="H78" s="1"/>
      <c r="I78" s="1"/>
      <c r="J78" s="1"/>
      <c r="K78" s="1"/>
    </row>
    <row r="79" spans="1:11" x14ac:dyDescent="0.35">
      <c r="B79" s="91">
        <v>2024</v>
      </c>
      <c r="C79" s="1">
        <v>11770</v>
      </c>
      <c r="D79" s="1">
        <v>13111</v>
      </c>
      <c r="E79" s="123">
        <f t="shared" si="0"/>
        <v>0.11393372982158034</v>
      </c>
      <c r="F79" s="1"/>
      <c r="G79" s="1"/>
      <c r="H79" s="1"/>
      <c r="I79" s="1"/>
      <c r="J79" s="1"/>
      <c r="K79" s="1"/>
    </row>
    <row r="80" spans="1:11" x14ac:dyDescent="0.35">
      <c r="B80" s="92">
        <v>2025</v>
      </c>
      <c r="C80" s="48">
        <v>13111</v>
      </c>
      <c r="D80" s="48">
        <v>13548</v>
      </c>
      <c r="E80" s="124">
        <f t="shared" si="0"/>
        <v>3.333079093890623E-2</v>
      </c>
      <c r="F80" s="1"/>
      <c r="G80" s="1"/>
      <c r="H80" s="1"/>
      <c r="I80" s="1"/>
      <c r="J80" s="1"/>
      <c r="K80" s="1"/>
    </row>
    <row r="81" spans="1:11" x14ac:dyDescent="0.35">
      <c r="B81" s="1"/>
      <c r="C81" s="1"/>
      <c r="D81" s="1"/>
      <c r="E81" s="1"/>
      <c r="F81" s="1"/>
      <c r="G81" s="1"/>
      <c r="H81" s="1"/>
      <c r="I81" s="1"/>
      <c r="J81" s="1"/>
      <c r="K81" s="1"/>
    </row>
    <row r="82" spans="1:11" x14ac:dyDescent="0.35">
      <c r="B82" s="1"/>
      <c r="C82" s="1"/>
      <c r="D82" s="1"/>
      <c r="E82" s="1"/>
      <c r="F82" s="1"/>
      <c r="G82" s="1"/>
      <c r="H82" s="1"/>
      <c r="I82" s="1"/>
      <c r="J82" s="1"/>
      <c r="K82" s="1"/>
    </row>
    <row r="83" spans="1:11" x14ac:dyDescent="0.35">
      <c r="A83">
        <v>4</v>
      </c>
      <c r="B83" s="166" t="s">
        <v>209</v>
      </c>
      <c r="C83" s="1"/>
      <c r="D83" s="1">
        <v>7</v>
      </c>
      <c r="E83" s="166" t="s">
        <v>244</v>
      </c>
      <c r="F83" s="166"/>
      <c r="G83" s="166"/>
      <c r="H83" s="166"/>
      <c r="I83" s="166"/>
      <c r="J83" s="166"/>
      <c r="K83" s="166"/>
    </row>
    <row r="84" spans="1:11" x14ac:dyDescent="0.35">
      <c r="B84" s="1"/>
      <c r="C84" s="158" t="s">
        <v>242</v>
      </c>
      <c r="D84" s="1"/>
      <c r="F84" s="1"/>
      <c r="G84" s="1"/>
      <c r="H84" s="1"/>
      <c r="I84" s="1"/>
      <c r="J84" s="1"/>
      <c r="K84" s="1"/>
    </row>
    <row r="85" spans="1:11" x14ac:dyDescent="0.35">
      <c r="B85" s="1"/>
      <c r="C85" s="158" t="s">
        <v>243</v>
      </c>
      <c r="D85" s="1"/>
      <c r="F85" s="1"/>
      <c r="G85" s="1"/>
      <c r="H85" s="1"/>
      <c r="I85" s="1"/>
      <c r="J85" s="1"/>
      <c r="K85" s="1"/>
    </row>
    <row r="86" spans="1:11" x14ac:dyDescent="0.35">
      <c r="B86" s="118">
        <v>45473</v>
      </c>
      <c r="C86" s="93">
        <v>3.6</v>
      </c>
      <c r="D86" s="99"/>
      <c r="E86" s="100">
        <v>3.3</v>
      </c>
      <c r="F86" s="1"/>
      <c r="G86" s="1"/>
      <c r="H86" s="1"/>
      <c r="I86" s="1"/>
      <c r="J86" s="1"/>
      <c r="K86" s="1"/>
    </row>
    <row r="87" spans="1:11" x14ac:dyDescent="0.35">
      <c r="B87" s="114">
        <v>45565</v>
      </c>
      <c r="C87" s="94">
        <v>3</v>
      </c>
      <c r="D87" s="99"/>
      <c r="E87" s="1"/>
      <c r="F87" s="1"/>
      <c r="G87" s="1"/>
      <c r="H87" s="1"/>
      <c r="I87" s="1"/>
      <c r="J87" s="1"/>
      <c r="K87" s="1"/>
    </row>
    <row r="88" spans="1:11" x14ac:dyDescent="0.35">
      <c r="B88" s="114">
        <v>45657</v>
      </c>
      <c r="C88" s="94">
        <v>2.9</v>
      </c>
      <c r="D88" s="99"/>
      <c r="E88" s="1"/>
      <c r="F88" s="1"/>
      <c r="G88" s="1"/>
      <c r="H88" s="1"/>
      <c r="I88" s="1"/>
      <c r="J88" s="1"/>
      <c r="K88" s="1"/>
    </row>
    <row r="89" spans="1:11" x14ac:dyDescent="0.35">
      <c r="B89" s="114">
        <v>45747</v>
      </c>
      <c r="C89" s="94">
        <v>2.8</v>
      </c>
      <c r="D89" s="99"/>
      <c r="E89" s="1"/>
      <c r="F89" s="1"/>
      <c r="G89" s="1"/>
      <c r="H89" s="1"/>
      <c r="I89" s="1"/>
      <c r="J89" s="1"/>
      <c r="K89" s="1"/>
    </row>
    <row r="90" spans="1:11" x14ac:dyDescent="0.35">
      <c r="B90" s="114">
        <v>45838</v>
      </c>
      <c r="C90" s="94">
        <v>2.6</v>
      </c>
      <c r="D90" s="99"/>
      <c r="E90" s="1"/>
      <c r="F90" s="1"/>
      <c r="G90" s="1"/>
      <c r="H90" s="1"/>
      <c r="I90" s="1"/>
      <c r="J90" s="1"/>
      <c r="K90" s="1"/>
    </row>
    <row r="91" spans="1:11" x14ac:dyDescent="0.35">
      <c r="B91" s="114">
        <v>45930</v>
      </c>
      <c r="C91" s="94">
        <v>2.2000000000000002</v>
      </c>
      <c r="D91" s="99"/>
      <c r="E91" s="1"/>
      <c r="F91" s="1"/>
      <c r="G91" s="1"/>
      <c r="H91" s="1"/>
      <c r="I91" s="1"/>
      <c r="J91" s="1"/>
      <c r="K91" s="1"/>
    </row>
    <row r="92" spans="1:11" x14ac:dyDescent="0.35">
      <c r="B92" s="114">
        <v>46022</v>
      </c>
      <c r="C92" s="94">
        <v>2.2000000000000002</v>
      </c>
      <c r="D92" s="99"/>
      <c r="E92" s="1"/>
      <c r="F92" s="1"/>
      <c r="G92" s="1"/>
      <c r="H92" s="95"/>
      <c r="I92" s="1"/>
      <c r="J92" s="1"/>
      <c r="K92" s="1"/>
    </row>
    <row r="93" spans="1:11" x14ac:dyDescent="0.35">
      <c r="B93" s="114">
        <v>46112</v>
      </c>
      <c r="C93" s="94">
        <v>2.1</v>
      </c>
      <c r="D93" s="99"/>
      <c r="E93" s="1"/>
      <c r="F93" s="1"/>
      <c r="G93" s="1"/>
      <c r="H93" s="1"/>
      <c r="I93" s="1"/>
      <c r="J93" s="1"/>
      <c r="K93" s="1"/>
    </row>
    <row r="94" spans="1:11" x14ac:dyDescent="0.35">
      <c r="B94" s="114">
        <v>46203</v>
      </c>
      <c r="C94" s="94">
        <v>2</v>
      </c>
      <c r="D94" s="99"/>
      <c r="E94" s="1"/>
      <c r="F94" s="1"/>
      <c r="G94" s="1"/>
      <c r="H94" s="1"/>
      <c r="I94" s="1"/>
      <c r="J94" s="1"/>
      <c r="K94" s="1"/>
    </row>
    <row r="95" spans="1:11" x14ac:dyDescent="0.35">
      <c r="B95" s="114">
        <v>46295</v>
      </c>
      <c r="C95" s="94">
        <v>2</v>
      </c>
      <c r="D95" s="99"/>
      <c r="E95" s="1"/>
      <c r="F95" s="1"/>
      <c r="G95" s="1"/>
      <c r="H95" s="1"/>
      <c r="I95" s="1"/>
      <c r="J95" s="1"/>
      <c r="K95" s="1"/>
    </row>
    <row r="96" spans="1:11" x14ac:dyDescent="0.35">
      <c r="B96" s="114">
        <v>46387</v>
      </c>
      <c r="C96" s="94">
        <v>2</v>
      </c>
      <c r="D96" s="99"/>
      <c r="E96" s="1"/>
      <c r="F96" s="1"/>
      <c r="G96" s="1"/>
      <c r="H96" s="1"/>
      <c r="I96" s="1"/>
      <c r="J96" s="1"/>
      <c r="K96" s="1"/>
    </row>
    <row r="97" spans="1:11" x14ac:dyDescent="0.35">
      <c r="B97" s="114">
        <v>46477</v>
      </c>
      <c r="C97" s="94">
        <v>2</v>
      </c>
      <c r="D97" s="99"/>
      <c r="E97" s="1"/>
      <c r="F97" s="1"/>
      <c r="G97" s="1"/>
      <c r="H97" s="1"/>
      <c r="I97" s="1"/>
      <c r="J97" s="1"/>
      <c r="K97" s="1"/>
    </row>
    <row r="98" spans="1:11" x14ac:dyDescent="0.35">
      <c r="B98" s="116">
        <v>46568</v>
      </c>
      <c r="C98" s="96">
        <v>2</v>
      </c>
      <c r="D98" s="99"/>
      <c r="E98" s="1"/>
      <c r="F98" s="1"/>
      <c r="G98" s="1"/>
      <c r="H98" s="1"/>
      <c r="I98" s="1"/>
      <c r="J98" s="1"/>
      <c r="K98" s="1"/>
    </row>
    <row r="99" spans="1:11" x14ac:dyDescent="0.35">
      <c r="B99" s="1"/>
      <c r="C99" s="1"/>
      <c r="D99" s="1"/>
      <c r="E99" s="1"/>
      <c r="F99" s="1"/>
      <c r="G99" s="1"/>
      <c r="H99" s="1"/>
      <c r="I99" s="1"/>
      <c r="J99" s="1"/>
      <c r="K99" s="1"/>
    </row>
    <row r="100" spans="1:11" x14ac:dyDescent="0.35">
      <c r="B100" s="1"/>
      <c r="C100" s="1"/>
      <c r="D100" s="1"/>
      <c r="E100" s="1"/>
      <c r="F100" s="1"/>
      <c r="G100" s="1"/>
      <c r="H100" s="1"/>
      <c r="I100" s="1"/>
      <c r="J100" s="1"/>
      <c r="K100" s="1"/>
    </row>
    <row r="101" spans="1:11" x14ac:dyDescent="0.35">
      <c r="A101">
        <v>5</v>
      </c>
      <c r="B101" s="166" t="s">
        <v>208</v>
      </c>
      <c r="C101" s="1"/>
      <c r="D101" s="1"/>
      <c r="E101" s="1"/>
      <c r="F101" s="1"/>
      <c r="G101" s="1"/>
      <c r="H101" s="1"/>
      <c r="I101" s="1"/>
      <c r="J101" s="1"/>
      <c r="K101" s="1"/>
    </row>
    <row r="102" spans="1:11" x14ac:dyDescent="0.35">
      <c r="B102" s="1"/>
      <c r="C102" s="81" t="s">
        <v>242</v>
      </c>
      <c r="D102" s="1"/>
      <c r="E102" s="1"/>
      <c r="F102" s="1"/>
      <c r="G102" s="1"/>
      <c r="H102" s="1"/>
      <c r="I102" s="1"/>
      <c r="J102" s="1"/>
      <c r="K102" s="1"/>
    </row>
    <row r="103" spans="1:11" x14ac:dyDescent="0.35">
      <c r="B103" s="1"/>
      <c r="C103" s="81" t="s">
        <v>243</v>
      </c>
      <c r="D103" s="1"/>
      <c r="E103" s="1"/>
      <c r="F103" s="1"/>
      <c r="G103" s="1"/>
      <c r="H103" s="1"/>
      <c r="I103" s="1"/>
      <c r="J103" s="1"/>
      <c r="K103" s="1"/>
    </row>
    <row r="104" spans="1:11" x14ac:dyDescent="0.35">
      <c r="B104" s="118">
        <v>45838</v>
      </c>
      <c r="C104" s="93">
        <v>2.6</v>
      </c>
      <c r="D104" s="1"/>
      <c r="E104" s="100">
        <v>2.7</v>
      </c>
      <c r="F104" s="1"/>
      <c r="G104" s="1"/>
      <c r="H104" s="1"/>
      <c r="I104" s="1"/>
      <c r="J104" s="1"/>
      <c r="K104" s="1"/>
    </row>
    <row r="105" spans="1:11" x14ac:dyDescent="0.35">
      <c r="B105" s="114">
        <v>45930</v>
      </c>
      <c r="C105" s="94">
        <v>2.7</v>
      </c>
      <c r="D105" s="1"/>
      <c r="E105" s="1"/>
      <c r="F105" s="1"/>
      <c r="G105" s="1"/>
      <c r="H105" s="1"/>
      <c r="I105" s="1"/>
      <c r="J105" s="1"/>
      <c r="K105" s="1"/>
    </row>
    <row r="106" spans="1:11" x14ac:dyDescent="0.35">
      <c r="B106" s="114">
        <v>46022</v>
      </c>
      <c r="C106" s="94">
        <v>2.4</v>
      </c>
      <c r="D106" s="1"/>
      <c r="E106" s="1"/>
      <c r="F106" s="1"/>
      <c r="G106" s="1"/>
      <c r="H106" s="1"/>
      <c r="I106" s="1"/>
      <c r="J106" s="1"/>
      <c r="K106" s="1"/>
    </row>
    <row r="107" spans="1:11" x14ac:dyDescent="0.35">
      <c r="B107" s="114">
        <v>46112</v>
      </c>
      <c r="C107" s="94">
        <v>1.9</v>
      </c>
      <c r="D107" s="1"/>
      <c r="E107" s="1"/>
      <c r="F107" s="1"/>
      <c r="G107" s="1"/>
      <c r="H107" s="1"/>
      <c r="I107" s="1"/>
      <c r="J107" s="1"/>
      <c r="K107" s="1"/>
    </row>
    <row r="108" spans="1:11" x14ac:dyDescent="0.35">
      <c r="B108" s="114">
        <v>46203</v>
      </c>
      <c r="C108" s="94">
        <v>1.9</v>
      </c>
      <c r="D108" s="1"/>
      <c r="E108" s="1"/>
      <c r="F108" s="1"/>
      <c r="G108" s="1"/>
      <c r="H108" s="1"/>
      <c r="I108" s="1"/>
      <c r="J108" s="1"/>
      <c r="K108" s="1"/>
    </row>
    <row r="109" spans="1:11" x14ac:dyDescent="0.35">
      <c r="B109" s="114">
        <v>46295</v>
      </c>
      <c r="C109" s="94">
        <v>2.1</v>
      </c>
      <c r="D109" s="1"/>
      <c r="E109" s="1"/>
      <c r="F109" s="1"/>
      <c r="G109" s="1"/>
      <c r="H109" s="1"/>
      <c r="I109" s="1"/>
      <c r="J109" s="1"/>
      <c r="K109" s="1"/>
    </row>
    <row r="110" spans="1:11" x14ac:dyDescent="0.35">
      <c r="B110" s="114">
        <v>46387</v>
      </c>
      <c r="C110" s="94">
        <v>2.1</v>
      </c>
      <c r="D110" s="1"/>
      <c r="E110" s="1"/>
      <c r="F110" s="1"/>
      <c r="G110" s="1"/>
      <c r="H110" s="1"/>
      <c r="I110" s="1"/>
      <c r="J110" s="1"/>
      <c r="K110" s="1"/>
    </row>
    <row r="111" spans="1:11" x14ac:dyDescent="0.35">
      <c r="B111" s="114">
        <v>46477</v>
      </c>
      <c r="C111" s="94">
        <v>2.2000000000000002</v>
      </c>
      <c r="D111" s="1"/>
      <c r="E111" s="1"/>
      <c r="F111" s="1"/>
      <c r="G111" s="1"/>
      <c r="H111" s="1"/>
      <c r="I111" s="1"/>
      <c r="J111" s="1"/>
      <c r="K111" s="1"/>
    </row>
    <row r="112" spans="1:11" x14ac:dyDescent="0.35">
      <c r="B112" s="114">
        <v>46568</v>
      </c>
      <c r="C112" s="94">
        <v>2.1</v>
      </c>
      <c r="D112" s="1"/>
      <c r="E112" s="1"/>
      <c r="F112" s="1"/>
      <c r="G112" s="1"/>
      <c r="H112" s="1"/>
      <c r="I112" s="1"/>
      <c r="J112" s="1"/>
      <c r="K112" s="1"/>
    </row>
    <row r="113" spans="1:11" x14ac:dyDescent="0.35">
      <c r="B113" s="114">
        <v>46660</v>
      </c>
      <c r="C113" s="94">
        <v>2.1</v>
      </c>
      <c r="D113" s="1"/>
      <c r="E113" s="1"/>
      <c r="F113" s="1"/>
      <c r="G113" s="1"/>
      <c r="H113" s="1"/>
      <c r="I113" s="1"/>
      <c r="J113" s="1"/>
      <c r="K113" s="1"/>
    </row>
    <row r="114" spans="1:11" x14ac:dyDescent="0.35">
      <c r="B114" s="114">
        <v>46752</v>
      </c>
      <c r="C114" s="94">
        <v>2</v>
      </c>
      <c r="D114" s="1"/>
      <c r="E114" s="1"/>
      <c r="F114" s="1"/>
      <c r="G114" s="1"/>
      <c r="H114" s="1"/>
      <c r="I114" s="1"/>
      <c r="J114" s="1"/>
      <c r="K114" s="1"/>
    </row>
    <row r="115" spans="1:11" x14ac:dyDescent="0.35">
      <c r="B115" s="114">
        <v>46843</v>
      </c>
      <c r="C115" s="94">
        <v>2</v>
      </c>
      <c r="D115" s="1"/>
      <c r="E115" s="1"/>
      <c r="F115" s="1"/>
      <c r="G115" s="1"/>
      <c r="H115" s="1"/>
      <c r="I115" s="1"/>
      <c r="J115" s="1"/>
      <c r="K115" s="1"/>
    </row>
    <row r="116" spans="1:11" x14ac:dyDescent="0.35">
      <c r="B116" s="116">
        <v>46934</v>
      </c>
      <c r="C116" s="96">
        <v>2</v>
      </c>
      <c r="D116" s="1"/>
      <c r="E116" s="1"/>
      <c r="F116" s="1"/>
      <c r="G116" s="1"/>
      <c r="H116" s="1"/>
      <c r="I116" s="1"/>
      <c r="J116" s="1"/>
      <c r="K116" s="1"/>
    </row>
    <row r="117" spans="1:11" x14ac:dyDescent="0.35">
      <c r="B117" s="1"/>
      <c r="C117" s="1"/>
      <c r="D117" s="1"/>
      <c r="E117" s="1"/>
      <c r="F117" s="1"/>
      <c r="G117" s="1"/>
      <c r="H117" s="1"/>
      <c r="I117" s="1"/>
      <c r="J117" s="1"/>
      <c r="K117" s="1"/>
    </row>
    <row r="118" spans="1:11" x14ac:dyDescent="0.35">
      <c r="B118" s="1"/>
      <c r="C118" s="1"/>
      <c r="D118" s="1"/>
      <c r="E118" s="1"/>
      <c r="F118" s="1"/>
      <c r="G118" s="1"/>
      <c r="H118" s="1"/>
      <c r="I118" s="1"/>
      <c r="J118" s="1"/>
      <c r="K118" s="1"/>
    </row>
    <row r="119" spans="1:11" x14ac:dyDescent="0.35">
      <c r="A119">
        <v>6</v>
      </c>
      <c r="B119" s="166" t="s">
        <v>213</v>
      </c>
      <c r="C119" s="1"/>
      <c r="D119" s="1"/>
      <c r="E119" s="1"/>
      <c r="F119" s="1"/>
      <c r="G119" s="1"/>
      <c r="H119" s="1"/>
      <c r="I119" s="1"/>
      <c r="J119" s="1"/>
      <c r="K119" s="1"/>
    </row>
    <row r="120" spans="1:11" x14ac:dyDescent="0.35">
      <c r="B120" s="1"/>
      <c r="C120" s="81" t="s">
        <v>242</v>
      </c>
      <c r="D120" s="1"/>
      <c r="E120" s="1"/>
      <c r="F120" s="1"/>
      <c r="G120" s="1"/>
      <c r="H120" s="1"/>
      <c r="I120" s="1"/>
      <c r="J120" s="1"/>
      <c r="K120" s="1"/>
    </row>
    <row r="121" spans="1:11" x14ac:dyDescent="0.35">
      <c r="B121" s="1"/>
      <c r="C121" s="81" t="s">
        <v>243</v>
      </c>
      <c r="D121" s="1"/>
      <c r="E121" s="1"/>
      <c r="F121" s="1"/>
      <c r="G121" s="1"/>
      <c r="H121" s="1"/>
      <c r="I121" s="1"/>
      <c r="J121" s="1"/>
      <c r="K121" s="1"/>
    </row>
    <row r="122" spans="1:11" x14ac:dyDescent="0.35">
      <c r="B122" s="118">
        <v>46022</v>
      </c>
      <c r="C122" s="93">
        <v>2.7</v>
      </c>
      <c r="D122" s="1"/>
      <c r="E122" s="100">
        <v>3.1</v>
      </c>
      <c r="F122" s="1"/>
      <c r="G122" s="1"/>
      <c r="H122" s="1"/>
      <c r="I122" s="1"/>
      <c r="J122" s="1"/>
      <c r="K122" s="1"/>
    </row>
    <row r="123" spans="1:11" x14ac:dyDescent="0.35">
      <c r="B123" s="114">
        <v>46112</v>
      </c>
      <c r="C123" s="94">
        <v>2.2999999999999998</v>
      </c>
      <c r="D123" s="1"/>
      <c r="E123" s="1"/>
      <c r="F123" s="1"/>
      <c r="G123" s="1"/>
      <c r="H123" s="1"/>
      <c r="I123" s="1"/>
      <c r="J123" s="1"/>
      <c r="K123" s="1"/>
    </row>
    <row r="124" spans="1:11" x14ac:dyDescent="0.35">
      <c r="B124" s="114">
        <v>46203</v>
      </c>
      <c r="C124" s="94">
        <v>2.2000000000000002</v>
      </c>
      <c r="D124" s="1"/>
      <c r="E124" s="1"/>
      <c r="F124" s="1"/>
      <c r="G124" s="1"/>
      <c r="H124" s="1"/>
      <c r="I124" s="1"/>
      <c r="J124" s="1"/>
      <c r="K124" s="1"/>
    </row>
    <row r="125" spans="1:11" x14ac:dyDescent="0.35">
      <c r="B125" s="114">
        <v>46295</v>
      </c>
      <c r="C125" s="94">
        <v>2.1</v>
      </c>
      <c r="D125" s="1"/>
      <c r="E125" s="1"/>
      <c r="F125" s="1"/>
      <c r="G125" s="1"/>
      <c r="H125" s="1"/>
      <c r="I125" s="1"/>
      <c r="J125" s="1"/>
      <c r="K125" s="1"/>
    </row>
    <row r="126" spans="1:11" x14ac:dyDescent="0.35">
      <c r="B126" s="114">
        <v>46387</v>
      </c>
      <c r="C126" s="94">
        <v>2.2000000000000002</v>
      </c>
      <c r="D126" s="1"/>
      <c r="E126" s="1"/>
      <c r="F126" s="1"/>
      <c r="G126" s="1"/>
      <c r="H126" s="1"/>
      <c r="I126" s="1"/>
      <c r="J126" s="1"/>
      <c r="K126" s="1"/>
    </row>
    <row r="127" spans="1:11" x14ac:dyDescent="0.35">
      <c r="B127" s="114">
        <v>46477</v>
      </c>
      <c r="C127" s="94">
        <v>2.2000000000000002</v>
      </c>
      <c r="D127" s="1"/>
      <c r="E127" s="1"/>
      <c r="F127" s="1"/>
      <c r="G127" s="1"/>
      <c r="H127" s="1"/>
      <c r="I127" s="1"/>
      <c r="J127" s="1"/>
      <c r="K127" s="1"/>
    </row>
    <row r="128" spans="1:11" x14ac:dyDescent="0.35">
      <c r="B128" s="114">
        <v>46568</v>
      </c>
      <c r="C128" s="94">
        <v>2.1</v>
      </c>
      <c r="D128" s="1"/>
      <c r="E128" s="1"/>
      <c r="F128" s="1"/>
      <c r="G128" s="1"/>
      <c r="H128" s="1"/>
      <c r="I128" s="1"/>
      <c r="J128" s="1"/>
      <c r="K128" s="1"/>
    </row>
    <row r="129" spans="1:11" x14ac:dyDescent="0.35">
      <c r="B129" s="114">
        <v>46660</v>
      </c>
      <c r="C129" s="94">
        <v>2</v>
      </c>
      <c r="D129" s="1"/>
      <c r="E129" s="1"/>
      <c r="F129" s="1"/>
      <c r="G129" s="1"/>
      <c r="H129" s="1"/>
      <c r="I129" s="1"/>
      <c r="J129" s="1"/>
      <c r="K129" s="1"/>
    </row>
    <row r="130" spans="1:11" x14ac:dyDescent="0.35">
      <c r="B130" s="114">
        <v>46752</v>
      </c>
      <c r="C130" s="94">
        <v>2</v>
      </c>
      <c r="D130" s="1"/>
      <c r="E130" s="1"/>
      <c r="F130" s="1"/>
      <c r="G130" s="1"/>
      <c r="H130" s="1"/>
      <c r="I130" s="1"/>
      <c r="J130" s="1"/>
      <c r="K130" s="1"/>
    </row>
    <row r="131" spans="1:11" x14ac:dyDescent="0.35">
      <c r="B131" s="114">
        <v>46843</v>
      </c>
      <c r="C131" s="94">
        <v>2</v>
      </c>
      <c r="D131" s="1"/>
      <c r="E131" s="1"/>
      <c r="F131" s="1"/>
      <c r="G131" s="1"/>
      <c r="H131" s="1"/>
      <c r="I131" s="1"/>
      <c r="J131" s="1"/>
      <c r="K131" s="1"/>
    </row>
    <row r="132" spans="1:11" x14ac:dyDescent="0.35">
      <c r="B132" s="114">
        <v>46934</v>
      </c>
      <c r="C132" s="94">
        <v>2</v>
      </c>
      <c r="D132" s="1"/>
      <c r="E132" s="1"/>
      <c r="F132" s="1"/>
      <c r="G132" s="1"/>
      <c r="H132" s="1"/>
      <c r="I132" s="1"/>
      <c r="J132" s="1"/>
      <c r="K132" s="1"/>
    </row>
    <row r="133" spans="1:11" x14ac:dyDescent="0.35">
      <c r="B133" s="114">
        <v>46997</v>
      </c>
      <c r="C133" s="94">
        <v>2</v>
      </c>
      <c r="D133" s="1"/>
      <c r="E133" s="1"/>
      <c r="F133" s="1"/>
      <c r="G133" s="1"/>
      <c r="H133" s="1"/>
      <c r="I133" s="1"/>
      <c r="J133" s="1"/>
      <c r="K133" s="1"/>
    </row>
    <row r="134" spans="1:11" x14ac:dyDescent="0.35">
      <c r="B134" s="116">
        <v>47088</v>
      </c>
      <c r="C134" s="96">
        <v>2</v>
      </c>
      <c r="D134" s="1"/>
      <c r="E134" s="1"/>
      <c r="F134" s="1"/>
      <c r="G134" s="1"/>
      <c r="H134" s="1"/>
      <c r="I134" s="1"/>
      <c r="J134" s="1"/>
      <c r="K134" s="1"/>
    </row>
    <row r="135" spans="1:11" x14ac:dyDescent="0.35">
      <c r="B135" s="114"/>
      <c r="C135" s="1"/>
      <c r="D135" s="114"/>
      <c r="E135" s="1"/>
      <c r="F135" s="1"/>
      <c r="G135" s="1"/>
      <c r="H135" s="1"/>
      <c r="I135" s="1"/>
      <c r="J135" s="1"/>
      <c r="K135" s="1"/>
    </row>
    <row r="136" spans="1:11" x14ac:dyDescent="0.35">
      <c r="B136" s="1"/>
      <c r="C136" s="1"/>
      <c r="D136" s="1"/>
      <c r="E136" s="1"/>
      <c r="F136" s="1"/>
      <c r="G136" s="1"/>
      <c r="H136" s="1"/>
      <c r="I136" s="1"/>
      <c r="J136" s="1"/>
      <c r="K136" s="1"/>
    </row>
    <row r="137" spans="1:11" x14ac:dyDescent="0.35">
      <c r="A137">
        <v>8</v>
      </c>
      <c r="B137" s="166" t="s">
        <v>219</v>
      </c>
      <c r="C137" s="1"/>
      <c r="D137" s="1"/>
      <c r="E137" s="1"/>
      <c r="F137" s="1"/>
      <c r="G137" s="1"/>
      <c r="H137" s="1"/>
      <c r="I137" s="1"/>
      <c r="J137" s="1"/>
      <c r="K137" s="1"/>
    </row>
    <row r="138" spans="1:11" x14ac:dyDescent="0.35">
      <c r="B138" s="1"/>
      <c r="C138" s="1"/>
    </row>
    <row r="139" spans="1:11" x14ac:dyDescent="0.35">
      <c r="B139" s="6" t="s">
        <v>240</v>
      </c>
      <c r="C139" s="18">
        <v>4.6399999999999997E-2</v>
      </c>
    </row>
    <row r="142" spans="1:11" x14ac:dyDescent="0.35">
      <c r="A142">
        <v>9</v>
      </c>
      <c r="B142" s="166" t="s">
        <v>220</v>
      </c>
    </row>
    <row r="143" spans="1:11" x14ac:dyDescent="0.35">
      <c r="B143" s="1"/>
      <c r="C143" s="1"/>
    </row>
    <row r="144" spans="1:11" x14ac:dyDescent="0.35">
      <c r="B144" s="6" t="s">
        <v>240</v>
      </c>
      <c r="C144" s="18">
        <v>3.9600000000000003E-2</v>
      </c>
    </row>
    <row r="147" spans="1:3" x14ac:dyDescent="0.35">
      <c r="A147">
        <v>10</v>
      </c>
      <c r="B147" s="166" t="s">
        <v>227</v>
      </c>
      <c r="C147" s="1"/>
    </row>
    <row r="149" spans="1:3" x14ac:dyDescent="0.35">
      <c r="B149" s="4" t="s">
        <v>241</v>
      </c>
      <c r="C149" s="19">
        <v>3.3700000000000001E-2</v>
      </c>
    </row>
    <row r="151" spans="1:3" x14ac:dyDescent="0.35">
      <c r="A151">
        <v>11</v>
      </c>
      <c r="B151" s="166" t="s">
        <v>234</v>
      </c>
    </row>
    <row r="153" spans="1:3" x14ac:dyDescent="0.35">
      <c r="B153" s="89">
        <v>2026</v>
      </c>
      <c r="C153" s="131">
        <v>3.4700000000000002E-2</v>
      </c>
    </row>
    <row r="154" spans="1:3" x14ac:dyDescent="0.35">
      <c r="B154" s="91">
        <v>2027</v>
      </c>
      <c r="C154" s="119">
        <v>3.78E-2</v>
      </c>
    </row>
    <row r="155" spans="1:3" x14ac:dyDescent="0.35">
      <c r="B155" s="92">
        <v>2028</v>
      </c>
      <c r="C155" s="132">
        <v>3.8300000000000001E-2</v>
      </c>
    </row>
  </sheetData>
  <phoneticPr fontId="25" type="noConversion"/>
  <pageMargins left="0.7" right="0.7" top="0.75" bottom="0.75" header="0.3" footer="0.3"/>
  <pageSetup paperSize="9" scale="38" orientation="portrait" r:id="rId1"/>
  <rowBreaks count="1" manualBreakCount="1">
    <brk id="117" max="16383" man="1"/>
  </rowBreaks>
  <ignoredErrors>
    <ignoredError sqref="D31 D43 D55 F43 F31 H31 H43 H55 F53"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0AB89-E874-4E78-9C89-BD9D66A51136}">
  <dimension ref="B1:L39"/>
  <sheetViews>
    <sheetView showGridLines="0" view="pageBreakPreview" zoomScale="59" zoomScaleNormal="37" workbookViewId="0">
      <selection activeCell="B4" sqref="B4"/>
    </sheetView>
  </sheetViews>
  <sheetFormatPr defaultRowHeight="14.5" x14ac:dyDescent="0.35"/>
  <cols>
    <col min="2" max="2" width="34.6328125" bestFit="1" customWidth="1"/>
    <col min="7" max="7" width="157.36328125" customWidth="1"/>
  </cols>
  <sheetData>
    <row r="1" spans="2:12" x14ac:dyDescent="0.35">
      <c r="C1" s="181"/>
      <c r="D1" s="181"/>
      <c r="E1" s="181"/>
      <c r="F1" s="181"/>
      <c r="G1" s="181"/>
    </row>
    <row r="2" spans="2:12" ht="26" x14ac:dyDescent="0.6">
      <c r="B2" s="42" t="s">
        <v>105</v>
      </c>
      <c r="C2" s="182"/>
      <c r="D2" s="182"/>
      <c r="E2" s="182"/>
      <c r="F2" s="182"/>
      <c r="G2" s="182"/>
      <c r="H2" s="1"/>
      <c r="I2" s="1"/>
      <c r="J2" s="1"/>
      <c r="K2" s="1"/>
      <c r="L2" s="1"/>
    </row>
    <row r="3" spans="2:12" ht="26" x14ac:dyDescent="0.6">
      <c r="B3" s="42"/>
      <c r="C3" s="182"/>
      <c r="D3" s="182"/>
      <c r="E3" s="182"/>
      <c r="F3" s="182"/>
      <c r="G3" s="182"/>
      <c r="H3" s="1"/>
      <c r="I3" s="1"/>
      <c r="J3" s="1"/>
      <c r="K3" s="1"/>
      <c r="L3" s="1"/>
    </row>
    <row r="4" spans="2:12" ht="15.5" x14ac:dyDescent="0.35">
      <c r="B4" s="164" t="s">
        <v>0</v>
      </c>
      <c r="C4" s="165"/>
      <c r="D4" s="165"/>
      <c r="E4" s="165"/>
      <c r="F4" s="165"/>
      <c r="G4" s="165"/>
      <c r="H4" s="165"/>
      <c r="I4" s="165"/>
      <c r="J4" s="165"/>
      <c r="K4" s="165"/>
      <c r="L4" s="165"/>
    </row>
    <row r="5" spans="2:12" ht="37" customHeight="1" x14ac:dyDescent="0.35">
      <c r="B5" s="73" t="s">
        <v>35</v>
      </c>
      <c r="C5" s="179" t="s">
        <v>182</v>
      </c>
      <c r="D5" s="179"/>
      <c r="E5" s="179"/>
      <c r="F5" s="179"/>
      <c r="G5" s="179"/>
      <c r="H5" s="180" t="e" vm="1">
        <v>#VALUE!</v>
      </c>
      <c r="I5" s="180"/>
      <c r="J5" s="180"/>
      <c r="K5" s="180"/>
      <c r="L5" s="180"/>
    </row>
    <row r="6" spans="2:12" x14ac:dyDescent="0.35">
      <c r="B6" s="73" t="s">
        <v>2</v>
      </c>
      <c r="C6" s="179" t="s">
        <v>171</v>
      </c>
      <c r="D6" s="179"/>
      <c r="E6" s="179"/>
      <c r="F6" s="179"/>
      <c r="G6" s="179"/>
      <c r="H6" s="6">
        <v>7.3999999999999996E-2</v>
      </c>
      <c r="I6" s="6"/>
      <c r="J6" s="6"/>
      <c r="K6" s="6"/>
      <c r="L6" s="6"/>
    </row>
    <row r="7" spans="2:12" x14ac:dyDescent="0.35">
      <c r="B7" s="73" t="s">
        <v>6</v>
      </c>
      <c r="C7" s="179" t="s">
        <v>172</v>
      </c>
      <c r="D7" s="179"/>
      <c r="E7" s="179"/>
      <c r="F7" s="179"/>
      <c r="G7" s="179"/>
      <c r="H7" s="6">
        <v>92</v>
      </c>
      <c r="I7" s="6"/>
      <c r="J7" s="6"/>
      <c r="K7" s="6"/>
      <c r="L7" s="6"/>
    </row>
    <row r="8" spans="2:12" x14ac:dyDescent="0.35">
      <c r="B8" s="73" t="s">
        <v>10</v>
      </c>
      <c r="C8" s="179" t="s">
        <v>173</v>
      </c>
      <c r="D8" s="179"/>
      <c r="E8" s="179"/>
      <c r="F8" s="179"/>
      <c r="G8" s="179"/>
      <c r="H8" s="1"/>
      <c r="I8" s="1"/>
      <c r="J8" s="1"/>
      <c r="K8" s="1"/>
      <c r="L8" s="1"/>
    </row>
    <row r="9" spans="2:12" ht="37" customHeight="1" x14ac:dyDescent="0.35">
      <c r="B9" s="6" t="s">
        <v>174</v>
      </c>
      <c r="C9" s="179" t="s">
        <v>181</v>
      </c>
      <c r="D9" s="179"/>
      <c r="E9" s="179"/>
      <c r="F9" s="179"/>
      <c r="G9" s="179"/>
      <c r="H9" s="180" t="e" vm="2">
        <v>#VALUE!</v>
      </c>
      <c r="I9" s="180"/>
      <c r="J9" s="180"/>
      <c r="K9" s="180"/>
      <c r="L9" s="180"/>
    </row>
    <row r="10" spans="2:12" x14ac:dyDescent="0.35">
      <c r="B10" s="73" t="s">
        <v>9</v>
      </c>
      <c r="C10" s="179" t="s">
        <v>175</v>
      </c>
      <c r="D10" s="179"/>
      <c r="E10" s="179"/>
      <c r="F10" s="179"/>
      <c r="G10" s="179"/>
      <c r="H10" s="6"/>
      <c r="I10" s="6"/>
      <c r="J10" s="6"/>
      <c r="K10" s="6"/>
      <c r="L10" s="6"/>
    </row>
    <row r="11" spans="2:12" x14ac:dyDescent="0.35">
      <c r="B11" s="2" t="s">
        <v>177</v>
      </c>
      <c r="C11" s="179" t="s">
        <v>176</v>
      </c>
      <c r="D11" s="179"/>
      <c r="E11" s="179"/>
      <c r="F11" s="179"/>
      <c r="G11" s="179"/>
      <c r="H11" s="1"/>
      <c r="I11" s="1"/>
      <c r="J11" s="1"/>
      <c r="K11" s="1"/>
      <c r="L11" s="1"/>
    </row>
    <row r="12" spans="2:12" ht="37" customHeight="1" x14ac:dyDescent="0.35">
      <c r="B12" s="74" t="s">
        <v>11</v>
      </c>
      <c r="C12" s="179" t="s">
        <v>180</v>
      </c>
      <c r="D12" s="179"/>
      <c r="E12" s="179"/>
      <c r="F12" s="179"/>
      <c r="G12" s="179"/>
      <c r="H12" s="180" t="e" vm="3">
        <v>#VALUE!</v>
      </c>
      <c r="I12" s="180"/>
      <c r="J12" s="180"/>
      <c r="K12" s="180"/>
      <c r="L12" s="180"/>
    </row>
    <row r="13" spans="2:12" x14ac:dyDescent="0.35">
      <c r="B13" s="73" t="s">
        <v>5</v>
      </c>
      <c r="C13" s="179" t="s">
        <v>178</v>
      </c>
      <c r="D13" s="179"/>
      <c r="E13" s="179"/>
      <c r="F13" s="179"/>
      <c r="G13" s="179"/>
      <c r="H13" s="6"/>
      <c r="I13" s="6"/>
      <c r="J13" s="6"/>
      <c r="K13" s="6"/>
      <c r="L13" s="6"/>
    </row>
    <row r="14" spans="2:12" x14ac:dyDescent="0.35">
      <c r="B14" s="75" t="s">
        <v>4</v>
      </c>
      <c r="C14" s="179" t="s">
        <v>179</v>
      </c>
      <c r="D14" s="179"/>
      <c r="E14" s="179"/>
      <c r="F14" s="179"/>
      <c r="G14" s="179"/>
      <c r="H14" s="6"/>
      <c r="I14" s="6"/>
      <c r="J14" s="6"/>
      <c r="K14" s="6"/>
      <c r="L14" s="6"/>
    </row>
    <row r="15" spans="2:12" x14ac:dyDescent="0.35">
      <c r="B15" s="49" t="s">
        <v>184</v>
      </c>
      <c r="C15" s="179" t="s">
        <v>183</v>
      </c>
      <c r="D15" s="179"/>
      <c r="E15" s="179"/>
      <c r="F15" s="179"/>
      <c r="G15" s="179"/>
      <c r="H15" s="6"/>
      <c r="I15" s="6"/>
      <c r="J15" s="6"/>
      <c r="K15" s="6"/>
      <c r="L15" s="6"/>
    </row>
    <row r="16" spans="2:12" ht="15.5" x14ac:dyDescent="0.35">
      <c r="B16" s="164" t="s">
        <v>13</v>
      </c>
      <c r="C16" s="165"/>
      <c r="D16" s="165"/>
      <c r="E16" s="165"/>
      <c r="F16" s="165"/>
      <c r="G16" s="165"/>
      <c r="H16" s="165"/>
      <c r="I16" s="165"/>
      <c r="J16" s="165"/>
      <c r="K16" s="165"/>
      <c r="L16" s="165"/>
    </row>
    <row r="17" spans="2:12" ht="37" customHeight="1" x14ac:dyDescent="0.35">
      <c r="B17" s="49" t="s">
        <v>36</v>
      </c>
      <c r="C17" s="179" t="s">
        <v>185</v>
      </c>
      <c r="D17" s="179"/>
      <c r="E17" s="179"/>
      <c r="F17" s="179"/>
      <c r="G17" s="179"/>
      <c r="H17" s="180" t="e" vm="4">
        <v>#VALUE!</v>
      </c>
      <c r="I17" s="180"/>
      <c r="J17" s="180"/>
      <c r="K17" s="180"/>
      <c r="L17" s="180"/>
    </row>
    <row r="18" spans="2:12" x14ac:dyDescent="0.35">
      <c r="B18" s="75" t="s">
        <v>14</v>
      </c>
      <c r="C18" s="179" t="s">
        <v>186</v>
      </c>
      <c r="D18" s="179"/>
      <c r="E18" s="179"/>
      <c r="F18" s="179"/>
      <c r="G18" s="179"/>
      <c r="H18" s="6">
        <v>0.06</v>
      </c>
      <c r="I18" s="6"/>
      <c r="J18" s="6"/>
      <c r="K18" s="6"/>
      <c r="L18" s="6"/>
    </row>
    <row r="19" spans="2:12" x14ac:dyDescent="0.35">
      <c r="B19" s="49" t="s">
        <v>6</v>
      </c>
      <c r="C19" s="179" t="s">
        <v>205</v>
      </c>
      <c r="D19" s="179"/>
      <c r="E19" s="179"/>
      <c r="F19" s="179"/>
      <c r="G19" s="179"/>
      <c r="H19" s="6"/>
      <c r="I19" s="6"/>
      <c r="J19" s="6"/>
      <c r="K19" s="6"/>
      <c r="L19" s="6"/>
    </row>
    <row r="20" spans="2:12" x14ac:dyDescent="0.35">
      <c r="B20" s="49" t="s">
        <v>10</v>
      </c>
      <c r="C20" s="179" t="s">
        <v>206</v>
      </c>
      <c r="D20" s="179"/>
      <c r="E20" s="179"/>
      <c r="F20" s="179"/>
      <c r="G20" s="179"/>
      <c r="H20" s="1"/>
      <c r="I20" s="1"/>
      <c r="J20" s="1"/>
      <c r="K20" s="1"/>
      <c r="L20" s="1"/>
    </row>
    <row r="21" spans="2:12" ht="37" customHeight="1" x14ac:dyDescent="0.35">
      <c r="B21" s="49" t="s">
        <v>19</v>
      </c>
      <c r="C21" s="179" t="s">
        <v>187</v>
      </c>
      <c r="D21" s="179"/>
      <c r="E21" s="179"/>
      <c r="F21" s="179"/>
      <c r="G21" s="179"/>
      <c r="H21" s="180" t="e" vm="5">
        <v>#VALUE!</v>
      </c>
      <c r="I21" s="180"/>
      <c r="J21" s="180"/>
      <c r="K21" s="180"/>
      <c r="L21" s="180"/>
    </row>
    <row r="22" spans="2:12" x14ac:dyDescent="0.35">
      <c r="B22" s="49" t="s">
        <v>9</v>
      </c>
      <c r="C22" s="179" t="s">
        <v>204</v>
      </c>
      <c r="D22" s="179"/>
      <c r="E22" s="179"/>
      <c r="F22" s="179"/>
      <c r="G22" s="179"/>
      <c r="H22" s="1"/>
      <c r="I22" s="1"/>
      <c r="J22" s="1"/>
      <c r="K22" s="1"/>
      <c r="L22" s="1"/>
    </row>
    <row r="23" spans="2:12" ht="37" customHeight="1" x14ac:dyDescent="0.35">
      <c r="B23" s="49" t="s">
        <v>18</v>
      </c>
      <c r="C23" s="179" t="s">
        <v>188</v>
      </c>
      <c r="D23" s="179"/>
      <c r="E23" s="179"/>
      <c r="F23" s="179"/>
      <c r="G23" s="179"/>
      <c r="H23" s="180" t="e" vm="6">
        <v>#VALUE!</v>
      </c>
      <c r="I23" s="180"/>
      <c r="J23" s="180"/>
      <c r="K23" s="180"/>
      <c r="L23" s="180"/>
    </row>
    <row r="24" spans="2:12" x14ac:dyDescent="0.35">
      <c r="B24" s="75" t="s">
        <v>11</v>
      </c>
      <c r="C24" s="179" t="s">
        <v>236</v>
      </c>
      <c r="D24" s="179"/>
      <c r="E24" s="179"/>
      <c r="F24" s="179"/>
      <c r="G24" s="179"/>
      <c r="H24" s="1"/>
      <c r="I24" s="1"/>
      <c r="J24" s="1"/>
      <c r="K24" s="1"/>
      <c r="L24" s="1"/>
    </row>
    <row r="25" spans="2:12" ht="29.5" customHeight="1" x14ac:dyDescent="0.35">
      <c r="B25" s="49" t="s">
        <v>15</v>
      </c>
      <c r="C25" s="183" t="s">
        <v>189</v>
      </c>
      <c r="D25" s="183"/>
      <c r="E25" s="183"/>
      <c r="F25" s="183"/>
      <c r="G25" s="183"/>
      <c r="H25" s="6"/>
      <c r="I25" s="6"/>
      <c r="J25" s="6"/>
      <c r="K25" s="6"/>
      <c r="L25" s="6"/>
    </row>
    <row r="26" spans="2:12" ht="32" customHeight="1" x14ac:dyDescent="0.35">
      <c r="B26" s="75" t="s">
        <v>16</v>
      </c>
      <c r="C26" s="183" t="s">
        <v>190</v>
      </c>
      <c r="D26" s="183"/>
      <c r="E26" s="183"/>
      <c r="F26" s="183"/>
      <c r="G26" s="183"/>
      <c r="H26" s="6">
        <v>2.8000000000000001E-2</v>
      </c>
      <c r="I26" s="6"/>
      <c r="J26" s="6"/>
      <c r="K26" s="6"/>
      <c r="L26" s="6"/>
    </row>
    <row r="27" spans="2:12" ht="15.5" x14ac:dyDescent="0.35">
      <c r="B27" s="164" t="s">
        <v>20</v>
      </c>
      <c r="C27" s="165"/>
      <c r="D27" s="165"/>
      <c r="E27" s="165"/>
      <c r="F27" s="165"/>
      <c r="G27" s="165"/>
      <c r="H27" s="165"/>
      <c r="I27" s="165"/>
      <c r="J27" s="165"/>
      <c r="K27" s="165"/>
      <c r="L27" s="165"/>
    </row>
    <row r="28" spans="2:12" ht="37" customHeight="1" x14ac:dyDescent="0.35">
      <c r="B28" s="49" t="s">
        <v>38</v>
      </c>
      <c r="C28" s="179" t="s">
        <v>191</v>
      </c>
      <c r="D28" s="179"/>
      <c r="E28" s="179"/>
      <c r="F28" s="179"/>
      <c r="G28" s="179"/>
      <c r="H28" s="180" t="e" vm="7">
        <v>#VALUE!</v>
      </c>
      <c r="I28" s="180"/>
      <c r="J28" s="180"/>
      <c r="K28" s="180"/>
      <c r="L28" s="180"/>
    </row>
    <row r="29" spans="2:12" ht="37" customHeight="1" x14ac:dyDescent="0.35">
      <c r="B29" s="75" t="s">
        <v>29</v>
      </c>
      <c r="C29" s="179" t="s">
        <v>192</v>
      </c>
      <c r="D29" s="179"/>
      <c r="E29" s="179"/>
      <c r="F29" s="179"/>
      <c r="G29" s="179"/>
      <c r="H29" s="180" t="e" vm="8">
        <v>#VALUE!</v>
      </c>
      <c r="I29" s="180"/>
      <c r="J29" s="180"/>
      <c r="K29" s="180"/>
      <c r="L29" s="180"/>
    </row>
    <row r="30" spans="2:12" x14ac:dyDescent="0.35">
      <c r="B30" s="46" t="s">
        <v>194</v>
      </c>
      <c r="C30" s="179" t="s">
        <v>193</v>
      </c>
      <c r="D30" s="179"/>
      <c r="E30" s="179"/>
      <c r="F30" s="179"/>
      <c r="G30" s="179"/>
      <c r="H30" s="6"/>
      <c r="I30" s="6"/>
      <c r="J30" s="6"/>
      <c r="K30" s="6"/>
      <c r="L30" s="6"/>
    </row>
    <row r="31" spans="2:12" x14ac:dyDescent="0.35">
      <c r="B31" s="75" t="s">
        <v>7</v>
      </c>
      <c r="C31" s="179" t="s">
        <v>195</v>
      </c>
      <c r="D31" s="179"/>
      <c r="E31" s="179"/>
      <c r="F31" s="179"/>
      <c r="G31" s="179"/>
      <c r="H31" s="1"/>
      <c r="I31" s="1"/>
      <c r="J31" s="1"/>
      <c r="K31" s="1"/>
      <c r="L31" s="1"/>
    </row>
    <row r="32" spans="2:12" ht="37" customHeight="1" x14ac:dyDescent="0.35">
      <c r="B32" s="75" t="s">
        <v>28</v>
      </c>
      <c r="C32" s="179" t="s">
        <v>196</v>
      </c>
      <c r="D32" s="179"/>
      <c r="E32" s="179"/>
      <c r="F32" s="179"/>
      <c r="G32" s="179"/>
      <c r="H32" s="180" t="e" vm="9">
        <v>#VALUE!</v>
      </c>
      <c r="I32" s="180"/>
      <c r="J32" s="180"/>
      <c r="K32" s="180"/>
      <c r="L32" s="180"/>
    </row>
    <row r="33" spans="2:12" x14ac:dyDescent="0.35">
      <c r="B33" s="46" t="s">
        <v>198</v>
      </c>
      <c r="C33" s="179" t="s">
        <v>197</v>
      </c>
      <c r="D33" s="179"/>
      <c r="E33" s="179"/>
      <c r="F33" s="179"/>
      <c r="G33" s="179"/>
      <c r="H33" s="1"/>
      <c r="I33" s="1"/>
      <c r="J33" s="1"/>
      <c r="K33" s="1"/>
      <c r="L33" s="1"/>
    </row>
    <row r="34" spans="2:12" x14ac:dyDescent="0.35">
      <c r="B34" s="75" t="s">
        <v>21</v>
      </c>
      <c r="C34" s="6" t="s">
        <v>199</v>
      </c>
      <c r="D34" s="6"/>
      <c r="E34" s="6"/>
      <c r="F34" s="6"/>
      <c r="G34" s="6"/>
      <c r="H34" s="6">
        <v>7.8E-2</v>
      </c>
      <c r="I34" s="6"/>
      <c r="J34" s="6"/>
      <c r="K34" s="6"/>
      <c r="L34" s="6"/>
    </row>
    <row r="35" spans="2:12" x14ac:dyDescent="0.35">
      <c r="B35" s="76" t="s">
        <v>9</v>
      </c>
      <c r="C35" s="179" t="s">
        <v>204</v>
      </c>
      <c r="D35" s="179"/>
      <c r="E35" s="179"/>
      <c r="F35" s="179"/>
      <c r="G35" s="179"/>
      <c r="H35" s="6"/>
      <c r="I35" s="6"/>
      <c r="J35" s="6"/>
      <c r="K35" s="6"/>
      <c r="L35" s="6"/>
    </row>
    <row r="36" spans="2:12" x14ac:dyDescent="0.35">
      <c r="B36" s="77" t="s">
        <v>22</v>
      </c>
      <c r="C36" s="179" t="s">
        <v>200</v>
      </c>
      <c r="D36" s="179"/>
      <c r="E36" s="179"/>
      <c r="F36" s="179"/>
      <c r="G36" s="179"/>
      <c r="H36" s="6">
        <v>123</v>
      </c>
      <c r="I36" s="6"/>
      <c r="J36" s="6"/>
      <c r="K36" s="6"/>
      <c r="L36" s="6"/>
    </row>
    <row r="37" spans="2:12" x14ac:dyDescent="0.35">
      <c r="B37" s="73" t="s">
        <v>27</v>
      </c>
      <c r="C37" s="179" t="s">
        <v>201</v>
      </c>
      <c r="D37" s="179"/>
      <c r="E37" s="179"/>
      <c r="F37" s="179"/>
      <c r="G37" s="179"/>
      <c r="H37" s="1"/>
      <c r="I37" s="1"/>
      <c r="J37" s="1"/>
      <c r="K37" s="1"/>
      <c r="L37" s="1"/>
    </row>
    <row r="38" spans="2:12" ht="37" customHeight="1" x14ac:dyDescent="0.35">
      <c r="B38" s="73" t="s">
        <v>23</v>
      </c>
      <c r="C38" s="179" t="s">
        <v>202</v>
      </c>
      <c r="D38" s="179"/>
      <c r="E38" s="179"/>
      <c r="F38" s="179"/>
      <c r="G38" s="179"/>
      <c r="H38" s="180" t="e" vm="10">
        <v>#VALUE!</v>
      </c>
      <c r="I38" s="180"/>
      <c r="J38" s="180"/>
      <c r="K38" s="180"/>
      <c r="L38" s="180"/>
    </row>
    <row r="39" spans="2:12" x14ac:dyDescent="0.35">
      <c r="B39" s="49" t="s">
        <v>26</v>
      </c>
      <c r="C39" s="6" t="s">
        <v>203</v>
      </c>
      <c r="D39" s="6"/>
      <c r="E39" s="6"/>
      <c r="F39" s="6"/>
      <c r="G39" s="6"/>
      <c r="H39" s="6"/>
      <c r="I39" s="6"/>
      <c r="J39" s="6"/>
      <c r="K39" s="6"/>
      <c r="L39" s="6"/>
    </row>
  </sheetData>
  <mergeCells count="44">
    <mergeCell ref="C35:G35"/>
    <mergeCell ref="C36:G36"/>
    <mergeCell ref="C37:G37"/>
    <mergeCell ref="C38:G38"/>
    <mergeCell ref="C20:G20"/>
    <mergeCell ref="C21:G21"/>
    <mergeCell ref="C22:G22"/>
    <mergeCell ref="C23:G23"/>
    <mergeCell ref="C24:G24"/>
    <mergeCell ref="C25:G25"/>
    <mergeCell ref="C26:G26"/>
    <mergeCell ref="C28:G28"/>
    <mergeCell ref="C29:G29"/>
    <mergeCell ref="C30:G30"/>
    <mergeCell ref="C31:G31"/>
    <mergeCell ref="C32:G32"/>
    <mergeCell ref="C7:G7"/>
    <mergeCell ref="C8:G8"/>
    <mergeCell ref="C9:G9"/>
    <mergeCell ref="C10:G10"/>
    <mergeCell ref="C11:G11"/>
    <mergeCell ref="C1:G1"/>
    <mergeCell ref="C2:G2"/>
    <mergeCell ref="C3:G3"/>
    <mergeCell ref="C5:G5"/>
    <mergeCell ref="C6:G6"/>
    <mergeCell ref="H21:L21"/>
    <mergeCell ref="H23:L23"/>
    <mergeCell ref="H38:L38"/>
    <mergeCell ref="H17:L17"/>
    <mergeCell ref="H5:L5"/>
    <mergeCell ref="H9:L9"/>
    <mergeCell ref="H12:L12"/>
    <mergeCell ref="H28:L28"/>
    <mergeCell ref="H29:L29"/>
    <mergeCell ref="H32:L32"/>
    <mergeCell ref="C33:G33"/>
    <mergeCell ref="C12:G12"/>
    <mergeCell ref="C14:G14"/>
    <mergeCell ref="C15:G15"/>
    <mergeCell ref="C17:G17"/>
    <mergeCell ref="C18:G18"/>
    <mergeCell ref="C19:G19"/>
    <mergeCell ref="C13:G13"/>
  </mergeCells>
  <pageMargins left="0.7" right="0.7" top="0.75" bottom="0.75" header="0.3" footer="0.3"/>
  <pageSetup paperSize="9" scale="2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F2491-3F28-4F40-9BE9-F96612F0BCFA}">
  <dimension ref="A1"/>
  <sheetViews>
    <sheetView showGridLines="0" workbookViewId="0">
      <selection activeCell="M50" sqref="M50"/>
    </sheetView>
  </sheetViews>
  <sheetFormatPr defaultRowHeight="14.5" x14ac:dyDescent="0.35"/>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334CE-4B1A-42EB-BCFC-0A9517DDDE8C}">
  <dimension ref="B1:S33"/>
  <sheetViews>
    <sheetView showGridLines="0" view="pageBreakPreview" topLeftCell="A2" zoomScale="99" zoomScaleNormal="65" zoomScaleSheetLayoutView="99" workbookViewId="0">
      <selection activeCell="E4" sqref="E4"/>
    </sheetView>
  </sheetViews>
  <sheetFormatPr defaultRowHeight="14.5" x14ac:dyDescent="0.35"/>
  <cols>
    <col min="2" max="2" width="19.08984375" customWidth="1"/>
    <col min="3" max="3" width="10.1796875" customWidth="1"/>
    <col min="5" max="5" width="10.36328125" customWidth="1"/>
    <col min="6" max="6" width="9.08984375" bestFit="1" customWidth="1"/>
    <col min="15" max="15" width="17.54296875" bestFit="1" customWidth="1"/>
  </cols>
  <sheetData>
    <row r="1" spans="2:19" x14ac:dyDescent="0.35">
      <c r="B1" s="1"/>
      <c r="C1" s="1"/>
      <c r="D1" s="1"/>
      <c r="E1" s="1"/>
      <c r="F1" s="1"/>
    </row>
    <row r="2" spans="2:19" ht="26" x14ac:dyDescent="0.6">
      <c r="B2" s="184" t="s">
        <v>0</v>
      </c>
      <c r="C2" s="184"/>
      <c r="D2" s="1"/>
      <c r="E2" s="23"/>
      <c r="F2" s="95"/>
    </row>
    <row r="3" spans="2:19" x14ac:dyDescent="0.35">
      <c r="B3" s="1"/>
      <c r="C3" s="1"/>
      <c r="D3" s="1"/>
      <c r="E3" s="1"/>
      <c r="F3" s="1"/>
    </row>
    <row r="4" spans="2:19" ht="21" x14ac:dyDescent="0.5">
      <c r="B4" s="161" t="s">
        <v>37</v>
      </c>
      <c r="C4" s="163"/>
      <c r="D4" s="163"/>
      <c r="E4" s="163"/>
      <c r="F4" s="163"/>
    </row>
    <row r="5" spans="2:19" x14ac:dyDescent="0.35">
      <c r="B5" s="1"/>
      <c r="C5" s="185" t="s">
        <v>57</v>
      </c>
      <c r="D5" s="185"/>
      <c r="E5" s="185"/>
      <c r="F5" s="185"/>
      <c r="I5" s="34"/>
      <c r="J5" s="34"/>
      <c r="K5" s="34"/>
      <c r="L5" s="34"/>
      <c r="M5" s="34"/>
      <c r="N5" s="34"/>
      <c r="O5" s="34"/>
      <c r="P5" s="34"/>
      <c r="Q5" s="34"/>
      <c r="R5" s="34"/>
      <c r="S5" s="34"/>
    </row>
    <row r="6" spans="2:19" x14ac:dyDescent="0.35">
      <c r="B6" s="1"/>
      <c r="C6" s="2">
        <v>2023</v>
      </c>
      <c r="D6" s="2">
        <v>2024</v>
      </c>
      <c r="E6" s="2">
        <v>2025</v>
      </c>
      <c r="F6" s="2">
        <v>2026</v>
      </c>
    </row>
    <row r="7" spans="2:19" x14ac:dyDescent="0.35">
      <c r="B7" s="6" t="s">
        <v>35</v>
      </c>
      <c r="C7" s="18"/>
      <c r="D7" s="18">
        <f>$C$12*($C$13/C$27)+C$30*(C$28/C$27)</f>
        <v>7.3128783492613328E-2</v>
      </c>
      <c r="E7" s="18">
        <f>$C$12*($C$13/D$27)+D$30*(D$28/D$27)</f>
        <v>7.3237091432283172E-2</v>
      </c>
      <c r="F7" s="18">
        <f>$C$12*($C$13/E$27)+E$30*(E$28/E$27)</f>
        <v>7.2529088269195005E-2</v>
      </c>
    </row>
    <row r="8" spans="2:19" x14ac:dyDescent="0.35">
      <c r="B8" s="1"/>
      <c r="C8" s="1"/>
      <c r="D8" s="1"/>
      <c r="E8" s="1"/>
      <c r="F8" s="1"/>
    </row>
    <row r="9" spans="2:19" x14ac:dyDescent="0.35">
      <c r="B9" s="1"/>
      <c r="C9" s="1"/>
      <c r="D9" s="1"/>
      <c r="E9" s="1"/>
      <c r="F9" s="1"/>
    </row>
    <row r="10" spans="2:19" ht="21" x14ac:dyDescent="0.5">
      <c r="B10" s="161" t="s">
        <v>1</v>
      </c>
      <c r="C10" s="163"/>
      <c r="D10" s="1"/>
      <c r="E10" s="1"/>
      <c r="F10" s="1"/>
    </row>
    <row r="11" spans="2:19" ht="21" x14ac:dyDescent="0.5">
      <c r="B11" s="3"/>
      <c r="C11" s="1"/>
      <c r="D11" s="1"/>
      <c r="E11" s="1"/>
      <c r="F11" s="1"/>
    </row>
    <row r="12" spans="2:19" x14ac:dyDescent="0.35">
      <c r="B12" s="6" t="s">
        <v>2</v>
      </c>
      <c r="C12" s="7">
        <f>'Inputs and definitions'!H6</f>
        <v>7.3999999999999996E-2</v>
      </c>
      <c r="D12" s="1"/>
      <c r="E12" s="1"/>
      <c r="F12" s="1"/>
    </row>
    <row r="13" spans="2:19" x14ac:dyDescent="0.35">
      <c r="B13" s="6" t="s">
        <v>6</v>
      </c>
      <c r="C13" s="7">
        <f>'Inputs and definitions'!H7</f>
        <v>92</v>
      </c>
      <c r="D13" s="1"/>
      <c r="E13" s="1"/>
      <c r="F13" s="1"/>
    </row>
    <row r="14" spans="2:19" x14ac:dyDescent="0.35">
      <c r="B14" s="1"/>
      <c r="C14" s="8"/>
      <c r="D14" s="1"/>
      <c r="E14" s="1"/>
      <c r="F14" s="1"/>
    </row>
    <row r="15" spans="2:19" x14ac:dyDescent="0.35">
      <c r="B15" s="1"/>
      <c r="C15" s="1"/>
      <c r="D15" s="1"/>
      <c r="E15" s="1"/>
      <c r="F15" s="1"/>
    </row>
    <row r="16" spans="2:19" ht="21" x14ac:dyDescent="0.5">
      <c r="B16" s="161" t="s">
        <v>3</v>
      </c>
      <c r="C16" s="163"/>
      <c r="D16" s="163"/>
      <c r="E16" s="163"/>
      <c r="F16" s="163"/>
    </row>
    <row r="17" spans="2:17" x14ac:dyDescent="0.35">
      <c r="B17" s="1"/>
      <c r="C17" s="185" t="s">
        <v>32</v>
      </c>
      <c r="D17" s="185"/>
      <c r="E17" s="185"/>
      <c r="F17" s="185"/>
    </row>
    <row r="18" spans="2:17" x14ac:dyDescent="0.35">
      <c r="B18" s="9"/>
      <c r="C18" s="10">
        <v>2023</v>
      </c>
      <c r="D18" s="10">
        <v>2024</v>
      </c>
      <c r="E18" s="10">
        <v>2025</v>
      </c>
      <c r="F18" s="10">
        <v>2026</v>
      </c>
    </row>
    <row r="19" spans="2:17" x14ac:dyDescent="0.35">
      <c r="B19" s="14" t="s">
        <v>4</v>
      </c>
      <c r="C19" s="11">
        <f>'External data'!D31%</f>
        <v>4.5708333333333337E-2</v>
      </c>
      <c r="D19" s="11">
        <f>'External data'!D43%</f>
        <v>4.2533333333333333E-2</v>
      </c>
      <c r="E19" s="11">
        <f>'External data'!D55%</f>
        <v>3.7991666666666667E-2</v>
      </c>
      <c r="F19" s="12"/>
    </row>
    <row r="20" spans="2:17" x14ac:dyDescent="0.35">
      <c r="B20" s="14" t="s">
        <v>5</v>
      </c>
      <c r="C20" s="11">
        <f>'External data'!E78</f>
        <v>2.5886864813039256E-2</v>
      </c>
      <c r="D20" s="11">
        <f>'External data'!E79</f>
        <v>0.11393372982158034</v>
      </c>
      <c r="E20" s="11">
        <f>'External data'!E80</f>
        <v>3.333079093890623E-2</v>
      </c>
      <c r="F20" s="12"/>
    </row>
    <row r="21" spans="2:17" x14ac:dyDescent="0.35">
      <c r="B21" s="6" t="s">
        <v>106</v>
      </c>
      <c r="C21" s="12">
        <v>0.28000000000000003</v>
      </c>
      <c r="D21" s="12">
        <v>0.28000000000000003</v>
      </c>
      <c r="E21" s="12">
        <v>0.28000000000000003</v>
      </c>
      <c r="F21" s="12"/>
      <c r="N21" s="40"/>
      <c r="Q21" s="40"/>
    </row>
    <row r="22" spans="2:17" x14ac:dyDescent="0.35">
      <c r="B22" s="1"/>
      <c r="C22" s="1"/>
      <c r="D22" s="1"/>
      <c r="E22" s="1"/>
      <c r="F22" s="1"/>
      <c r="N22" s="40"/>
      <c r="Q22" s="40"/>
    </row>
    <row r="23" spans="2:17" x14ac:dyDescent="0.35">
      <c r="B23" s="1"/>
      <c r="C23" s="1"/>
      <c r="D23" s="1"/>
      <c r="E23" s="1"/>
      <c r="F23" s="1"/>
      <c r="N23" s="40"/>
      <c r="Q23" s="40"/>
    </row>
    <row r="24" spans="2:17" ht="21" x14ac:dyDescent="0.5">
      <c r="B24" s="161" t="s">
        <v>8</v>
      </c>
      <c r="C24" s="163"/>
      <c r="D24" s="163"/>
      <c r="E24" s="163"/>
      <c r="F24" s="163"/>
      <c r="N24" s="40"/>
      <c r="Q24" s="40"/>
    </row>
    <row r="25" spans="2:17" ht="21" x14ac:dyDescent="0.5">
      <c r="B25" s="3"/>
      <c r="C25" s="185" t="s">
        <v>32</v>
      </c>
      <c r="D25" s="185"/>
      <c r="E25" s="185"/>
      <c r="F25" s="185"/>
      <c r="N25" s="40"/>
      <c r="Q25" s="40"/>
    </row>
    <row r="26" spans="2:17" x14ac:dyDescent="0.35">
      <c r="B26" s="1"/>
      <c r="C26" s="10">
        <v>2023</v>
      </c>
      <c r="D26" s="10">
        <v>2024</v>
      </c>
      <c r="E26" s="10">
        <v>2025</v>
      </c>
      <c r="F26" s="10">
        <v>2026</v>
      </c>
      <c r="N26" s="40"/>
      <c r="P26" s="40"/>
      <c r="Q26" s="40"/>
    </row>
    <row r="27" spans="2:17" x14ac:dyDescent="0.35">
      <c r="B27" s="6" t="s">
        <v>10</v>
      </c>
      <c r="C27" s="6">
        <f>$C$13+C28</f>
        <v>93</v>
      </c>
      <c r="D27" s="6">
        <f t="shared" ref="D27:E27" si="0">$C$13+D28</f>
        <v>94</v>
      </c>
      <c r="E27" s="6">
        <f t="shared" si="0"/>
        <v>95</v>
      </c>
      <c r="F27" s="6"/>
      <c r="N27" s="40"/>
      <c r="P27" s="40"/>
      <c r="Q27" s="40"/>
    </row>
    <row r="28" spans="2:17" x14ac:dyDescent="0.35">
      <c r="B28" s="6" t="s">
        <v>9</v>
      </c>
      <c r="C28" s="6">
        <f>C26-$C$26+1</f>
        <v>1</v>
      </c>
      <c r="D28" s="6">
        <f t="shared" ref="D28:E28" si="1">D26-$C$26+1</f>
        <v>2</v>
      </c>
      <c r="E28" s="6">
        <f t="shared" si="1"/>
        <v>3</v>
      </c>
      <c r="F28" s="6"/>
      <c r="N28" s="40"/>
      <c r="P28" s="40"/>
      <c r="Q28" s="40"/>
    </row>
    <row r="29" spans="2:17" x14ac:dyDescent="0.35">
      <c r="B29" s="6" t="s">
        <v>11</v>
      </c>
      <c r="C29" s="13">
        <f>C$20-C$19*(1-C$21)</f>
        <v>-7.0231351869607453E-3</v>
      </c>
      <c r="D29" s="13">
        <f>D$20-D$19*(1-D$21)</f>
        <v>8.3309729821580344E-2</v>
      </c>
      <c r="E29" s="13">
        <f>E$20-E$19*(1-E$21)</f>
        <v>5.9767909389062297E-3</v>
      </c>
      <c r="F29" s="13"/>
      <c r="N29" s="40"/>
      <c r="Q29" s="40"/>
    </row>
    <row r="30" spans="2:17" x14ac:dyDescent="0.35">
      <c r="B30" s="6" t="s">
        <v>12</v>
      </c>
      <c r="C30" s="13">
        <f>SUM($C$29)/C$28</f>
        <v>-7.0231351869607453E-3</v>
      </c>
      <c r="D30" s="13">
        <f>SUM($C$29:D29)/D$28</f>
        <v>3.8143297317309796E-2</v>
      </c>
      <c r="E30" s="13">
        <f>SUM($C$29:E29)/E$28</f>
        <v>2.7421128524508606E-2</v>
      </c>
      <c r="F30" s="13"/>
      <c r="N30" s="40"/>
      <c r="Q30" s="40"/>
    </row>
    <row r="31" spans="2:17" x14ac:dyDescent="0.35">
      <c r="B31" s="1"/>
      <c r="N31" s="40"/>
      <c r="Q31" s="40"/>
    </row>
    <row r="32" spans="2:17" x14ac:dyDescent="0.35">
      <c r="N32" s="40"/>
      <c r="Q32" s="40"/>
    </row>
    <row r="33" spans="14:18" x14ac:dyDescent="0.35">
      <c r="N33" s="40"/>
      <c r="O33" s="31"/>
      <c r="Q33" s="40"/>
      <c r="R33" s="31"/>
    </row>
  </sheetData>
  <mergeCells count="4">
    <mergeCell ref="B2:C2"/>
    <mergeCell ref="C17:F17"/>
    <mergeCell ref="C25:F25"/>
    <mergeCell ref="C5:F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E3555-DC4D-41DF-8D8F-4E8C303B5334}">
  <dimension ref="B2:K35"/>
  <sheetViews>
    <sheetView showGridLines="0" view="pageBreakPreview" topLeftCell="A13" zoomScaleNormal="100" zoomScaleSheetLayoutView="100" workbookViewId="0">
      <selection activeCell="B4" sqref="B4:F4"/>
    </sheetView>
  </sheetViews>
  <sheetFormatPr defaultRowHeight="14.5" x14ac:dyDescent="0.35"/>
  <cols>
    <col min="2" max="2" width="20.7265625" bestFit="1" customWidth="1"/>
    <col min="3" max="3" width="9.26953125" customWidth="1"/>
    <col min="5" max="5" width="9.6328125" customWidth="1"/>
    <col min="6" max="6" width="9.08984375" bestFit="1" customWidth="1"/>
  </cols>
  <sheetData>
    <row r="2" spans="2:11" ht="26" x14ac:dyDescent="0.6">
      <c r="B2" s="184" t="s">
        <v>13</v>
      </c>
      <c r="C2" s="184"/>
      <c r="D2" s="1"/>
      <c r="E2" s="23"/>
      <c r="F2" s="95"/>
    </row>
    <row r="3" spans="2:11" x14ac:dyDescent="0.35">
      <c r="B3" s="1"/>
      <c r="C3" s="1"/>
      <c r="D3" s="1"/>
      <c r="E3" s="1"/>
      <c r="F3" s="1"/>
    </row>
    <row r="4" spans="2:11" ht="21" x14ac:dyDescent="0.5">
      <c r="B4" s="161" t="s">
        <v>37</v>
      </c>
      <c r="C4" s="163"/>
      <c r="D4" s="163"/>
      <c r="E4" s="163"/>
      <c r="F4" s="163"/>
    </row>
    <row r="5" spans="2:11" x14ac:dyDescent="0.35">
      <c r="B5" s="1"/>
      <c r="C5" s="185" t="s">
        <v>57</v>
      </c>
      <c r="D5" s="185"/>
      <c r="E5" s="185"/>
      <c r="F5" s="185"/>
    </row>
    <row r="6" spans="2:11" x14ac:dyDescent="0.35">
      <c r="B6" s="1"/>
      <c r="C6" s="10">
        <v>2023</v>
      </c>
      <c r="D6" s="10">
        <v>2024</v>
      </c>
      <c r="E6" s="10">
        <v>2025</v>
      </c>
      <c r="F6" s="10">
        <v>2026</v>
      </c>
    </row>
    <row r="7" spans="2:11" x14ac:dyDescent="0.35">
      <c r="B7" s="6" t="s">
        <v>36</v>
      </c>
      <c r="C7" s="18"/>
      <c r="D7" s="18">
        <f>$C$12*($C$13/C$29)+C$35*(C$30/C$29)</f>
        <v>5.9055188404618916E-2</v>
      </c>
      <c r="E7" s="18">
        <f>$C$12*($C$13/D$29)+D$35*(D$30/D$29)</f>
        <v>5.9256038094423376E-2</v>
      </c>
      <c r="F7" s="18">
        <f>$C$12*($C$13/E$29)+E$35*(E$30/E$29)</f>
        <v>5.8539806440384E-2</v>
      </c>
    </row>
    <row r="8" spans="2:11" x14ac:dyDescent="0.35">
      <c r="B8" s="1"/>
      <c r="C8" s="1"/>
      <c r="D8" s="1"/>
      <c r="E8" s="1"/>
      <c r="F8" s="1"/>
    </row>
    <row r="9" spans="2:11" x14ac:dyDescent="0.35">
      <c r="B9" s="1"/>
      <c r="C9" s="1"/>
      <c r="D9" s="1"/>
      <c r="E9" s="1"/>
      <c r="F9" s="1"/>
    </row>
    <row r="10" spans="2:11" ht="21" x14ac:dyDescent="0.5">
      <c r="B10" s="161" t="s">
        <v>1</v>
      </c>
      <c r="C10" s="163"/>
      <c r="D10" s="1"/>
      <c r="E10" s="1"/>
      <c r="F10" s="1"/>
    </row>
    <row r="11" spans="2:11" x14ac:dyDescent="0.35">
      <c r="B11" s="1"/>
      <c r="C11" s="1"/>
      <c r="D11" s="1"/>
      <c r="E11" s="1"/>
      <c r="F11" s="1"/>
    </row>
    <row r="12" spans="2:11" x14ac:dyDescent="0.35">
      <c r="B12" s="6" t="s">
        <v>14</v>
      </c>
      <c r="C12" s="7">
        <f>'Inputs and definitions'!H18</f>
        <v>0.06</v>
      </c>
      <c r="D12" s="1"/>
      <c r="E12" s="1"/>
      <c r="F12" s="1"/>
    </row>
    <row r="13" spans="2:11" x14ac:dyDescent="0.35">
      <c r="B13" s="6" t="s">
        <v>6</v>
      </c>
      <c r="C13" s="7">
        <f>'Inputs and definitions'!H7</f>
        <v>92</v>
      </c>
      <c r="D13" s="1"/>
      <c r="E13" s="1"/>
      <c r="F13" s="1"/>
    </row>
    <row r="14" spans="2:11" x14ac:dyDescent="0.35">
      <c r="B14" s="6" t="s">
        <v>17</v>
      </c>
      <c r="C14" s="7">
        <f>'Inputs and definitions'!H26</f>
        <v>2.8000000000000001E-2</v>
      </c>
      <c r="D14" s="1"/>
      <c r="E14" s="1"/>
      <c r="F14" s="1"/>
      <c r="I14" s="10"/>
      <c r="J14" s="10"/>
      <c r="K14" s="10"/>
    </row>
    <row r="15" spans="2:11" x14ac:dyDescent="0.35">
      <c r="B15" s="6" t="s">
        <v>39</v>
      </c>
      <c r="C15" s="7">
        <v>28</v>
      </c>
      <c r="D15" s="1"/>
      <c r="E15" s="1"/>
      <c r="F15" s="1"/>
    </row>
    <row r="16" spans="2:11" x14ac:dyDescent="0.35">
      <c r="B16" s="1"/>
      <c r="C16" s="1"/>
      <c r="D16" s="1"/>
      <c r="E16" s="1"/>
      <c r="F16" s="1"/>
    </row>
    <row r="17" spans="2:6" ht="21" x14ac:dyDescent="0.5">
      <c r="B17" s="161" t="s">
        <v>3</v>
      </c>
      <c r="C17" s="163"/>
      <c r="D17" s="163"/>
      <c r="E17" s="163"/>
      <c r="F17" s="163"/>
    </row>
    <row r="18" spans="2:6" x14ac:dyDescent="0.35">
      <c r="B18" s="1"/>
      <c r="C18" s="186" t="s">
        <v>32</v>
      </c>
      <c r="D18" s="186"/>
      <c r="E18" s="186"/>
      <c r="F18" s="186"/>
    </row>
    <row r="19" spans="2:6" x14ac:dyDescent="0.35">
      <c r="B19" s="9"/>
      <c r="C19" s="10">
        <v>2023</v>
      </c>
      <c r="D19" s="10">
        <v>2024</v>
      </c>
      <c r="E19" s="10">
        <v>2025</v>
      </c>
      <c r="F19" s="10">
        <v>2026</v>
      </c>
    </row>
    <row r="20" spans="2:6" x14ac:dyDescent="0.35">
      <c r="B20" s="14" t="s">
        <v>4</v>
      </c>
      <c r="C20" s="11">
        <f>'External data'!D31%</f>
        <v>4.5708333333333337E-2</v>
      </c>
      <c r="D20" s="11">
        <f>'External data'!D43%</f>
        <v>4.2533333333333333E-2</v>
      </c>
      <c r="E20" s="11">
        <f>'External data'!D55%</f>
        <v>3.7991666666666667E-2</v>
      </c>
      <c r="F20" s="12"/>
    </row>
    <row r="21" spans="2:6" x14ac:dyDescent="0.35">
      <c r="B21" s="14" t="s">
        <v>5</v>
      </c>
      <c r="C21" s="11">
        <f>'Ibbotson TAMRP'!C$20</f>
        <v>2.5886864813039256E-2</v>
      </c>
      <c r="D21" s="11">
        <f>'Ibbotson TAMRP'!D$20</f>
        <v>0.11393372982158034</v>
      </c>
      <c r="E21" s="11">
        <f>'Ibbotson TAMRP'!E$20</f>
        <v>3.333079093890623E-2</v>
      </c>
      <c r="F21" s="12"/>
    </row>
    <row r="22" spans="2:6" x14ac:dyDescent="0.35">
      <c r="B22" s="14" t="s">
        <v>207</v>
      </c>
      <c r="C22" s="11">
        <f>'External data'!C65%</f>
        <v>4.7E-2</v>
      </c>
      <c r="D22" s="11">
        <f>'External data'!C69%</f>
        <v>2.2000000000000002E-2</v>
      </c>
      <c r="E22" s="11">
        <f>'External data'!C73%</f>
        <v>3.1E-2</v>
      </c>
      <c r="F22" s="6"/>
    </row>
    <row r="23" spans="2:6" x14ac:dyDescent="0.35">
      <c r="B23" s="14" t="s">
        <v>34</v>
      </c>
      <c r="C23" s="11">
        <f>'Long-term risk-free rate'!C$12</f>
        <v>1.9787000000000003E-2</v>
      </c>
      <c r="D23" s="11">
        <f>'Long-term risk-free rate'!D$12</f>
        <v>2.1342166666666669E-2</v>
      </c>
      <c r="E23" s="11">
        <f>'Long-term risk-free rate'!E$12</f>
        <v>2.0614511111111112E-2</v>
      </c>
      <c r="F23" s="6"/>
    </row>
    <row r="24" spans="2:6" x14ac:dyDescent="0.35">
      <c r="B24" s="14" t="s">
        <v>106</v>
      </c>
      <c r="C24" s="12">
        <v>0.28000000000000003</v>
      </c>
      <c r="D24" s="12">
        <v>0.28000000000000003</v>
      </c>
      <c r="E24" s="12">
        <v>0.28000000000000003</v>
      </c>
      <c r="F24" s="12"/>
    </row>
    <row r="25" spans="2:6" x14ac:dyDescent="0.35">
      <c r="B25" s="1"/>
      <c r="C25" s="1"/>
      <c r="D25" s="1"/>
      <c r="E25" s="1"/>
      <c r="F25" s="1"/>
    </row>
    <row r="26" spans="2:6" ht="21" x14ac:dyDescent="0.5">
      <c r="B26" s="161" t="s">
        <v>8</v>
      </c>
      <c r="C26" s="163"/>
      <c r="D26" s="163"/>
      <c r="E26" s="163"/>
      <c r="F26" s="163"/>
    </row>
    <row r="27" spans="2:6" x14ac:dyDescent="0.35">
      <c r="B27" s="1"/>
      <c r="C27" s="185" t="s">
        <v>32</v>
      </c>
      <c r="D27" s="185"/>
      <c r="E27" s="185"/>
      <c r="F27" s="185"/>
    </row>
    <row r="28" spans="2:6" x14ac:dyDescent="0.35">
      <c r="B28" s="1"/>
      <c r="C28" s="10">
        <v>2023</v>
      </c>
      <c r="D28" s="10">
        <v>2024</v>
      </c>
      <c r="E28" s="10">
        <v>2025</v>
      </c>
      <c r="F28" s="10">
        <v>2026</v>
      </c>
    </row>
    <row r="29" spans="2:6" x14ac:dyDescent="0.35">
      <c r="B29" s="6" t="s">
        <v>10</v>
      </c>
      <c r="C29" s="20">
        <f>'Ibbotson TAMRP'!C$27</f>
        <v>93</v>
      </c>
      <c r="D29" s="20">
        <f>'Ibbotson TAMRP'!D$27</f>
        <v>94</v>
      </c>
      <c r="E29" s="20">
        <f>'Ibbotson TAMRP'!E$27</f>
        <v>95</v>
      </c>
      <c r="F29" s="20"/>
    </row>
    <row r="30" spans="2:6" x14ac:dyDescent="0.35">
      <c r="B30" s="6" t="s">
        <v>9</v>
      </c>
      <c r="C30" s="20">
        <f>'Ibbotson TAMRP'!C$28</f>
        <v>1</v>
      </c>
      <c r="D30" s="20">
        <f>'Ibbotson TAMRP'!D$28</f>
        <v>2</v>
      </c>
      <c r="E30" s="20">
        <f>'Ibbotson TAMRP'!E$28</f>
        <v>3</v>
      </c>
      <c r="F30" s="20"/>
    </row>
    <row r="31" spans="2:6" x14ac:dyDescent="0.35">
      <c r="B31" s="6" t="s">
        <v>15</v>
      </c>
      <c r="C31" s="21">
        <f>(1+C$20)/(1+C$22)-1</f>
        <v>-1.2336835402738666E-3</v>
      </c>
      <c r="D31" s="21">
        <f>(1+D$20)/(1+D$22)-1</f>
        <v>2.0091324200913308E-2</v>
      </c>
      <c r="E31" s="21">
        <f>(1+E$20)/(1+E$22)-1</f>
        <v>6.7814419657290514E-3</v>
      </c>
      <c r="F31" s="6"/>
    </row>
    <row r="32" spans="2:6" x14ac:dyDescent="0.35">
      <c r="B32" s="6" t="s">
        <v>16</v>
      </c>
      <c r="C32" s="13">
        <f>$C$14*($C$15/($C$15+C$30))+C23*(C$30/($C$15+C$30))</f>
        <v>2.7716793103448278E-2</v>
      </c>
      <c r="D32" s="13">
        <f>$C$14*($C$15/($C$15+D$30))+D23*(D$30/($C$15+D$30))</f>
        <v>2.7556144444444444E-2</v>
      </c>
      <c r="E32" s="13">
        <f>$C$14*($C$15/($C$15+E$30))+E23*(E$30/($C$15+E$30))</f>
        <v>2.7285275268817202E-2</v>
      </c>
      <c r="F32" s="6"/>
    </row>
    <row r="33" spans="2:6" x14ac:dyDescent="0.35">
      <c r="B33" s="6" t="s">
        <v>11</v>
      </c>
      <c r="C33" s="13">
        <f>'Ibbotson TAMRP'!C$29</f>
        <v>-7.0231351869607453E-3</v>
      </c>
      <c r="D33" s="13">
        <f>'Ibbotson TAMRP'!D$29</f>
        <v>8.3309729821580344E-2</v>
      </c>
      <c r="E33" s="13">
        <f>'Ibbotson TAMRP'!E$29</f>
        <v>5.9767909389062297E-3</v>
      </c>
      <c r="F33" s="6"/>
    </row>
    <row r="34" spans="2:6" x14ac:dyDescent="0.35">
      <c r="B34" s="6" t="s">
        <v>18</v>
      </c>
      <c r="C34" s="13">
        <f>C$33+(C$31-C$32)*(1-C$24)</f>
        <v>-2.786747837044069E-2</v>
      </c>
      <c r="D34" s="13">
        <f>D$33+(D$31-D$32)*(1-D$24)</f>
        <v>7.793505924623792E-2</v>
      </c>
      <c r="E34" s="13">
        <f>E$33+(E$31-E$32)*(1-E$24)</f>
        <v>-8.7859690393172381E-3</v>
      </c>
      <c r="F34" s="6"/>
    </row>
    <row r="35" spans="2:6" x14ac:dyDescent="0.35">
      <c r="B35" s="6" t="s">
        <v>19</v>
      </c>
      <c r="C35" s="13">
        <f>SUM($C$34)/C$30</f>
        <v>-2.786747837044069E-2</v>
      </c>
      <c r="D35" s="13">
        <f>SUM($C$34:D34)/D$30</f>
        <v>2.5033790437898613E-2</v>
      </c>
      <c r="E35" s="13">
        <f>SUM($C$34:E34)/E$30</f>
        <v>1.3760537278826665E-2</v>
      </c>
      <c r="F35" s="6"/>
    </row>
  </sheetData>
  <mergeCells count="4">
    <mergeCell ref="B2:C2"/>
    <mergeCell ref="C18:F18"/>
    <mergeCell ref="C27:F27"/>
    <mergeCell ref="C5:F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35DB6-BDD6-4C31-B444-CF80E77D22BC}">
  <dimension ref="A1:I32"/>
  <sheetViews>
    <sheetView showGridLines="0" view="pageBreakPreview" zoomScale="108" zoomScaleNormal="100" zoomScaleSheetLayoutView="108" workbookViewId="0">
      <selection activeCell="G14" sqref="G14"/>
    </sheetView>
  </sheetViews>
  <sheetFormatPr defaultRowHeight="14.5" x14ac:dyDescent="0.35"/>
  <cols>
    <col min="2" max="2" width="52.6328125" bestFit="1" customWidth="1"/>
    <col min="3" max="5" width="13" customWidth="1"/>
    <col min="7" max="7" width="33" bestFit="1" customWidth="1"/>
    <col min="8" max="8" width="9.81640625" bestFit="1" customWidth="1"/>
  </cols>
  <sheetData>
    <row r="1" spans="1:7" x14ac:dyDescent="0.35">
      <c r="A1" s="1"/>
      <c r="B1" s="1"/>
      <c r="C1" s="1"/>
      <c r="D1" s="1"/>
      <c r="E1" s="1"/>
    </row>
    <row r="2" spans="1:7" ht="26" x14ac:dyDescent="0.6">
      <c r="A2" s="1"/>
      <c r="B2" s="184" t="s">
        <v>33</v>
      </c>
      <c r="C2" s="184"/>
      <c r="D2" s="1"/>
      <c r="E2" s="1"/>
      <c r="G2" s="28"/>
    </row>
    <row r="3" spans="1:7" x14ac:dyDescent="0.35">
      <c r="A3" s="1"/>
      <c r="B3" s="2"/>
      <c r="C3" s="1"/>
      <c r="D3" s="1"/>
      <c r="E3" s="1"/>
    </row>
    <row r="4" spans="1:7" x14ac:dyDescent="0.35">
      <c r="A4" s="1"/>
      <c r="B4" s="2"/>
      <c r="C4" s="185" t="s">
        <v>32</v>
      </c>
      <c r="D4" s="185"/>
      <c r="E4" s="185"/>
    </row>
    <row r="5" spans="1:7" x14ac:dyDescent="0.35">
      <c r="A5" s="1"/>
      <c r="B5" s="1"/>
      <c r="C5" s="1">
        <v>2023</v>
      </c>
      <c r="D5" s="1">
        <v>2024</v>
      </c>
      <c r="E5" s="1">
        <v>2025</v>
      </c>
    </row>
    <row r="6" spans="1:7" x14ac:dyDescent="0.35">
      <c r="A6" s="1"/>
      <c r="B6" s="6" t="s">
        <v>115</v>
      </c>
      <c r="C6" s="67">
        <v>45109</v>
      </c>
      <c r="D6" s="67">
        <v>45475</v>
      </c>
      <c r="E6" s="67">
        <v>45840</v>
      </c>
    </row>
    <row r="7" spans="1:7" x14ac:dyDescent="0.35">
      <c r="A7" s="1"/>
      <c r="B7" s="6" t="s">
        <v>113</v>
      </c>
      <c r="C7" s="68">
        <v>0.44</v>
      </c>
      <c r="D7" s="68">
        <v>0.24</v>
      </c>
      <c r="E7" s="68">
        <v>0.04</v>
      </c>
    </row>
    <row r="8" spans="1:7" x14ac:dyDescent="0.35">
      <c r="A8" s="1"/>
      <c r="B8" s="69" t="s">
        <v>114</v>
      </c>
      <c r="C8" s="70">
        <v>0.56000000000000005</v>
      </c>
      <c r="D8" s="70">
        <v>0.76</v>
      </c>
      <c r="E8" s="70">
        <v>0.96</v>
      </c>
      <c r="F8" s="34"/>
    </row>
    <row r="9" spans="1:7" x14ac:dyDescent="0.35">
      <c r="A9" s="1"/>
      <c r="B9" s="69" t="s">
        <v>116</v>
      </c>
      <c r="C9" s="71">
        <f>'External data'!F31%</f>
        <v>1.6641666666666666E-2</v>
      </c>
      <c r="D9" s="71">
        <f>'External data'!F43%</f>
        <v>2.2308333333333333E-2</v>
      </c>
      <c r="E9" s="71">
        <f>'External data'!F53%</f>
        <v>1.158E-2</v>
      </c>
      <c r="F9" s="34"/>
    </row>
    <row r="10" spans="1:7" x14ac:dyDescent="0.35">
      <c r="A10" s="1"/>
      <c r="B10" s="6" t="s">
        <v>117</v>
      </c>
      <c r="C10" s="18">
        <f>'External data'!H31%</f>
        <v>2.2258333333333335E-2</v>
      </c>
      <c r="D10" s="18">
        <f>'External data'!H43%</f>
        <v>2.3083333333333331E-2</v>
      </c>
      <c r="E10" s="18">
        <f>'External data'!H55%</f>
        <v>1.9474999999999999E-2</v>
      </c>
    </row>
    <row r="11" spans="1:7" x14ac:dyDescent="0.35">
      <c r="A11" s="1"/>
      <c r="B11" s="72" t="s">
        <v>118</v>
      </c>
      <c r="C11" s="18">
        <f>(C$9*C$7)+(C$10*C$8)</f>
        <v>1.9787000000000003E-2</v>
      </c>
      <c r="D11" s="18">
        <f>(D$9*D$7)+(D$10*D$8)</f>
        <v>2.2897333333333332E-2</v>
      </c>
      <c r="E11" s="18">
        <f>(E$9*E$7)+(E$10*E$8)</f>
        <v>1.9159199999999998E-2</v>
      </c>
    </row>
    <row r="12" spans="1:7" x14ac:dyDescent="0.35">
      <c r="A12" s="1"/>
      <c r="B12" s="72" t="s">
        <v>119</v>
      </c>
      <c r="C12" s="18">
        <f>AVERAGE(C11)</f>
        <v>1.9787000000000003E-2</v>
      </c>
      <c r="D12" s="18">
        <f>AVERAGE($C$11:D11)</f>
        <v>2.1342166666666669E-2</v>
      </c>
      <c r="E12" s="18">
        <f>AVERAGE($C$11:E11)</f>
        <v>2.0614511111111112E-2</v>
      </c>
    </row>
    <row r="13" spans="1:7" x14ac:dyDescent="0.35">
      <c r="A13" s="1"/>
      <c r="B13" s="1"/>
      <c r="C13" s="1"/>
      <c r="D13" s="1"/>
      <c r="E13" s="1"/>
      <c r="G13" s="27"/>
    </row>
    <row r="14" spans="1:7" x14ac:dyDescent="0.35">
      <c r="A14" s="1"/>
      <c r="B14" s="2" t="s">
        <v>120</v>
      </c>
      <c r="C14" s="1"/>
      <c r="D14" s="1"/>
      <c r="E14" s="1"/>
      <c r="G14" s="27"/>
    </row>
    <row r="15" spans="1:7" ht="72.5" x14ac:dyDescent="0.35">
      <c r="A15" s="1"/>
      <c r="B15" s="35" t="s">
        <v>121</v>
      </c>
      <c r="C15" s="97"/>
      <c r="D15" s="1"/>
      <c r="E15" s="1"/>
      <c r="G15" s="27"/>
    </row>
    <row r="16" spans="1:7" x14ac:dyDescent="0.35">
      <c r="B16" s="1"/>
      <c r="C16" s="22"/>
      <c r="G16" s="43"/>
    </row>
    <row r="17" spans="2:9" x14ac:dyDescent="0.35">
      <c r="B17" s="1"/>
      <c r="G17" s="43"/>
      <c r="H17" s="27"/>
    </row>
    <row r="18" spans="2:9" x14ac:dyDescent="0.35">
      <c r="B18" s="1"/>
      <c r="C18" s="25"/>
      <c r="G18" s="43"/>
      <c r="H18" s="27"/>
    </row>
    <row r="19" spans="2:9" x14ac:dyDescent="0.35">
      <c r="B19" s="1"/>
      <c r="C19" s="26"/>
      <c r="G19" s="43"/>
      <c r="H19" s="27"/>
    </row>
    <row r="20" spans="2:9" x14ac:dyDescent="0.35">
      <c r="B20" s="1"/>
      <c r="C20" s="26"/>
      <c r="G20" s="43"/>
      <c r="H20" s="27"/>
    </row>
    <row r="21" spans="2:9" x14ac:dyDescent="0.35">
      <c r="B21" s="1"/>
      <c r="G21" s="43"/>
      <c r="H21" s="27"/>
    </row>
    <row r="22" spans="2:9" x14ac:dyDescent="0.35">
      <c r="B22" s="1"/>
      <c r="C22" s="22"/>
      <c r="G22" s="43"/>
      <c r="H22" s="27"/>
    </row>
    <row r="23" spans="2:9" x14ac:dyDescent="0.35">
      <c r="B23" s="1"/>
      <c r="C23" s="22"/>
      <c r="G23" s="43"/>
      <c r="H23" s="27"/>
    </row>
    <row r="24" spans="2:9" x14ac:dyDescent="0.35">
      <c r="B24" s="1"/>
      <c r="C24" s="22"/>
      <c r="G24" s="43"/>
      <c r="H24" s="27"/>
    </row>
    <row r="25" spans="2:9" x14ac:dyDescent="0.35">
      <c r="G25" s="43"/>
      <c r="H25" s="27"/>
    </row>
    <row r="26" spans="2:9" x14ac:dyDescent="0.35">
      <c r="B26" s="29"/>
      <c r="G26" s="43"/>
      <c r="H26" s="27"/>
    </row>
    <row r="27" spans="2:9" x14ac:dyDescent="0.35">
      <c r="G27" s="43"/>
      <c r="H27" s="27"/>
    </row>
    <row r="28" spans="2:9" x14ac:dyDescent="0.35">
      <c r="H28" s="27"/>
      <c r="I28" s="5"/>
    </row>
    <row r="29" spans="2:9" x14ac:dyDescent="0.35">
      <c r="H29" s="27"/>
    </row>
    <row r="30" spans="2:9" x14ac:dyDescent="0.35">
      <c r="H30" s="27"/>
    </row>
    <row r="31" spans="2:9" x14ac:dyDescent="0.35">
      <c r="H31" s="27"/>
    </row>
    <row r="32" spans="2:9" x14ac:dyDescent="0.35">
      <c r="H32" s="27"/>
      <c r="I32" s="5"/>
    </row>
  </sheetData>
  <mergeCells count="2">
    <mergeCell ref="C4:E4"/>
    <mergeCell ref="B2:C2"/>
  </mergeCells>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CoverSheet</vt:lpstr>
      <vt:lpstr>Description</vt:lpstr>
      <vt:lpstr>Table of Contents</vt:lpstr>
      <vt:lpstr>External data</vt:lpstr>
      <vt:lpstr>Inputs and definitions</vt:lpstr>
      <vt:lpstr>Mechanical hybrid TAMRP =&gt;</vt:lpstr>
      <vt:lpstr>Ibbotson TAMRP</vt:lpstr>
      <vt:lpstr>Siegel 1 TAMRP</vt:lpstr>
      <vt:lpstr>Long-term risk-free rate</vt:lpstr>
      <vt:lpstr>Siegel 2 TAMRP</vt:lpstr>
      <vt:lpstr>Forecast CPI inflation</vt:lpstr>
      <vt:lpstr>Output</vt:lpstr>
      <vt:lpstr>Conditioning variables =&gt;</vt:lpstr>
      <vt:lpstr>DGM TAMRP</vt:lpstr>
      <vt:lpstr>CoverSheet!Print_Area</vt:lpstr>
      <vt:lpstr>Description!Print_Area</vt:lpstr>
      <vt:lpstr>'DGM TAMRP'!Print_Area</vt:lpstr>
      <vt:lpstr>'External data'!Print_Area</vt:lpstr>
      <vt:lpstr>'Forecast CPI inflation'!Print_Area</vt:lpstr>
      <vt:lpstr>'Ibbotson TAMRP'!Print_Area</vt:lpstr>
      <vt:lpstr>'Inputs and definitions'!Print_Area</vt:lpstr>
      <vt:lpstr>'Long-term risk-free rate'!Print_Area</vt:lpstr>
      <vt:lpstr>Output!Print_Area</vt:lpstr>
      <vt:lpstr>'Siegel 1 TAMRP'!Print_Area</vt:lpstr>
      <vt:lpstr>'Siegel 2 TAMRP'!Print_Area</vt:lpstr>
      <vt:lpstr>'Table of Contents'!Print_Area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2026-02-25T23:05:57Z</dcterms:created>
  <dcterms:modified xsi:type="dcterms:W3CDTF">2026-03-04T22:37:28Z</dcterms:modified>
</cp:coreProperties>
</file>